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0\Veszélyhelyzet\KT\200428\végl\"/>
    </mc:Choice>
  </mc:AlternateContent>
  <bookViews>
    <workbookView xWindow="0" yWindow="0" windowWidth="28800" windowHeight="12435" tabRatio="895" activeTab="1"/>
  </bookViews>
  <sheets>
    <sheet name="Munka1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52" r:id="rId8"/>
    <sheet name="4.mell. Normatíva ezreselve" sheetId="59" r:id="rId9"/>
    <sheet name="5. mell. Önk.össz kiadás" sheetId="8" r:id="rId10"/>
    <sheet name="5.a. mell. Jogalkotás" sheetId="1" r:id="rId11"/>
    <sheet name="5.b. mell. VF saját forrásból" sheetId="41" r:id="rId12"/>
    <sheet name="5.c. mell. VF Eu forrásból" sheetId="5" r:id="rId13"/>
    <sheet name="5.d. mell. Védőnő, EÜ" sheetId="6" r:id="rId14"/>
    <sheet name="5.e. mell. Szociális ellátások" sheetId="37" r:id="rId15"/>
    <sheet name="5.f. mell. Átadott pénzeszk." sheetId="40" r:id="rId16"/>
    <sheet name="5.g. mell. Egyéb tev." sheetId="7" r:id="rId17"/>
    <sheet name="6.mell Int.összesen" sheetId="58" r:id="rId18"/>
    <sheet name="6.a. mell. PH" sheetId="14" r:id="rId19"/>
    <sheet name="6.b. mell. Óvoda" sheetId="16" r:id="rId20"/>
    <sheet name="6.c. mell. BBKP" sheetId="12" r:id="rId21"/>
    <sheet name="7.mell. Beruházás" sheetId="19" r:id="rId22"/>
    <sheet name="8.mell. Felújítás" sheetId="20" r:id="rId23"/>
    <sheet name="9.mell. Létszámok" sheetId="21" r:id="rId24"/>
    <sheet name="10. mell. Több éves kihat" sheetId="29" r:id="rId25"/>
    <sheet name="11.mell. Ei felhaszn." sheetId="30" r:id="rId26"/>
    <sheet name="12.a Tételes mód ÖNK" sheetId="53" r:id="rId27"/>
    <sheet name="12.b Tételes mód PH" sheetId="54" r:id="rId28"/>
    <sheet name="12.c Tételes mód Óvoda" sheetId="55" r:id="rId29"/>
    <sheet name="12.d Tételes mód BBK" sheetId="56" r:id="rId30"/>
    <sheet name="12.e Konszolidált módosítás" sheetId="57" r:id="rId31"/>
  </sheets>
  <externalReferences>
    <externalReference r:id="rId32"/>
    <externalReference r:id="rId33"/>
    <externalReference r:id="rId34"/>
    <externalReference r:id="rId35"/>
  </externalReferences>
  <definedNames>
    <definedName name="_xlnm._FilterDatabase" localSheetId="26" hidden="1">'12.a Tételes mód ÖNK'!$A$4:$AN$4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30">#REF!</definedName>
    <definedName name="kst" localSheetId="4">#REF!</definedName>
    <definedName name="kst" localSheetId="5">#REF!</definedName>
    <definedName name="kst" localSheetId="6">#REF!</definedName>
    <definedName name="kst" localSheetId="7">#REF!</definedName>
    <definedName name="kst" localSheetId="8">#REF!</definedName>
    <definedName name="kst">#REF!</definedName>
    <definedName name="nev" localSheetId="7">[1]kod!$CD$8:$CD$3150</definedName>
    <definedName name="nev" localSheetId="8">[1]kod!$CD$8:$CD$3150</definedName>
    <definedName name="nev">[2]kod!$CD$8:$CD$3150</definedName>
    <definedName name="_xlnm.Print_Titles" localSheetId="26">'12.a Tételes mód ÖNK'!$A:$C</definedName>
    <definedName name="_xlnm.Print_Titles" localSheetId="30">'12.e Konszolidált módosítás'!$A:$B</definedName>
    <definedName name="_xlnm.Print_Titles" localSheetId="7">'4.mell. Normatíva'!$A:$A</definedName>
    <definedName name="_xlnm.Print_Titles" localSheetId="8">'4.mell. Normatíva ezreselve'!$A:$A</definedName>
    <definedName name="_xlnm.Print_Titles" localSheetId="9">'5. mell. Önk.össz kiadás'!$A:$C</definedName>
    <definedName name="_xlnm.Print_Titles" localSheetId="10">'5.a. mell. Jogalkotás'!$2:$4</definedName>
    <definedName name="_xlnm.Print_Titles" localSheetId="11">'5.b. mell. VF saját forrásból'!$A:$C,'5.b. mell. VF saját forrásból'!$1:$4</definedName>
    <definedName name="_xlnm.Print_Titles" localSheetId="12">'5.c. mell. VF Eu forrásból'!$1:$4</definedName>
    <definedName name="_xlnm.Print_Titles" localSheetId="13">'5.d. mell. Védőnő, EÜ'!$1:$4</definedName>
    <definedName name="_xlnm.Print_Titles" localSheetId="16">'5.g. mell. Egyéb tev.'!$A:$C</definedName>
    <definedName name="_xlnm.Print_Titles" localSheetId="18">'6.a. mell. PH'!$1:$4</definedName>
    <definedName name="_xlnm.Print_Titles" localSheetId="19">'6.b. mell. Óvoda'!$1:$4</definedName>
    <definedName name="_xlnm.Print_Titles" localSheetId="20">'6.c. mell. BBKP'!$1:$4</definedName>
    <definedName name="_xlnm.Print_Area" localSheetId="1">'1.mell. Mérleg'!$A$1:$E$56</definedName>
    <definedName name="_xlnm.Print_Area" localSheetId="30">'12.e Konszolidált módosítás'!$A$1:$AI$12</definedName>
    <definedName name="_xlnm.Print_Area" localSheetId="20">'6.c. mell. BBKP'!$A$1:$X$86</definedName>
    <definedName name="onev" localSheetId="7">[3]kod!$BT$34:$BT$3184</definedName>
    <definedName name="onev" localSheetId="8">[3]kod!$BT$34:$BT$3184</definedName>
    <definedName name="onev">[4]kod!$BT$34:$BT$3184</definedName>
    <definedName name="v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7">#REF!</definedName>
    <definedName name="w" localSheetId="8">#REF!</definedName>
    <definedName name="w">#REF!</definedName>
  </definedNames>
  <calcPr calcId="152511"/>
</workbook>
</file>

<file path=xl/calcChain.xml><?xml version="1.0" encoding="utf-8"?>
<calcChain xmlns="http://schemas.openxmlformats.org/spreadsheetml/2006/main">
  <c r="AF73" i="7" l="1"/>
  <c r="AF70" i="7"/>
  <c r="Y9" i="57"/>
  <c r="X9" i="57"/>
  <c r="I9" i="57"/>
  <c r="D9" i="57"/>
  <c r="E9" i="57"/>
  <c r="C9" i="57"/>
  <c r="Y8" i="57"/>
  <c r="X8" i="57"/>
  <c r="I8" i="57"/>
  <c r="D8" i="57"/>
  <c r="E8" i="57"/>
  <c r="C8" i="57"/>
  <c r="AA7" i="57"/>
  <c r="Y7" i="57"/>
  <c r="X7" i="57"/>
  <c r="H7" i="57"/>
  <c r="I7" i="57"/>
  <c r="J7" i="57"/>
  <c r="G7" i="57"/>
  <c r="E7" i="57"/>
  <c r="D7" i="57"/>
  <c r="C7" i="57"/>
  <c r="N33" i="30"/>
  <c r="E76" i="19" l="1"/>
  <c r="E72" i="19"/>
  <c r="E73" i="19"/>
  <c r="E75" i="19"/>
  <c r="E74" i="19"/>
  <c r="E71" i="19"/>
  <c r="D63" i="19"/>
  <c r="E70" i="19"/>
  <c r="E69" i="19"/>
  <c r="C42" i="20"/>
  <c r="D29" i="20"/>
  <c r="C29" i="20"/>
  <c r="E26" i="20"/>
  <c r="E29" i="20" s="1"/>
  <c r="N30" i="7"/>
  <c r="AC10" i="7"/>
  <c r="AC7" i="7"/>
  <c r="D19" i="40"/>
  <c r="F13" i="52"/>
  <c r="F51" i="52"/>
  <c r="C30" i="52"/>
  <c r="Q16" i="53"/>
  <c r="AF31" i="7"/>
  <c r="S14" i="8"/>
  <c r="T11" i="8"/>
  <c r="U11" i="8"/>
  <c r="S11" i="8"/>
  <c r="J8" i="37"/>
  <c r="I8" i="37"/>
  <c r="K7" i="37"/>
  <c r="K6" i="37"/>
  <c r="K8" i="37" s="1"/>
  <c r="K5" i="37"/>
  <c r="K4" i="37"/>
  <c r="N20" i="7"/>
  <c r="AC30" i="7"/>
  <c r="AC25" i="7"/>
  <c r="AC13" i="7"/>
  <c r="G5" i="40"/>
  <c r="K5" i="6"/>
  <c r="H5" i="6"/>
  <c r="E6" i="1" l="1"/>
  <c r="D71" i="9"/>
  <c r="C13" i="44"/>
  <c r="C5" i="44"/>
  <c r="D53" i="43"/>
  <c r="D17" i="43"/>
  <c r="D66" i="9"/>
  <c r="D33" i="44"/>
  <c r="D34" i="44"/>
  <c r="C34" i="44"/>
  <c r="N53" i="53" l="1"/>
  <c r="H53" i="53"/>
  <c r="W53" i="53" s="1"/>
  <c r="Z53" i="53"/>
  <c r="AI53" i="53" s="1"/>
  <c r="AI54" i="53"/>
  <c r="W54" i="53"/>
  <c r="AI52" i="53"/>
  <c r="W52" i="53"/>
  <c r="AI51" i="53"/>
  <c r="W51" i="53"/>
  <c r="AI50" i="53"/>
  <c r="W50" i="53"/>
  <c r="AI49" i="53"/>
  <c r="W49" i="53"/>
  <c r="AI55" i="53"/>
  <c r="W55" i="53"/>
  <c r="H23" i="53"/>
  <c r="N23" i="53"/>
  <c r="Z23" i="53"/>
  <c r="F5" i="53"/>
  <c r="E5" i="53"/>
  <c r="D5" i="53"/>
  <c r="N16" i="53"/>
  <c r="Y16" i="53"/>
  <c r="F16" i="53"/>
  <c r="F31" i="53" l="1"/>
  <c r="Y13" i="53"/>
  <c r="F13" i="53"/>
  <c r="Y9" i="53"/>
  <c r="F9" i="53"/>
  <c r="F20" i="53"/>
  <c r="J20" i="53"/>
  <c r="H18" i="53"/>
  <c r="G34" i="7" l="1"/>
  <c r="M8" i="55" l="1"/>
  <c r="D64" i="16"/>
  <c r="AE106" i="7"/>
  <c r="F68" i="41"/>
  <c r="E68" i="41"/>
  <c r="D68" i="41"/>
  <c r="F64" i="41"/>
  <c r="E64" i="41"/>
  <c r="D64" i="41"/>
  <c r="D59" i="41"/>
  <c r="E58" i="41"/>
  <c r="D58" i="41"/>
  <c r="F57" i="41"/>
  <c r="E57" i="41"/>
  <c r="D57" i="41"/>
  <c r="F56" i="41"/>
  <c r="E56" i="41"/>
  <c r="D56" i="41"/>
  <c r="E55" i="41"/>
  <c r="D55" i="41"/>
  <c r="D53" i="41"/>
  <c r="E52" i="41"/>
  <c r="D52" i="41"/>
  <c r="F51" i="41"/>
  <c r="E51" i="41"/>
  <c r="D51" i="41"/>
  <c r="F50" i="41"/>
  <c r="E50" i="41"/>
  <c r="D50" i="41"/>
  <c r="E49" i="41"/>
  <c r="D49" i="41"/>
  <c r="E48" i="41"/>
  <c r="D48" i="41"/>
  <c r="E47" i="41"/>
  <c r="D47" i="41"/>
  <c r="E46" i="41"/>
  <c r="D46" i="41"/>
  <c r="F44" i="41"/>
  <c r="E44" i="41"/>
  <c r="D44" i="41"/>
  <c r="E33" i="41"/>
  <c r="D33" i="41"/>
  <c r="F32" i="41"/>
  <c r="E32" i="41"/>
  <c r="D32" i="41"/>
  <c r="F31" i="41"/>
  <c r="E31" i="41"/>
  <c r="D31" i="41"/>
  <c r="E30" i="41"/>
  <c r="D30" i="41"/>
  <c r="E29" i="41"/>
  <c r="D29" i="41"/>
  <c r="F28" i="41"/>
  <c r="E28" i="41"/>
  <c r="D28" i="41"/>
  <c r="F27" i="41"/>
  <c r="E27" i="41"/>
  <c r="D27" i="41"/>
  <c r="F26" i="41"/>
  <c r="E26" i="41"/>
  <c r="D26" i="41"/>
  <c r="D25" i="41"/>
  <c r="E24" i="41"/>
  <c r="D24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E19" i="41"/>
  <c r="D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D14" i="41"/>
  <c r="F13" i="41"/>
  <c r="E13" i="41"/>
  <c r="D13" i="41"/>
  <c r="E12" i="41"/>
  <c r="D12" i="41"/>
  <c r="F11" i="41"/>
  <c r="E11" i="41"/>
  <c r="D11" i="41"/>
  <c r="F9" i="41"/>
  <c r="E9" i="41"/>
  <c r="D9" i="41"/>
  <c r="D7" i="41"/>
  <c r="E6" i="41"/>
  <c r="D6" i="41"/>
  <c r="F5" i="41"/>
  <c r="E5" i="41"/>
  <c r="D5" i="41"/>
  <c r="U68" i="41" l="1"/>
  <c r="T64" i="41"/>
  <c r="S64" i="41"/>
  <c r="U63" i="41"/>
  <c r="U62" i="41"/>
  <c r="U61" i="41"/>
  <c r="U64" i="41" s="1"/>
  <c r="T59" i="41"/>
  <c r="S59" i="41"/>
  <c r="U58" i="41"/>
  <c r="U57" i="41"/>
  <c r="U56" i="41"/>
  <c r="U55" i="41"/>
  <c r="T53" i="41"/>
  <c r="S53" i="41"/>
  <c r="U52" i="41"/>
  <c r="U51" i="41"/>
  <c r="U50" i="41"/>
  <c r="U49" i="41"/>
  <c r="U48" i="41"/>
  <c r="U47" i="41"/>
  <c r="U46" i="41"/>
  <c r="U44" i="41"/>
  <c r="U43" i="41"/>
  <c r="U42" i="41"/>
  <c r="U41" i="41"/>
  <c r="U40" i="41"/>
  <c r="U39" i="41"/>
  <c r="U38" i="41"/>
  <c r="T34" i="41"/>
  <c r="S34" i="41"/>
  <c r="S35" i="41" s="1"/>
  <c r="U33" i="41"/>
  <c r="U32" i="41"/>
  <c r="U31" i="41"/>
  <c r="U30" i="41"/>
  <c r="U29" i="41"/>
  <c r="T28" i="41"/>
  <c r="S28" i="41"/>
  <c r="U27" i="41"/>
  <c r="U26" i="41"/>
  <c r="U28" i="41" s="1"/>
  <c r="T25" i="41"/>
  <c r="T35" i="41" s="1"/>
  <c r="S25" i="41"/>
  <c r="U24" i="41"/>
  <c r="U25" i="41" s="1"/>
  <c r="U23" i="41"/>
  <c r="U22" i="41"/>
  <c r="U21" i="41"/>
  <c r="U20" i="41"/>
  <c r="U19" i="41"/>
  <c r="U18" i="41"/>
  <c r="U17" i="41"/>
  <c r="T14" i="41"/>
  <c r="S14" i="41"/>
  <c r="U13" i="41"/>
  <c r="U12" i="41"/>
  <c r="U11" i="41"/>
  <c r="U14" i="41" s="1"/>
  <c r="U9" i="41"/>
  <c r="T7" i="41"/>
  <c r="S7" i="41"/>
  <c r="U6" i="41"/>
  <c r="U5" i="41"/>
  <c r="U7" i="41" s="1"/>
  <c r="X68" i="41"/>
  <c r="W64" i="41"/>
  <c r="V64" i="41"/>
  <c r="X63" i="41"/>
  <c r="X62" i="41"/>
  <c r="X61" i="41"/>
  <c r="X64" i="41" s="1"/>
  <c r="W59" i="41"/>
  <c r="X59" i="41" s="1"/>
  <c r="V59" i="41"/>
  <c r="X58" i="41"/>
  <c r="X57" i="41"/>
  <c r="X56" i="41"/>
  <c r="X55" i="41"/>
  <c r="W53" i="41"/>
  <c r="V53" i="41"/>
  <c r="X52" i="41"/>
  <c r="X51" i="41"/>
  <c r="X50" i="41"/>
  <c r="X49" i="41"/>
  <c r="X48" i="41"/>
  <c r="X47" i="41"/>
  <c r="X46" i="41"/>
  <c r="X44" i="41"/>
  <c r="X43" i="41"/>
  <c r="X42" i="41"/>
  <c r="X41" i="41"/>
  <c r="X40" i="41"/>
  <c r="X39" i="41"/>
  <c r="X38" i="41"/>
  <c r="W34" i="41"/>
  <c r="V34" i="41"/>
  <c r="X33" i="41"/>
  <c r="X32" i="41"/>
  <c r="X31" i="41"/>
  <c r="X30" i="41"/>
  <c r="X29" i="41"/>
  <c r="W28" i="41"/>
  <c r="V28" i="41"/>
  <c r="X27" i="41"/>
  <c r="X26" i="41"/>
  <c r="X28" i="41" s="1"/>
  <c r="W25" i="41"/>
  <c r="W35" i="41" s="1"/>
  <c r="V25" i="41"/>
  <c r="X24" i="41"/>
  <c r="X25" i="41" s="1"/>
  <c r="X23" i="41"/>
  <c r="X22" i="41"/>
  <c r="X21" i="41"/>
  <c r="X20" i="41"/>
  <c r="X19" i="41"/>
  <c r="X18" i="41"/>
  <c r="X17" i="41"/>
  <c r="W14" i="41"/>
  <c r="V14" i="41"/>
  <c r="X13" i="41"/>
  <c r="X12" i="41"/>
  <c r="X11" i="41"/>
  <c r="X14" i="41" s="1"/>
  <c r="X9" i="41"/>
  <c r="W7" i="41"/>
  <c r="V7" i="41"/>
  <c r="X6" i="41"/>
  <c r="X5" i="41"/>
  <c r="X7" i="41" s="1"/>
  <c r="C26" i="9"/>
  <c r="U34" i="41" l="1"/>
  <c r="V35" i="41"/>
  <c r="D35" i="41" s="1"/>
  <c r="D34" i="41"/>
  <c r="U53" i="41"/>
  <c r="X53" i="41"/>
  <c r="X34" i="41"/>
  <c r="U35" i="41"/>
  <c r="T66" i="41"/>
  <c r="S66" i="41"/>
  <c r="U59" i="41"/>
  <c r="V66" i="41"/>
  <c r="D66" i="41" s="1"/>
  <c r="W66" i="41"/>
  <c r="U66" i="41" l="1"/>
  <c r="X35" i="41"/>
  <c r="X66" i="41"/>
  <c r="O47" i="58" l="1"/>
  <c r="O48" i="58" s="1"/>
  <c r="N47" i="58"/>
  <c r="N48" i="58" s="1"/>
  <c r="K47" i="58"/>
  <c r="K48" i="58" s="1"/>
  <c r="I47" i="58"/>
  <c r="D47" i="58"/>
  <c r="O46" i="58"/>
  <c r="N46" i="58"/>
  <c r="M46" i="58"/>
  <c r="M48" i="58" s="1"/>
  <c r="L46" i="58"/>
  <c r="K46" i="58"/>
  <c r="J46" i="58"/>
  <c r="J48" i="58" s="1"/>
  <c r="H46" i="58"/>
  <c r="H48" i="58" s="1"/>
  <c r="G46" i="58"/>
  <c r="G48" i="58" s="1"/>
  <c r="D46" i="58"/>
  <c r="L45" i="58"/>
  <c r="I45" i="58"/>
  <c r="F45" i="58" s="1"/>
  <c r="E45" i="58"/>
  <c r="D45" i="58"/>
  <c r="L44" i="58"/>
  <c r="I44" i="58"/>
  <c r="F44" i="58"/>
  <c r="E44" i="58"/>
  <c r="D44" i="58"/>
  <c r="O43" i="58"/>
  <c r="L43" i="58"/>
  <c r="I43" i="58"/>
  <c r="F43" i="58" s="1"/>
  <c r="E43" i="58"/>
  <c r="D43" i="58"/>
  <c r="O41" i="58"/>
  <c r="M41" i="58"/>
  <c r="J41" i="58"/>
  <c r="D41" i="58" s="1"/>
  <c r="I41" i="58"/>
  <c r="G41" i="58"/>
  <c r="E41" i="58"/>
  <c r="O40" i="58"/>
  <c r="L40" i="58"/>
  <c r="I40" i="58"/>
  <c r="F40" i="58" s="1"/>
  <c r="E40" i="58"/>
  <c r="D40" i="58"/>
  <c r="O39" i="58"/>
  <c r="M39" i="58"/>
  <c r="L39" i="58"/>
  <c r="J39" i="58"/>
  <c r="I39" i="58"/>
  <c r="F39" i="58" s="1"/>
  <c r="G39" i="58"/>
  <c r="G42" i="58" s="1"/>
  <c r="E39" i="58"/>
  <c r="D39" i="58"/>
  <c r="C39" i="58"/>
  <c r="O38" i="58"/>
  <c r="L38" i="58"/>
  <c r="I38" i="58"/>
  <c r="F38" i="58" s="1"/>
  <c r="E38" i="58"/>
  <c r="D38" i="58"/>
  <c r="L37" i="58"/>
  <c r="I37" i="58"/>
  <c r="F37" i="58" s="1"/>
  <c r="E37" i="58"/>
  <c r="D37" i="58"/>
  <c r="N36" i="58"/>
  <c r="N42" i="58" s="1"/>
  <c r="M36" i="58"/>
  <c r="K36" i="58"/>
  <c r="K42" i="58" s="1"/>
  <c r="J36" i="58"/>
  <c r="D36" i="58" s="1"/>
  <c r="H36" i="58"/>
  <c r="G36" i="58"/>
  <c r="O35" i="58"/>
  <c r="L35" i="58"/>
  <c r="I35" i="58"/>
  <c r="F35" i="58"/>
  <c r="E35" i="58"/>
  <c r="D35" i="58"/>
  <c r="O34" i="58"/>
  <c r="L34" i="58"/>
  <c r="I34" i="58"/>
  <c r="F34" i="58" s="1"/>
  <c r="E34" i="58"/>
  <c r="D34" i="58"/>
  <c r="O33" i="58"/>
  <c r="L33" i="58"/>
  <c r="I33" i="58"/>
  <c r="F33" i="58"/>
  <c r="E33" i="58"/>
  <c r="D33" i="58"/>
  <c r="O32" i="58"/>
  <c r="L32" i="58"/>
  <c r="I32" i="58"/>
  <c r="F32" i="58" s="1"/>
  <c r="E32" i="58"/>
  <c r="D32" i="58"/>
  <c r="O31" i="58"/>
  <c r="L31" i="58"/>
  <c r="F31" i="58" s="1"/>
  <c r="I31" i="58"/>
  <c r="E31" i="58"/>
  <c r="D31" i="58"/>
  <c r="O30" i="58"/>
  <c r="L30" i="58"/>
  <c r="I30" i="58"/>
  <c r="F30" i="58" s="1"/>
  <c r="E30" i="58"/>
  <c r="D30" i="58"/>
  <c r="O29" i="58"/>
  <c r="O36" i="58" s="1"/>
  <c r="L29" i="58"/>
  <c r="I29" i="58"/>
  <c r="I36" i="58" s="1"/>
  <c r="F29" i="58"/>
  <c r="E29" i="58"/>
  <c r="D29" i="58"/>
  <c r="O28" i="58"/>
  <c r="L28" i="58"/>
  <c r="I28" i="58"/>
  <c r="F28" i="58" s="1"/>
  <c r="E28" i="58"/>
  <c r="D28" i="58"/>
  <c r="I27" i="58"/>
  <c r="E27" i="58"/>
  <c r="O26" i="58"/>
  <c r="L26" i="58"/>
  <c r="I26" i="58"/>
  <c r="F26" i="58"/>
  <c r="E26" i="58"/>
  <c r="D26" i="58"/>
  <c r="O25" i="58"/>
  <c r="L25" i="58"/>
  <c r="I25" i="58"/>
  <c r="F25" i="58" s="1"/>
  <c r="E25" i="58"/>
  <c r="D25" i="58"/>
  <c r="O24" i="58"/>
  <c r="L24" i="58"/>
  <c r="I24" i="58"/>
  <c r="F24" i="58"/>
  <c r="E24" i="58"/>
  <c r="D24" i="58"/>
  <c r="O23" i="58"/>
  <c r="L23" i="58"/>
  <c r="I23" i="58"/>
  <c r="F23" i="58" s="1"/>
  <c r="E23" i="58"/>
  <c r="D23" i="58"/>
  <c r="O22" i="58"/>
  <c r="L22" i="58"/>
  <c r="I22" i="58"/>
  <c r="F22" i="58"/>
  <c r="E22" i="58"/>
  <c r="D22" i="58"/>
  <c r="O21" i="58"/>
  <c r="L21" i="58"/>
  <c r="I21" i="58"/>
  <c r="F21" i="58" s="1"/>
  <c r="E21" i="58"/>
  <c r="D21" i="58"/>
  <c r="O20" i="58"/>
  <c r="L20" i="58"/>
  <c r="I20" i="58"/>
  <c r="F20" i="58"/>
  <c r="E20" i="58"/>
  <c r="D20" i="58"/>
  <c r="O19" i="58"/>
  <c r="L19" i="58"/>
  <c r="I19" i="58"/>
  <c r="F19" i="58" s="1"/>
  <c r="E19" i="58"/>
  <c r="D19" i="58"/>
  <c r="O18" i="58"/>
  <c r="L18" i="58"/>
  <c r="I18" i="58"/>
  <c r="F18" i="58"/>
  <c r="E18" i="58"/>
  <c r="D18" i="58"/>
  <c r="O17" i="58"/>
  <c r="L17" i="58"/>
  <c r="I17" i="58"/>
  <c r="F17" i="58" s="1"/>
  <c r="E17" i="58"/>
  <c r="D17" i="58"/>
  <c r="O16" i="58"/>
  <c r="M16" i="58"/>
  <c r="M27" i="58" s="1"/>
  <c r="O27" i="58" s="1"/>
  <c r="J16" i="58"/>
  <c r="D16" i="58" s="1"/>
  <c r="I16" i="58"/>
  <c r="E16" i="58"/>
  <c r="H15" i="58"/>
  <c r="G15" i="58"/>
  <c r="E15" i="58"/>
  <c r="O14" i="58"/>
  <c r="L14" i="58"/>
  <c r="F14" i="58" s="1"/>
  <c r="E14" i="58"/>
  <c r="D14" i="58"/>
  <c r="O13" i="58"/>
  <c r="L13" i="58"/>
  <c r="F13" i="58" s="1"/>
  <c r="E13" i="58"/>
  <c r="D13" i="58"/>
  <c r="O12" i="58"/>
  <c r="L12" i="58"/>
  <c r="F12" i="58" s="1"/>
  <c r="E12" i="58"/>
  <c r="D12" i="58"/>
  <c r="O11" i="58"/>
  <c r="L11" i="58"/>
  <c r="F11" i="58"/>
  <c r="E11" i="58"/>
  <c r="D11" i="58"/>
  <c r="O10" i="58"/>
  <c r="L10" i="58"/>
  <c r="F10" i="58" s="1"/>
  <c r="E10" i="58"/>
  <c r="D10" i="58"/>
  <c r="O9" i="58"/>
  <c r="L9" i="58"/>
  <c r="F9" i="58" s="1"/>
  <c r="E9" i="58"/>
  <c r="D9" i="58"/>
  <c r="O8" i="58"/>
  <c r="L8" i="58"/>
  <c r="F8" i="58" s="1"/>
  <c r="E8" i="58"/>
  <c r="D8" i="58"/>
  <c r="O7" i="58"/>
  <c r="L7" i="58"/>
  <c r="F7" i="58"/>
  <c r="E7" i="58"/>
  <c r="D7" i="58"/>
  <c r="O6" i="58"/>
  <c r="L6" i="58"/>
  <c r="F6" i="58" s="1"/>
  <c r="E6" i="58"/>
  <c r="D6" i="58"/>
  <c r="O5" i="58"/>
  <c r="L5" i="58"/>
  <c r="F5" i="58" s="1"/>
  <c r="E5" i="58"/>
  <c r="D5" i="58"/>
  <c r="O4" i="58"/>
  <c r="M4" i="58"/>
  <c r="M15" i="58" s="1"/>
  <c r="O15" i="58" s="1"/>
  <c r="J4" i="58"/>
  <c r="J15" i="58" s="1"/>
  <c r="I4" i="58"/>
  <c r="I15" i="58" s="1"/>
  <c r="E4" i="58"/>
  <c r="D4" i="58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1" i="12"/>
  <c r="D80" i="12"/>
  <c r="D79" i="12"/>
  <c r="D78" i="12"/>
  <c r="D82" i="12" s="1"/>
  <c r="X76" i="12"/>
  <c r="W76" i="12"/>
  <c r="V76" i="12"/>
  <c r="T76" i="12"/>
  <c r="S76" i="12"/>
  <c r="P76" i="12"/>
  <c r="O76" i="12"/>
  <c r="N76" i="12"/>
  <c r="M76" i="12"/>
  <c r="K76" i="12"/>
  <c r="J76" i="12"/>
  <c r="H76" i="12"/>
  <c r="G76" i="12"/>
  <c r="U75" i="12"/>
  <c r="R75" i="12"/>
  <c r="Q75" i="12"/>
  <c r="L75" i="12"/>
  <c r="I75" i="12"/>
  <c r="F75" i="12" s="1"/>
  <c r="E75" i="12"/>
  <c r="D75" i="12"/>
  <c r="R74" i="12"/>
  <c r="L74" i="12"/>
  <c r="I74" i="12"/>
  <c r="F74" i="12" s="1"/>
  <c r="E74" i="12"/>
  <c r="D74" i="12"/>
  <c r="R73" i="12"/>
  <c r="L73" i="12"/>
  <c r="I73" i="12"/>
  <c r="F73" i="12" s="1"/>
  <c r="E73" i="12"/>
  <c r="D73" i="12"/>
  <c r="U72" i="12"/>
  <c r="U76" i="12" s="1"/>
  <c r="Q72" i="12"/>
  <c r="R72" i="12" s="1"/>
  <c r="R76" i="12" s="1"/>
  <c r="L72" i="12"/>
  <c r="L76" i="12" s="1"/>
  <c r="I72" i="12"/>
  <c r="E72" i="12"/>
  <c r="D72" i="12"/>
  <c r="I71" i="12"/>
  <c r="F71" i="12" s="1"/>
  <c r="E71" i="12"/>
  <c r="D71" i="12"/>
  <c r="I70" i="12"/>
  <c r="F70" i="12" s="1"/>
  <c r="E70" i="12"/>
  <c r="D70" i="12"/>
  <c r="I69" i="12"/>
  <c r="F69" i="12" s="1"/>
  <c r="E69" i="12"/>
  <c r="D69" i="12"/>
  <c r="I68" i="12"/>
  <c r="F68" i="12" s="1"/>
  <c r="E68" i="12"/>
  <c r="E76" i="12" s="1"/>
  <c r="D68" i="12"/>
  <c r="D76" i="12" s="1"/>
  <c r="W65" i="12"/>
  <c r="V65" i="12"/>
  <c r="T65" i="12"/>
  <c r="S65" i="12"/>
  <c r="R65" i="12"/>
  <c r="Q65" i="12"/>
  <c r="P65" i="12"/>
  <c r="O65" i="12"/>
  <c r="N65" i="12"/>
  <c r="M65" i="12"/>
  <c r="L65" i="12"/>
  <c r="K65" i="12"/>
  <c r="J65" i="12"/>
  <c r="H65" i="12"/>
  <c r="G65" i="12"/>
  <c r="D65" i="12"/>
  <c r="X64" i="12"/>
  <c r="U64" i="12"/>
  <c r="L64" i="12"/>
  <c r="I64" i="12"/>
  <c r="F64" i="12" s="1"/>
  <c r="E64" i="12"/>
  <c r="D64" i="12"/>
  <c r="X63" i="12"/>
  <c r="X65" i="12" s="1"/>
  <c r="U63" i="12"/>
  <c r="U65" i="12" s="1"/>
  <c r="L63" i="12"/>
  <c r="I63" i="12"/>
  <c r="I65" i="12" s="1"/>
  <c r="E63" i="12"/>
  <c r="D63" i="12"/>
  <c r="I62" i="12"/>
  <c r="F62" i="12"/>
  <c r="E62" i="12"/>
  <c r="E65" i="12" s="1"/>
  <c r="D62" i="12"/>
  <c r="W60" i="12"/>
  <c r="S60" i="12"/>
  <c r="G60" i="12"/>
  <c r="X59" i="12"/>
  <c r="W59" i="12"/>
  <c r="V59" i="12"/>
  <c r="V60" i="12" s="1"/>
  <c r="T59" i="12"/>
  <c r="T60" i="12" s="1"/>
  <c r="S59" i="12"/>
  <c r="P59" i="12"/>
  <c r="P60" i="12" s="1"/>
  <c r="N59" i="12"/>
  <c r="N60" i="12" s="1"/>
  <c r="M59" i="12"/>
  <c r="M60" i="12" s="1"/>
  <c r="K59" i="12"/>
  <c r="J59" i="12"/>
  <c r="J60" i="12" s="1"/>
  <c r="H59" i="12"/>
  <c r="G59" i="12"/>
  <c r="D59" i="12"/>
  <c r="X58" i="12"/>
  <c r="U58" i="12"/>
  <c r="O58" i="12"/>
  <c r="L58" i="12"/>
  <c r="F58" i="12" s="1"/>
  <c r="I58" i="12"/>
  <c r="E58" i="12"/>
  <c r="D58" i="12"/>
  <c r="X57" i="12"/>
  <c r="U57" i="12"/>
  <c r="O57" i="12"/>
  <c r="L57" i="12"/>
  <c r="F57" i="12" s="1"/>
  <c r="I57" i="12"/>
  <c r="E57" i="12"/>
  <c r="D57" i="12"/>
  <c r="X56" i="12"/>
  <c r="U56" i="12"/>
  <c r="O56" i="12"/>
  <c r="L56" i="12"/>
  <c r="F56" i="12" s="1"/>
  <c r="I56" i="12"/>
  <c r="E56" i="12"/>
  <c r="D56" i="12"/>
  <c r="X55" i="12"/>
  <c r="U55" i="12"/>
  <c r="R55" i="12"/>
  <c r="O55" i="12"/>
  <c r="L55" i="12"/>
  <c r="I55" i="12"/>
  <c r="F55" i="12" s="1"/>
  <c r="E55" i="12"/>
  <c r="D55" i="12"/>
  <c r="X54" i="12"/>
  <c r="U54" i="12"/>
  <c r="U59" i="12" s="1"/>
  <c r="R54" i="12"/>
  <c r="R59" i="12" s="1"/>
  <c r="R60" i="12" s="1"/>
  <c r="Q54" i="12"/>
  <c r="Q59" i="12" s="1"/>
  <c r="O54" i="12"/>
  <c r="O59" i="12" s="1"/>
  <c r="L54" i="12"/>
  <c r="I54" i="12"/>
  <c r="F54" i="12" s="1"/>
  <c r="F59" i="12" s="1"/>
  <c r="E54" i="12"/>
  <c r="E59" i="12" s="1"/>
  <c r="D54" i="12"/>
  <c r="X53" i="12"/>
  <c r="W53" i="12"/>
  <c r="V53" i="12"/>
  <c r="T53" i="12"/>
  <c r="S53" i="12"/>
  <c r="R53" i="12"/>
  <c r="Q53" i="12"/>
  <c r="P53" i="12"/>
  <c r="N53" i="12"/>
  <c r="M53" i="12"/>
  <c r="K53" i="12"/>
  <c r="J53" i="12"/>
  <c r="H53" i="12"/>
  <c r="G53" i="12"/>
  <c r="D53" i="12"/>
  <c r="X52" i="12"/>
  <c r="U52" i="12"/>
  <c r="O52" i="12"/>
  <c r="L52" i="12"/>
  <c r="F52" i="12" s="1"/>
  <c r="I52" i="12"/>
  <c r="E52" i="12"/>
  <c r="D52" i="12"/>
  <c r="X51" i="12"/>
  <c r="U51" i="12"/>
  <c r="U53" i="12" s="1"/>
  <c r="O51" i="12"/>
  <c r="O53" i="12" s="1"/>
  <c r="L51" i="12"/>
  <c r="L53" i="12" s="1"/>
  <c r="I51" i="12"/>
  <c r="F51" i="12" s="1"/>
  <c r="F53" i="12" s="1"/>
  <c r="E51" i="12"/>
  <c r="E53" i="12" s="1"/>
  <c r="D51" i="12"/>
  <c r="W50" i="12"/>
  <c r="V50" i="12"/>
  <c r="U50" i="12"/>
  <c r="T50" i="12"/>
  <c r="S50" i="12"/>
  <c r="Q50" i="12"/>
  <c r="P50" i="12"/>
  <c r="N50" i="12"/>
  <c r="M50" i="12"/>
  <c r="D50" i="12" s="1"/>
  <c r="J50" i="12"/>
  <c r="G50" i="12"/>
  <c r="X49" i="12"/>
  <c r="U49" i="12"/>
  <c r="R49" i="12"/>
  <c r="R50" i="12" s="1"/>
  <c r="O49" i="12"/>
  <c r="L49" i="12"/>
  <c r="K49" i="12"/>
  <c r="K50" i="12" s="1"/>
  <c r="K60" i="12" s="1"/>
  <c r="I49" i="12"/>
  <c r="F49" i="12" s="1"/>
  <c r="H49" i="12"/>
  <c r="H50" i="12" s="1"/>
  <c r="D49" i="12"/>
  <c r="X48" i="12"/>
  <c r="U48" i="12"/>
  <c r="O48" i="12"/>
  <c r="L48" i="12"/>
  <c r="I48" i="12"/>
  <c r="F48" i="12" s="1"/>
  <c r="E48" i="12"/>
  <c r="D48" i="12"/>
  <c r="X47" i="12"/>
  <c r="U47" i="12"/>
  <c r="O47" i="12"/>
  <c r="L47" i="12"/>
  <c r="I47" i="12"/>
  <c r="F47" i="12" s="1"/>
  <c r="E47" i="12"/>
  <c r="D47" i="12"/>
  <c r="X46" i="12"/>
  <c r="U46" i="12"/>
  <c r="O46" i="12"/>
  <c r="L46" i="12"/>
  <c r="I46" i="12"/>
  <c r="F46" i="12" s="1"/>
  <c r="E46" i="12"/>
  <c r="D46" i="12"/>
  <c r="X45" i="12"/>
  <c r="U45" i="12"/>
  <c r="O45" i="12"/>
  <c r="L45" i="12"/>
  <c r="I45" i="12"/>
  <c r="F45" i="12" s="1"/>
  <c r="E45" i="12"/>
  <c r="D45" i="12"/>
  <c r="X44" i="12"/>
  <c r="U44" i="12"/>
  <c r="O44" i="12"/>
  <c r="L44" i="12"/>
  <c r="I44" i="12"/>
  <c r="F44" i="12" s="1"/>
  <c r="E44" i="12"/>
  <c r="D44" i="12"/>
  <c r="X43" i="12"/>
  <c r="U43" i="12"/>
  <c r="O43" i="12"/>
  <c r="L43" i="12"/>
  <c r="I43" i="12"/>
  <c r="F43" i="12" s="1"/>
  <c r="E43" i="12"/>
  <c r="D43" i="12"/>
  <c r="X42" i="12"/>
  <c r="U42" i="12"/>
  <c r="O42" i="12"/>
  <c r="L42" i="12"/>
  <c r="I42" i="12"/>
  <c r="F42" i="12" s="1"/>
  <c r="E42" i="12"/>
  <c r="D42" i="12"/>
  <c r="X41" i="12"/>
  <c r="X50" i="12" s="1"/>
  <c r="U41" i="12"/>
  <c r="O41" i="12"/>
  <c r="O50" i="12" s="1"/>
  <c r="L41" i="12"/>
  <c r="L50" i="12" s="1"/>
  <c r="I41" i="12"/>
  <c r="F41" i="12" s="1"/>
  <c r="E41" i="12"/>
  <c r="D41" i="12"/>
  <c r="W40" i="12"/>
  <c r="V40" i="12"/>
  <c r="U40" i="12"/>
  <c r="T40" i="12"/>
  <c r="S40" i="12"/>
  <c r="R40" i="12"/>
  <c r="Q40" i="12"/>
  <c r="P40" i="12"/>
  <c r="N40" i="12"/>
  <c r="M40" i="12"/>
  <c r="D40" i="12" s="1"/>
  <c r="K40" i="12"/>
  <c r="J40" i="12"/>
  <c r="I40" i="12"/>
  <c r="H40" i="12"/>
  <c r="G40" i="12"/>
  <c r="X39" i="12"/>
  <c r="U39" i="12"/>
  <c r="O39" i="12"/>
  <c r="L39" i="12"/>
  <c r="F39" i="12" s="1"/>
  <c r="I39" i="12"/>
  <c r="E39" i="12"/>
  <c r="D39" i="12"/>
  <c r="X38" i="12"/>
  <c r="X40" i="12" s="1"/>
  <c r="U38" i="12"/>
  <c r="O38" i="12"/>
  <c r="O40" i="12" s="1"/>
  <c r="L38" i="12"/>
  <c r="L40" i="12" s="1"/>
  <c r="I38" i="12"/>
  <c r="E38" i="12"/>
  <c r="E40" i="12" s="1"/>
  <c r="D38" i="12"/>
  <c r="W37" i="12"/>
  <c r="V37" i="12"/>
  <c r="T37" i="12"/>
  <c r="S37" i="12"/>
  <c r="R37" i="12"/>
  <c r="P37" i="12"/>
  <c r="N37" i="12"/>
  <c r="M37" i="12"/>
  <c r="K37" i="12"/>
  <c r="J37" i="12"/>
  <c r="D37" i="12" s="1"/>
  <c r="H37" i="12"/>
  <c r="G37" i="12"/>
  <c r="X36" i="12"/>
  <c r="U36" i="12"/>
  <c r="F36" i="12" s="1"/>
  <c r="O36" i="12"/>
  <c r="L36" i="12"/>
  <c r="I36" i="12"/>
  <c r="E36" i="12"/>
  <c r="D36" i="12"/>
  <c r="X35" i="12"/>
  <c r="U35" i="12"/>
  <c r="O35" i="12"/>
  <c r="L35" i="12"/>
  <c r="I35" i="12"/>
  <c r="F35" i="12"/>
  <c r="E35" i="12"/>
  <c r="D35" i="12"/>
  <c r="X34" i="12"/>
  <c r="X37" i="12" s="1"/>
  <c r="U34" i="12"/>
  <c r="U37" i="12" s="1"/>
  <c r="R34" i="12"/>
  <c r="Q34" i="12"/>
  <c r="Q37" i="12" s="1"/>
  <c r="O34" i="12"/>
  <c r="O37" i="12" s="1"/>
  <c r="L34" i="12"/>
  <c r="L37" i="12" s="1"/>
  <c r="I34" i="12"/>
  <c r="I37" i="12" s="1"/>
  <c r="D34" i="12"/>
  <c r="X31" i="12"/>
  <c r="U31" i="12"/>
  <c r="O31" i="12"/>
  <c r="L31" i="12"/>
  <c r="I31" i="12"/>
  <c r="F31" i="12" s="1"/>
  <c r="E31" i="12"/>
  <c r="D31" i="12"/>
  <c r="X30" i="12"/>
  <c r="U30" i="12"/>
  <c r="O30" i="12"/>
  <c r="L30" i="12"/>
  <c r="I30" i="12"/>
  <c r="F30" i="12" s="1"/>
  <c r="E30" i="12"/>
  <c r="D30" i="12"/>
  <c r="X29" i="12"/>
  <c r="U29" i="12"/>
  <c r="O29" i="12"/>
  <c r="L29" i="12"/>
  <c r="I29" i="12"/>
  <c r="F29" i="12" s="1"/>
  <c r="E29" i="12"/>
  <c r="D29" i="12"/>
  <c r="X28" i="12"/>
  <c r="U28" i="12"/>
  <c r="O28" i="12"/>
  <c r="L28" i="12"/>
  <c r="I28" i="12"/>
  <c r="F28" i="12" s="1"/>
  <c r="E28" i="12"/>
  <c r="D28" i="12"/>
  <c r="X27" i="12"/>
  <c r="X26" i="12" s="1"/>
  <c r="U27" i="12"/>
  <c r="O27" i="12"/>
  <c r="L27" i="12"/>
  <c r="L26" i="12" s="1"/>
  <c r="K27" i="12"/>
  <c r="H27" i="12"/>
  <c r="I27" i="12" s="1"/>
  <c r="E27" i="12"/>
  <c r="D27" i="12"/>
  <c r="W26" i="12"/>
  <c r="V26" i="12"/>
  <c r="U26" i="12"/>
  <c r="T26" i="12"/>
  <c r="S26" i="12"/>
  <c r="R26" i="12"/>
  <c r="Q26" i="12"/>
  <c r="P26" i="12"/>
  <c r="O26" i="12"/>
  <c r="N26" i="12"/>
  <c r="M26" i="12"/>
  <c r="K26" i="12"/>
  <c r="E26" i="12" s="1"/>
  <c r="J26" i="12"/>
  <c r="H26" i="12"/>
  <c r="G26" i="12"/>
  <c r="D26" i="12" s="1"/>
  <c r="T24" i="12"/>
  <c r="P24" i="12"/>
  <c r="X23" i="12"/>
  <c r="W23" i="12"/>
  <c r="V23" i="12"/>
  <c r="V24" i="12" s="1"/>
  <c r="T23" i="12"/>
  <c r="S23" i="12"/>
  <c r="R23" i="12"/>
  <c r="R24" i="12" s="1"/>
  <c r="Q23" i="12"/>
  <c r="Q24" i="12" s="1"/>
  <c r="P23" i="12"/>
  <c r="N23" i="12"/>
  <c r="N24" i="12" s="1"/>
  <c r="M23" i="12"/>
  <c r="M24" i="12" s="1"/>
  <c r="K23" i="12"/>
  <c r="J23" i="12"/>
  <c r="J24" i="12" s="1"/>
  <c r="I23" i="12"/>
  <c r="H23" i="12"/>
  <c r="G23" i="12"/>
  <c r="X22" i="12"/>
  <c r="U22" i="12"/>
  <c r="O22" i="12"/>
  <c r="L22" i="12"/>
  <c r="I22" i="12"/>
  <c r="F22" i="12" s="1"/>
  <c r="E22" i="12"/>
  <c r="E23" i="12" s="1"/>
  <c r="D22" i="12"/>
  <c r="D23" i="12" s="1"/>
  <c r="X21" i="12"/>
  <c r="U21" i="12"/>
  <c r="O21" i="12"/>
  <c r="L21" i="12"/>
  <c r="I21" i="12"/>
  <c r="H21" i="12"/>
  <c r="F21" i="12"/>
  <c r="E21" i="12"/>
  <c r="D21" i="12"/>
  <c r="X20" i="12"/>
  <c r="U20" i="12"/>
  <c r="U23" i="12" s="1"/>
  <c r="O20" i="12"/>
  <c r="O23" i="12" s="1"/>
  <c r="O24" i="12" s="1"/>
  <c r="L20" i="12"/>
  <c r="L23" i="12" s="1"/>
  <c r="I20" i="12"/>
  <c r="F20" i="12"/>
  <c r="E20" i="12"/>
  <c r="D20" i="12"/>
  <c r="W19" i="12"/>
  <c r="W24" i="12" s="1"/>
  <c r="V19" i="12"/>
  <c r="T19" i="12"/>
  <c r="S19" i="12"/>
  <c r="S24" i="12" s="1"/>
  <c r="R19" i="12"/>
  <c r="Q19" i="12"/>
  <c r="P19" i="12"/>
  <c r="N19" i="12"/>
  <c r="M19" i="12"/>
  <c r="K19" i="12"/>
  <c r="K24" i="12" s="1"/>
  <c r="J19" i="12"/>
  <c r="G19" i="12"/>
  <c r="G24" i="12" s="1"/>
  <c r="X18" i="12"/>
  <c r="U18" i="12"/>
  <c r="O18" i="12"/>
  <c r="L18" i="12"/>
  <c r="I18" i="12"/>
  <c r="F18" i="12" s="1"/>
  <c r="E18" i="12"/>
  <c r="D18" i="12"/>
  <c r="X17" i="12"/>
  <c r="U17" i="12"/>
  <c r="O17" i="12"/>
  <c r="L17" i="12"/>
  <c r="I17" i="12"/>
  <c r="F17" i="12" s="1"/>
  <c r="E17" i="12"/>
  <c r="D17" i="12"/>
  <c r="X16" i="12"/>
  <c r="U16" i="12"/>
  <c r="O16" i="12"/>
  <c r="L16" i="12"/>
  <c r="I16" i="12"/>
  <c r="F16" i="12" s="1"/>
  <c r="E16" i="12"/>
  <c r="D16" i="12"/>
  <c r="X15" i="12"/>
  <c r="U15" i="12"/>
  <c r="O15" i="12"/>
  <c r="L15" i="12"/>
  <c r="I15" i="12"/>
  <c r="F15" i="12" s="1"/>
  <c r="H15" i="12"/>
  <c r="E15" i="12" s="1"/>
  <c r="D15" i="12"/>
  <c r="X14" i="12"/>
  <c r="U14" i="12"/>
  <c r="O14" i="12"/>
  <c r="L14" i="12"/>
  <c r="I14" i="12"/>
  <c r="F14" i="12" s="1"/>
  <c r="E14" i="12"/>
  <c r="D14" i="12"/>
  <c r="X13" i="12"/>
  <c r="U13" i="12"/>
  <c r="O13" i="12"/>
  <c r="L13" i="12"/>
  <c r="I13" i="12"/>
  <c r="F13" i="12" s="1"/>
  <c r="E13" i="12"/>
  <c r="D13" i="12"/>
  <c r="X12" i="12"/>
  <c r="U12" i="12"/>
  <c r="O12" i="12"/>
  <c r="L12" i="12"/>
  <c r="I12" i="12"/>
  <c r="F12" i="12" s="1"/>
  <c r="E12" i="12"/>
  <c r="D12" i="12"/>
  <c r="X11" i="12"/>
  <c r="U11" i="12"/>
  <c r="O11" i="12"/>
  <c r="L11" i="12"/>
  <c r="I11" i="12"/>
  <c r="F11" i="12" s="1"/>
  <c r="E11" i="12"/>
  <c r="D11" i="12"/>
  <c r="X10" i="12"/>
  <c r="U10" i="12"/>
  <c r="O10" i="12"/>
  <c r="L10" i="12"/>
  <c r="I10" i="12"/>
  <c r="F10" i="12" s="1"/>
  <c r="E10" i="12"/>
  <c r="D10" i="12"/>
  <c r="X9" i="12"/>
  <c r="U9" i="12"/>
  <c r="O9" i="12"/>
  <c r="L9" i="12"/>
  <c r="I9" i="12"/>
  <c r="F9" i="12" s="1"/>
  <c r="E9" i="12"/>
  <c r="D9" i="12"/>
  <c r="X8" i="12"/>
  <c r="U8" i="12"/>
  <c r="O8" i="12"/>
  <c r="L8" i="12"/>
  <c r="I8" i="12"/>
  <c r="F8" i="12" s="1"/>
  <c r="E8" i="12"/>
  <c r="D8" i="12"/>
  <c r="X7" i="12"/>
  <c r="U7" i="12"/>
  <c r="O7" i="12"/>
  <c r="L7" i="12"/>
  <c r="I7" i="12"/>
  <c r="F7" i="12" s="1"/>
  <c r="E7" i="12"/>
  <c r="D7" i="12"/>
  <c r="X6" i="12"/>
  <c r="W6" i="12"/>
  <c r="U6" i="12"/>
  <c r="O6" i="12"/>
  <c r="O19" i="12" s="1"/>
  <c r="L6" i="12"/>
  <c r="I6" i="12"/>
  <c r="F6" i="12" s="1"/>
  <c r="E6" i="12"/>
  <c r="D6" i="12"/>
  <c r="W5" i="12"/>
  <c r="X5" i="12" s="1"/>
  <c r="X19" i="12" s="1"/>
  <c r="X24" i="12" s="1"/>
  <c r="U5" i="12"/>
  <c r="U19" i="12" s="1"/>
  <c r="O5" i="12"/>
  <c r="K5" i="12"/>
  <c r="L5" i="12" s="1"/>
  <c r="L19" i="12" s="1"/>
  <c r="I5" i="12"/>
  <c r="I19" i="12" s="1"/>
  <c r="H5" i="12"/>
  <c r="H19" i="12" s="1"/>
  <c r="H24" i="12" s="1"/>
  <c r="D5" i="12"/>
  <c r="D19" i="12" s="1"/>
  <c r="R81" i="16"/>
  <c r="Q81" i="16"/>
  <c r="P81" i="16"/>
  <c r="O81" i="16"/>
  <c r="N81" i="16"/>
  <c r="M81" i="16"/>
  <c r="L81" i="16"/>
  <c r="K81" i="16"/>
  <c r="K85" i="16" s="1"/>
  <c r="J81" i="16"/>
  <c r="I81" i="16"/>
  <c r="H81" i="16"/>
  <c r="G81" i="16"/>
  <c r="F81" i="16"/>
  <c r="E81" i="16"/>
  <c r="D80" i="16"/>
  <c r="D79" i="16"/>
  <c r="D78" i="16"/>
  <c r="D77" i="16"/>
  <c r="D81" i="16" s="1"/>
  <c r="R75" i="16"/>
  <c r="Q75" i="16"/>
  <c r="P75" i="16"/>
  <c r="O75" i="16"/>
  <c r="N75" i="16"/>
  <c r="M75" i="16"/>
  <c r="L75" i="16"/>
  <c r="K75" i="16"/>
  <c r="J75" i="16"/>
  <c r="G75" i="16"/>
  <c r="L74" i="16"/>
  <c r="I74" i="16"/>
  <c r="F74" i="16" s="1"/>
  <c r="H74" i="16"/>
  <c r="E74" i="16"/>
  <c r="D74" i="16"/>
  <c r="F73" i="16"/>
  <c r="E73" i="16"/>
  <c r="D73" i="16"/>
  <c r="F72" i="16"/>
  <c r="E72" i="16"/>
  <c r="D72" i="16"/>
  <c r="L71" i="16"/>
  <c r="I71" i="16"/>
  <c r="F71" i="16" s="1"/>
  <c r="H71" i="16"/>
  <c r="E71" i="16"/>
  <c r="D71" i="16"/>
  <c r="H70" i="16"/>
  <c r="H75" i="16" s="1"/>
  <c r="E70" i="16"/>
  <c r="D70" i="16"/>
  <c r="F69" i="16"/>
  <c r="E69" i="16"/>
  <c r="D69" i="16"/>
  <c r="D75" i="16" s="1"/>
  <c r="F68" i="16"/>
  <c r="E68" i="16"/>
  <c r="D68" i="16"/>
  <c r="I67" i="16"/>
  <c r="F67" i="16" s="1"/>
  <c r="E67" i="16"/>
  <c r="E75" i="16" s="1"/>
  <c r="D67" i="16"/>
  <c r="R64" i="16"/>
  <c r="Q64" i="16"/>
  <c r="O64" i="16"/>
  <c r="N64" i="16"/>
  <c r="M64" i="16"/>
  <c r="I64" i="16"/>
  <c r="H64" i="16"/>
  <c r="G64" i="16"/>
  <c r="L63" i="16"/>
  <c r="L62" i="16" s="1"/>
  <c r="L64" i="16" s="1"/>
  <c r="I63" i="16"/>
  <c r="F63" i="16"/>
  <c r="E63" i="16"/>
  <c r="D63" i="16"/>
  <c r="K62" i="16"/>
  <c r="K64" i="16" s="1"/>
  <c r="E64" i="16" s="1"/>
  <c r="J62" i="16"/>
  <c r="J64" i="16" s="1"/>
  <c r="I62" i="16"/>
  <c r="F62" i="16" s="1"/>
  <c r="F64" i="16" s="1"/>
  <c r="E62" i="16"/>
  <c r="D62" i="16"/>
  <c r="I61" i="16"/>
  <c r="F61" i="16" s="1"/>
  <c r="E61" i="16"/>
  <c r="D61" i="16"/>
  <c r="P59" i="16"/>
  <c r="N58" i="16"/>
  <c r="M58" i="16"/>
  <c r="O58" i="16" s="1"/>
  <c r="J58" i="16"/>
  <c r="G58" i="16"/>
  <c r="G59" i="16" s="1"/>
  <c r="R57" i="16"/>
  <c r="O57" i="16"/>
  <c r="L57" i="16"/>
  <c r="F57" i="16" s="1"/>
  <c r="I57" i="16"/>
  <c r="E57" i="16"/>
  <c r="D57" i="16"/>
  <c r="R56" i="16"/>
  <c r="O56" i="16"/>
  <c r="L56" i="16"/>
  <c r="I56" i="16"/>
  <c r="F56" i="16" s="1"/>
  <c r="E56" i="16"/>
  <c r="D56" i="16"/>
  <c r="R55" i="16"/>
  <c r="O55" i="16"/>
  <c r="L55" i="16"/>
  <c r="I55" i="16"/>
  <c r="F55" i="16"/>
  <c r="E55" i="16"/>
  <c r="D55" i="16"/>
  <c r="R54" i="16"/>
  <c r="O54" i="16"/>
  <c r="L54" i="16"/>
  <c r="I54" i="16"/>
  <c r="E54" i="16"/>
  <c r="D54" i="16"/>
  <c r="R53" i="16"/>
  <c r="Q53" i="16"/>
  <c r="Q58" i="16" s="1"/>
  <c r="O53" i="16"/>
  <c r="K53" i="16"/>
  <c r="K58" i="16" s="1"/>
  <c r="K59" i="16" s="1"/>
  <c r="H53" i="16"/>
  <c r="E53" i="16" s="1"/>
  <c r="D53" i="16"/>
  <c r="R52" i="16"/>
  <c r="Q52" i="16"/>
  <c r="P52" i="16"/>
  <c r="N52" i="16"/>
  <c r="M52" i="16"/>
  <c r="K52" i="16"/>
  <c r="J52" i="16"/>
  <c r="J59" i="16" s="1"/>
  <c r="H52" i="16"/>
  <c r="G52" i="16"/>
  <c r="R51" i="16"/>
  <c r="O51" i="16"/>
  <c r="O52" i="16" s="1"/>
  <c r="L51" i="16"/>
  <c r="I51" i="16"/>
  <c r="F51" i="16" s="1"/>
  <c r="F52" i="16" s="1"/>
  <c r="E51" i="16"/>
  <c r="E52" i="16" s="1"/>
  <c r="D51" i="16"/>
  <c r="R50" i="16"/>
  <c r="O50" i="16"/>
  <c r="L50" i="16"/>
  <c r="L52" i="16" s="1"/>
  <c r="I50" i="16"/>
  <c r="F50" i="16"/>
  <c r="E50" i="16"/>
  <c r="D50" i="16"/>
  <c r="D52" i="16" s="1"/>
  <c r="P49" i="16"/>
  <c r="M49" i="16"/>
  <c r="K49" i="16"/>
  <c r="J49" i="16"/>
  <c r="H49" i="16"/>
  <c r="G49" i="16"/>
  <c r="R48" i="16"/>
  <c r="O48" i="16"/>
  <c r="L48" i="16"/>
  <c r="I48" i="16"/>
  <c r="F48" i="16"/>
  <c r="E48" i="16"/>
  <c r="D48" i="16"/>
  <c r="R47" i="16"/>
  <c r="O47" i="16"/>
  <c r="N47" i="16"/>
  <c r="N49" i="16" s="1"/>
  <c r="L47" i="16"/>
  <c r="I47" i="16"/>
  <c r="F47" i="16"/>
  <c r="E47" i="16"/>
  <c r="D47" i="16"/>
  <c r="R46" i="16"/>
  <c r="O46" i="16"/>
  <c r="L46" i="16"/>
  <c r="I46" i="16"/>
  <c r="F46" i="16" s="1"/>
  <c r="E46" i="16"/>
  <c r="D46" i="16"/>
  <c r="R45" i="16"/>
  <c r="O45" i="16"/>
  <c r="L45" i="16"/>
  <c r="F45" i="16" s="1"/>
  <c r="I45" i="16"/>
  <c r="E45" i="16"/>
  <c r="D45" i="16"/>
  <c r="R44" i="16"/>
  <c r="O44" i="16"/>
  <c r="L44" i="16"/>
  <c r="I44" i="16"/>
  <c r="F44" i="16" s="1"/>
  <c r="E44" i="16"/>
  <c r="D44" i="16"/>
  <c r="R43" i="16"/>
  <c r="O43" i="16"/>
  <c r="L43" i="16"/>
  <c r="I43" i="16"/>
  <c r="F43" i="16"/>
  <c r="E43" i="16"/>
  <c r="D43" i="16"/>
  <c r="R42" i="16"/>
  <c r="O42" i="16"/>
  <c r="L42" i="16"/>
  <c r="I42" i="16"/>
  <c r="F42" i="16" s="1"/>
  <c r="E42" i="16"/>
  <c r="D42" i="16"/>
  <c r="R41" i="16"/>
  <c r="Q41" i="16"/>
  <c r="Q49" i="16" s="1"/>
  <c r="O41" i="16"/>
  <c r="O49" i="16" s="1"/>
  <c r="L41" i="16"/>
  <c r="I41" i="16"/>
  <c r="F41" i="16" s="1"/>
  <c r="E41" i="16"/>
  <c r="D41" i="16"/>
  <c r="R40" i="16"/>
  <c r="R49" i="16" s="1"/>
  <c r="O40" i="16"/>
  <c r="L40" i="16"/>
  <c r="F40" i="16" s="1"/>
  <c r="I40" i="16"/>
  <c r="I49" i="16" s="1"/>
  <c r="E40" i="16"/>
  <c r="E49" i="16" s="1"/>
  <c r="D40" i="16"/>
  <c r="D49" i="16" s="1"/>
  <c r="Q39" i="16"/>
  <c r="P39" i="16"/>
  <c r="N39" i="16"/>
  <c r="M39" i="16"/>
  <c r="K39" i="16"/>
  <c r="J39" i="16"/>
  <c r="G39" i="16"/>
  <c r="R38" i="16"/>
  <c r="R39" i="16" s="1"/>
  <c r="O38" i="16"/>
  <c r="L38" i="16"/>
  <c r="L39" i="16" s="1"/>
  <c r="I38" i="16"/>
  <c r="F38" i="16"/>
  <c r="E38" i="16"/>
  <c r="D38" i="16"/>
  <c r="R37" i="16"/>
  <c r="O37" i="16"/>
  <c r="O39" i="16" s="1"/>
  <c r="L37" i="16"/>
  <c r="I37" i="16"/>
  <c r="I39" i="16" s="1"/>
  <c r="H37" i="16"/>
  <c r="H39" i="16" s="1"/>
  <c r="F37" i="16"/>
  <c r="F39" i="16" s="1"/>
  <c r="D37" i="16"/>
  <c r="D39" i="16" s="1"/>
  <c r="Q36" i="16"/>
  <c r="P36" i="16"/>
  <c r="N36" i="16"/>
  <c r="M36" i="16"/>
  <c r="K36" i="16"/>
  <c r="J36" i="16"/>
  <c r="G36" i="16"/>
  <c r="R35" i="16"/>
  <c r="O35" i="16"/>
  <c r="L35" i="16"/>
  <c r="F35" i="16" s="1"/>
  <c r="I35" i="16"/>
  <c r="E35" i="16"/>
  <c r="D35" i="16"/>
  <c r="R34" i="16"/>
  <c r="O34" i="16"/>
  <c r="O36" i="16" s="1"/>
  <c r="L34" i="16"/>
  <c r="I34" i="16"/>
  <c r="F34" i="16" s="1"/>
  <c r="E34" i="16"/>
  <c r="D34" i="16"/>
  <c r="R33" i="16"/>
  <c r="R36" i="16" s="1"/>
  <c r="O33" i="16"/>
  <c r="L33" i="16"/>
  <c r="L36" i="16" s="1"/>
  <c r="H33" i="16"/>
  <c r="E33" i="16" s="1"/>
  <c r="E36" i="16" s="1"/>
  <c r="D33" i="16"/>
  <c r="D36" i="16" s="1"/>
  <c r="R31" i="16"/>
  <c r="O31" i="16"/>
  <c r="L31" i="16"/>
  <c r="I31" i="16"/>
  <c r="F31" i="16"/>
  <c r="E31" i="16"/>
  <c r="D31" i="16"/>
  <c r="R30" i="16"/>
  <c r="O30" i="16"/>
  <c r="O26" i="16" s="1"/>
  <c r="L30" i="16"/>
  <c r="I30" i="16"/>
  <c r="F30" i="16" s="1"/>
  <c r="E30" i="16"/>
  <c r="D30" i="16"/>
  <c r="R29" i="16"/>
  <c r="O29" i="16"/>
  <c r="L29" i="16"/>
  <c r="F29" i="16" s="1"/>
  <c r="I29" i="16"/>
  <c r="E29" i="16"/>
  <c r="D29" i="16"/>
  <c r="R28" i="16"/>
  <c r="O28" i="16"/>
  <c r="L28" i="16"/>
  <c r="I28" i="16"/>
  <c r="F28" i="16" s="1"/>
  <c r="E28" i="16"/>
  <c r="D28" i="16"/>
  <c r="R27" i="16"/>
  <c r="R26" i="16" s="1"/>
  <c r="O27" i="16"/>
  <c r="L27" i="16"/>
  <c r="L26" i="16" s="1"/>
  <c r="I27" i="16"/>
  <c r="E27" i="16"/>
  <c r="D27" i="16"/>
  <c r="D26" i="16" s="1"/>
  <c r="Q26" i="16"/>
  <c r="P26" i="16"/>
  <c r="N26" i="16"/>
  <c r="M26" i="16"/>
  <c r="K26" i="16"/>
  <c r="J26" i="16"/>
  <c r="I26" i="16"/>
  <c r="H26" i="16"/>
  <c r="G26" i="16"/>
  <c r="E26" i="16"/>
  <c r="Q23" i="16"/>
  <c r="Q24" i="16" s="1"/>
  <c r="P23" i="16"/>
  <c r="M23" i="16"/>
  <c r="M24" i="16" s="1"/>
  <c r="K23" i="16"/>
  <c r="K24" i="16" s="1"/>
  <c r="J23" i="16"/>
  <c r="H23" i="16"/>
  <c r="G23" i="16"/>
  <c r="I23" i="16" s="1"/>
  <c r="R22" i="16"/>
  <c r="O22" i="16"/>
  <c r="L22" i="16"/>
  <c r="I22" i="16"/>
  <c r="F22" i="16"/>
  <c r="E22" i="16"/>
  <c r="D22" i="16"/>
  <c r="R21" i="16"/>
  <c r="O21" i="16"/>
  <c r="N21" i="16"/>
  <c r="N23" i="16" s="1"/>
  <c r="N24" i="16" s="1"/>
  <c r="L21" i="16"/>
  <c r="I21" i="16"/>
  <c r="F21" i="16"/>
  <c r="E21" i="16"/>
  <c r="D21" i="16"/>
  <c r="R20" i="16"/>
  <c r="R23" i="16" s="1"/>
  <c r="O20" i="16"/>
  <c r="O23" i="16" s="1"/>
  <c r="O24" i="16" s="1"/>
  <c r="L20" i="16"/>
  <c r="L23" i="16" s="1"/>
  <c r="L24" i="16" s="1"/>
  <c r="I20" i="16"/>
  <c r="F20" i="16" s="1"/>
  <c r="F23" i="16" s="1"/>
  <c r="E20" i="16"/>
  <c r="E23" i="16" s="1"/>
  <c r="D20" i="16"/>
  <c r="D23" i="16" s="1"/>
  <c r="D24" i="16" s="1"/>
  <c r="Q19" i="16"/>
  <c r="P19" i="16"/>
  <c r="R19" i="16" s="1"/>
  <c r="N19" i="16"/>
  <c r="O19" i="16" s="1"/>
  <c r="M19" i="16"/>
  <c r="L19" i="16"/>
  <c r="K19" i="16"/>
  <c r="J19" i="16"/>
  <c r="J24" i="16" s="1"/>
  <c r="G19" i="16"/>
  <c r="R18" i="16"/>
  <c r="O18" i="16"/>
  <c r="L18" i="16"/>
  <c r="I18" i="16"/>
  <c r="F18" i="16" s="1"/>
  <c r="E18" i="16"/>
  <c r="D18" i="16"/>
  <c r="R17" i="16"/>
  <c r="O17" i="16"/>
  <c r="L17" i="16"/>
  <c r="H17" i="16"/>
  <c r="E17" i="16" s="1"/>
  <c r="D17" i="16"/>
  <c r="R16" i="16"/>
  <c r="O16" i="16"/>
  <c r="L16" i="16"/>
  <c r="I16" i="16"/>
  <c r="F16" i="16"/>
  <c r="E16" i="16"/>
  <c r="D16" i="16"/>
  <c r="R15" i="16"/>
  <c r="O15" i="16"/>
  <c r="L15" i="16"/>
  <c r="I15" i="16"/>
  <c r="F15" i="16" s="1"/>
  <c r="E15" i="16"/>
  <c r="D15" i="16"/>
  <c r="R14" i="16"/>
  <c r="O14" i="16"/>
  <c r="L14" i="16"/>
  <c r="F14" i="16" s="1"/>
  <c r="I14" i="16"/>
  <c r="E14" i="16"/>
  <c r="D14" i="16"/>
  <c r="R13" i="16"/>
  <c r="O13" i="16"/>
  <c r="L13" i="16"/>
  <c r="I13" i="16"/>
  <c r="F13" i="16" s="1"/>
  <c r="E13" i="16"/>
  <c r="D13" i="16"/>
  <c r="R12" i="16"/>
  <c r="O12" i="16"/>
  <c r="L12" i="16"/>
  <c r="I12" i="16"/>
  <c r="F12" i="16"/>
  <c r="E12" i="16"/>
  <c r="D12" i="16"/>
  <c r="R11" i="16"/>
  <c r="O11" i="16"/>
  <c r="L11" i="16"/>
  <c r="I11" i="16"/>
  <c r="F11" i="16" s="1"/>
  <c r="E11" i="16"/>
  <c r="D11" i="16"/>
  <c r="R10" i="16"/>
  <c r="O10" i="16"/>
  <c r="L10" i="16"/>
  <c r="F10" i="16" s="1"/>
  <c r="I10" i="16"/>
  <c r="E10" i="16"/>
  <c r="D10" i="16"/>
  <c r="D19" i="16" s="1"/>
  <c r="R9" i="16"/>
  <c r="O9" i="16"/>
  <c r="L9" i="16"/>
  <c r="I9" i="16"/>
  <c r="F9" i="16" s="1"/>
  <c r="E9" i="16"/>
  <c r="D9" i="16"/>
  <c r="R8" i="16"/>
  <c r="O8" i="16"/>
  <c r="L8" i="16"/>
  <c r="H8" i="16"/>
  <c r="I8" i="16" s="1"/>
  <c r="F8" i="16" s="1"/>
  <c r="D8" i="16"/>
  <c r="R7" i="16"/>
  <c r="O7" i="16"/>
  <c r="L7" i="16"/>
  <c r="I7" i="16"/>
  <c r="F7" i="16"/>
  <c r="E7" i="16"/>
  <c r="D7" i="16"/>
  <c r="R6" i="16"/>
  <c r="O6" i="16"/>
  <c r="L6" i="16"/>
  <c r="I6" i="16"/>
  <c r="F6" i="16" s="1"/>
  <c r="E6" i="16"/>
  <c r="D6" i="16"/>
  <c r="R5" i="16"/>
  <c r="O5" i="16"/>
  <c r="L5" i="16"/>
  <c r="H5" i="16"/>
  <c r="I5" i="16" s="1"/>
  <c r="F5" i="16" s="1"/>
  <c r="E5" i="16"/>
  <c r="D5" i="16"/>
  <c r="F80" i="14"/>
  <c r="E80" i="14"/>
  <c r="D80" i="14"/>
  <c r="E74" i="14"/>
  <c r="D74" i="14"/>
  <c r="F73" i="14"/>
  <c r="F74" i="14" s="1"/>
  <c r="F72" i="14"/>
  <c r="F71" i="14"/>
  <c r="F70" i="14"/>
  <c r="F69" i="14"/>
  <c r="F68" i="14"/>
  <c r="F67" i="14"/>
  <c r="F66" i="14"/>
  <c r="E64" i="14"/>
  <c r="D64" i="14"/>
  <c r="F63" i="14"/>
  <c r="D62" i="14"/>
  <c r="F62" i="14" s="1"/>
  <c r="F64" i="14" s="1"/>
  <c r="F61" i="14"/>
  <c r="E58" i="14"/>
  <c r="E59" i="14" s="1"/>
  <c r="D58" i="14"/>
  <c r="D59" i="14" s="1"/>
  <c r="F57" i="14"/>
  <c r="F56" i="14"/>
  <c r="F58" i="14" s="1"/>
  <c r="F55" i="14"/>
  <c r="F54" i="14"/>
  <c r="F53" i="14"/>
  <c r="E52" i="14"/>
  <c r="D52" i="14"/>
  <c r="F51" i="14"/>
  <c r="F50" i="14"/>
  <c r="F52" i="14" s="1"/>
  <c r="E49" i="14"/>
  <c r="D49" i="14"/>
  <c r="F48" i="14"/>
  <c r="F49" i="14" s="1"/>
  <c r="F47" i="14"/>
  <c r="F46" i="14"/>
  <c r="F45" i="14"/>
  <c r="F44" i="14"/>
  <c r="F43" i="14"/>
  <c r="F42" i="14"/>
  <c r="F41" i="14"/>
  <c r="F40" i="14"/>
  <c r="E39" i="14"/>
  <c r="D39" i="14"/>
  <c r="F38" i="14"/>
  <c r="F37" i="14"/>
  <c r="F39" i="14" s="1"/>
  <c r="E36" i="14"/>
  <c r="D36" i="14"/>
  <c r="F35" i="14"/>
  <c r="F34" i="14"/>
  <c r="F33" i="14"/>
  <c r="F36" i="14" s="1"/>
  <c r="F31" i="14"/>
  <c r="F30" i="14"/>
  <c r="F29" i="14"/>
  <c r="F28" i="14"/>
  <c r="F27" i="14"/>
  <c r="F26" i="14" s="1"/>
  <c r="E26" i="14"/>
  <c r="D26" i="14"/>
  <c r="E23" i="14"/>
  <c r="E24" i="14" s="1"/>
  <c r="D23" i="14"/>
  <c r="D24" i="14" s="1"/>
  <c r="F22" i="14"/>
  <c r="F21" i="14"/>
  <c r="F20" i="14"/>
  <c r="F23" i="14" s="1"/>
  <c r="E19" i="14"/>
  <c r="D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19" i="14" s="1"/>
  <c r="U14" i="56"/>
  <c r="T14" i="56"/>
  <c r="S14" i="56"/>
  <c r="R14" i="56"/>
  <c r="Q14" i="56"/>
  <c r="P14" i="56"/>
  <c r="O14" i="56"/>
  <c r="N14" i="56"/>
  <c r="M14" i="56"/>
  <c r="L14" i="56"/>
  <c r="J14" i="56"/>
  <c r="I14" i="56"/>
  <c r="H14" i="56"/>
  <c r="G14" i="56"/>
  <c r="F14" i="56"/>
  <c r="E14" i="56"/>
  <c r="C14" i="56"/>
  <c r="V13" i="56"/>
  <c r="K13" i="56"/>
  <c r="V11" i="56"/>
  <c r="K11" i="56"/>
  <c r="V10" i="56"/>
  <c r="V9" i="56"/>
  <c r="K9" i="56"/>
  <c r="V8" i="56"/>
  <c r="K8" i="56"/>
  <c r="V7" i="56"/>
  <c r="K7" i="56"/>
  <c r="V6" i="56"/>
  <c r="K6" i="56"/>
  <c r="V5" i="56"/>
  <c r="V14" i="56" s="1"/>
  <c r="D5" i="56"/>
  <c r="D14" i="56" s="1"/>
  <c r="T26" i="55"/>
  <c r="S26" i="55"/>
  <c r="R26" i="55"/>
  <c r="Q26" i="55"/>
  <c r="P26" i="55"/>
  <c r="O26" i="55"/>
  <c r="N26" i="55"/>
  <c r="L26" i="55"/>
  <c r="J26" i="55"/>
  <c r="I26" i="55"/>
  <c r="G26" i="55"/>
  <c r="F26" i="55"/>
  <c r="U25" i="55"/>
  <c r="K25" i="55"/>
  <c r="U24" i="55"/>
  <c r="K24" i="55"/>
  <c r="U23" i="55"/>
  <c r="K23" i="55"/>
  <c r="U22" i="55"/>
  <c r="E22" i="55"/>
  <c r="C22" i="55"/>
  <c r="K22" i="55" s="1"/>
  <c r="U21" i="55"/>
  <c r="K21" i="55"/>
  <c r="U20" i="55"/>
  <c r="K20" i="55"/>
  <c r="U19" i="55"/>
  <c r="K19" i="55"/>
  <c r="U18" i="55"/>
  <c r="K18" i="55"/>
  <c r="U17" i="55"/>
  <c r="K17" i="55"/>
  <c r="U16" i="55"/>
  <c r="K16" i="55"/>
  <c r="U15" i="55"/>
  <c r="K15" i="55"/>
  <c r="U14" i="55"/>
  <c r="K14" i="55"/>
  <c r="U13" i="55"/>
  <c r="K13" i="55"/>
  <c r="U12" i="55"/>
  <c r="K12" i="55"/>
  <c r="U11" i="55"/>
  <c r="K11" i="55"/>
  <c r="U10" i="55"/>
  <c r="K10" i="55"/>
  <c r="U9" i="55"/>
  <c r="K9" i="55"/>
  <c r="U8" i="55"/>
  <c r="M26" i="55"/>
  <c r="H8" i="55"/>
  <c r="K8" i="55"/>
  <c r="U7" i="55"/>
  <c r="H7" i="55"/>
  <c r="H26" i="55" s="1"/>
  <c r="E7" i="55"/>
  <c r="K7" i="55" s="1"/>
  <c r="N6" i="55"/>
  <c r="U6" i="55" s="1"/>
  <c r="E6" i="55"/>
  <c r="E26" i="55" s="1"/>
  <c r="U5" i="55"/>
  <c r="D5" i="55"/>
  <c r="D26" i="55" s="1"/>
  <c r="C5" i="55"/>
  <c r="K5" i="55" s="1"/>
  <c r="AA15" i="54"/>
  <c r="Z15" i="54"/>
  <c r="Y15" i="54"/>
  <c r="X15" i="54"/>
  <c r="W15" i="54"/>
  <c r="V15" i="54"/>
  <c r="U15" i="54"/>
  <c r="R15" i="54"/>
  <c r="P15" i="54"/>
  <c r="O15" i="54"/>
  <c r="N15" i="54"/>
  <c r="M15" i="54"/>
  <c r="L15" i="54"/>
  <c r="K15" i="54"/>
  <c r="J15" i="54"/>
  <c r="I15" i="54"/>
  <c r="H15" i="54"/>
  <c r="G15" i="54"/>
  <c r="F15" i="54"/>
  <c r="E15" i="54"/>
  <c r="AB14" i="54"/>
  <c r="Q14" i="54"/>
  <c r="K14" i="54"/>
  <c r="AB13" i="54"/>
  <c r="Q13" i="54"/>
  <c r="AB12" i="54"/>
  <c r="Q12" i="54"/>
  <c r="AB11" i="54"/>
  <c r="Q11" i="54"/>
  <c r="AB10" i="54"/>
  <c r="Q10" i="54"/>
  <c r="U9" i="54"/>
  <c r="AB9" i="54" s="1"/>
  <c r="Q9" i="54"/>
  <c r="C9" i="54"/>
  <c r="S8" i="54"/>
  <c r="S15" i="54" s="1"/>
  <c r="Q8" i="54"/>
  <c r="C8" i="54"/>
  <c r="AB7" i="54"/>
  <c r="Q7" i="54"/>
  <c r="AB6" i="54"/>
  <c r="T6" i="54"/>
  <c r="T15" i="54" s="1"/>
  <c r="D6" i="54"/>
  <c r="D15" i="54" s="1"/>
  <c r="C6" i="54"/>
  <c r="C15" i="54" s="1"/>
  <c r="Q15" i="54" s="1"/>
  <c r="AB5" i="54"/>
  <c r="Q5" i="54"/>
  <c r="U26" i="55" l="1"/>
  <c r="R58" i="16"/>
  <c r="E58" i="16"/>
  <c r="D58" i="16"/>
  <c r="D59" i="16" s="1"/>
  <c r="F54" i="16"/>
  <c r="E36" i="58"/>
  <c r="L36" i="58"/>
  <c r="F36" i="58" s="1"/>
  <c r="F15" i="58"/>
  <c r="K49" i="58"/>
  <c r="L48" i="58"/>
  <c r="I42" i="58"/>
  <c r="M49" i="58"/>
  <c r="D15" i="58"/>
  <c r="L15" i="58"/>
  <c r="M42" i="58"/>
  <c r="N49" i="58"/>
  <c r="E48" i="58"/>
  <c r="F16" i="58"/>
  <c r="O42" i="58"/>
  <c r="G49" i="58"/>
  <c r="D48" i="58"/>
  <c r="O49" i="58"/>
  <c r="J27" i="58"/>
  <c r="H42" i="58"/>
  <c r="E42" i="58" s="1"/>
  <c r="L4" i="58"/>
  <c r="F4" i="58" s="1"/>
  <c r="L16" i="58"/>
  <c r="L41" i="58"/>
  <c r="F41" i="58" s="1"/>
  <c r="E46" i="58"/>
  <c r="I46" i="58"/>
  <c r="F46" i="58" s="1"/>
  <c r="E47" i="58"/>
  <c r="L47" i="58"/>
  <c r="F47" i="58" s="1"/>
  <c r="I48" i="58"/>
  <c r="J42" i="58"/>
  <c r="L42" i="58" s="1"/>
  <c r="X60" i="12"/>
  <c r="L24" i="12"/>
  <c r="E37" i="12"/>
  <c r="U60" i="12"/>
  <c r="M86" i="12"/>
  <c r="D60" i="12"/>
  <c r="D86" i="12" s="1"/>
  <c r="J86" i="12"/>
  <c r="N86" i="12"/>
  <c r="R86" i="12"/>
  <c r="V86" i="12"/>
  <c r="D24" i="12"/>
  <c r="F37" i="12"/>
  <c r="O60" i="12"/>
  <c r="O86" i="12" s="1"/>
  <c r="H60" i="12"/>
  <c r="F76" i="12"/>
  <c r="F72" i="12"/>
  <c r="G86" i="12"/>
  <c r="K86" i="12"/>
  <c r="S86" i="12"/>
  <c r="W86" i="12"/>
  <c r="F23" i="12"/>
  <c r="U24" i="12"/>
  <c r="U86" i="12" s="1"/>
  <c r="E24" i="12"/>
  <c r="I24" i="12"/>
  <c r="I26" i="12"/>
  <c r="F26" i="12" s="1"/>
  <c r="F27" i="12"/>
  <c r="F50" i="12"/>
  <c r="F60" i="12" s="1"/>
  <c r="Q60" i="12"/>
  <c r="H86" i="12"/>
  <c r="P86" i="12"/>
  <c r="T86" i="12"/>
  <c r="X86" i="12"/>
  <c r="I50" i="12"/>
  <c r="F63" i="12"/>
  <c r="F65" i="12" s="1"/>
  <c r="E5" i="12"/>
  <c r="E19" i="12" s="1"/>
  <c r="E34" i="12"/>
  <c r="F38" i="12"/>
  <c r="F40" i="12" s="1"/>
  <c r="E49" i="12"/>
  <c r="E50" i="12" s="1"/>
  <c r="E60" i="12" s="1"/>
  <c r="E86" i="12" s="1"/>
  <c r="I53" i="12"/>
  <c r="I59" i="12"/>
  <c r="L59" i="12"/>
  <c r="L60" i="12" s="1"/>
  <c r="L86" i="12" s="1"/>
  <c r="F5" i="12"/>
  <c r="F19" i="12" s="1"/>
  <c r="F34" i="12"/>
  <c r="I76" i="12"/>
  <c r="Q76" i="12"/>
  <c r="Q86" i="12" s="1"/>
  <c r="D85" i="16"/>
  <c r="O59" i="16"/>
  <c r="O85" i="16" s="1"/>
  <c r="R59" i="16"/>
  <c r="R85" i="16" s="1"/>
  <c r="J85" i="16"/>
  <c r="E19" i="16"/>
  <c r="E24" i="16" s="1"/>
  <c r="R24" i="16"/>
  <c r="F49" i="16"/>
  <c r="N59" i="16"/>
  <c r="N85" i="16" s="1"/>
  <c r="Q59" i="16"/>
  <c r="Q85" i="16" s="1"/>
  <c r="P24" i="16"/>
  <c r="P85" i="16" s="1"/>
  <c r="E8" i="16"/>
  <c r="G24" i="16"/>
  <c r="G85" i="16" s="1"/>
  <c r="H36" i="16"/>
  <c r="E37" i="16"/>
  <c r="E39" i="16" s="1"/>
  <c r="E59" i="16" s="1"/>
  <c r="E85" i="16" s="1"/>
  <c r="I52" i="16"/>
  <c r="L53" i="16"/>
  <c r="L58" i="16" s="1"/>
  <c r="H58" i="16"/>
  <c r="H59" i="16" s="1"/>
  <c r="I70" i="16"/>
  <c r="F70" i="16" s="1"/>
  <c r="F75" i="16" s="1"/>
  <c r="H19" i="16"/>
  <c r="F27" i="16"/>
  <c r="F26" i="16" s="1"/>
  <c r="I17" i="16"/>
  <c r="F17" i="16" s="1"/>
  <c r="F19" i="16" s="1"/>
  <c r="F24" i="16" s="1"/>
  <c r="I33" i="16"/>
  <c r="L49" i="16"/>
  <c r="I53" i="16"/>
  <c r="M59" i="16"/>
  <c r="M85" i="16" s="1"/>
  <c r="D84" i="14"/>
  <c r="F59" i="14"/>
  <c r="F84" i="14" s="1"/>
  <c r="E84" i="14"/>
  <c r="F24" i="14"/>
  <c r="K5" i="56"/>
  <c r="K14" i="56" s="1"/>
  <c r="K6" i="55"/>
  <c r="K26" i="55" s="1"/>
  <c r="C26" i="55"/>
  <c r="Q6" i="54"/>
  <c r="AB8" i="54"/>
  <c r="AB15" i="54" s="1"/>
  <c r="J49" i="58" l="1"/>
  <c r="F42" i="58"/>
  <c r="D27" i="58"/>
  <c r="L27" i="58"/>
  <c r="F27" i="58" s="1"/>
  <c r="F48" i="58"/>
  <c r="I49" i="58"/>
  <c r="D49" i="58"/>
  <c r="D42" i="58"/>
  <c r="H49" i="58"/>
  <c r="E49" i="58" s="1"/>
  <c r="L49" i="58"/>
  <c r="I60" i="12"/>
  <c r="I86" i="12" s="1"/>
  <c r="F24" i="12"/>
  <c r="F86" i="12"/>
  <c r="I58" i="16"/>
  <c r="F53" i="16"/>
  <c r="F58" i="16" s="1"/>
  <c r="F59" i="16" s="1"/>
  <c r="F85" i="16" s="1"/>
  <c r="I19" i="16"/>
  <c r="H24" i="16"/>
  <c r="I24" i="16" s="1"/>
  <c r="L59" i="16"/>
  <c r="L85" i="16" s="1"/>
  <c r="I36" i="16"/>
  <c r="F33" i="16"/>
  <c r="F36" i="16" s="1"/>
  <c r="I75" i="16"/>
  <c r="F49" i="58" l="1"/>
  <c r="I59" i="16"/>
  <c r="I85" i="16"/>
  <c r="H85" i="16"/>
  <c r="AF106" i="7" l="1"/>
  <c r="C22" i="43"/>
  <c r="C17" i="44"/>
  <c r="C20" i="44"/>
  <c r="C21" i="44"/>
  <c r="C22" i="44"/>
  <c r="C25" i="44"/>
  <c r="D26" i="9"/>
  <c r="D22" i="43" l="1"/>
  <c r="D21" i="43"/>
  <c r="N14" i="30" l="1"/>
  <c r="D33" i="20"/>
  <c r="D37" i="20" s="1"/>
  <c r="E68" i="19"/>
  <c r="D58" i="19"/>
  <c r="C58" i="19"/>
  <c r="E77" i="19"/>
  <c r="D17" i="44" l="1"/>
  <c r="D18" i="44" s="1"/>
  <c r="B18" i="44"/>
  <c r="C18" i="44" l="1"/>
  <c r="C16" i="45"/>
  <c r="D14" i="45"/>
  <c r="D15" i="45"/>
  <c r="B16" i="45"/>
  <c r="D7" i="43" l="1"/>
  <c r="C27" i="59"/>
  <c r="C24" i="59"/>
  <c r="C19" i="59"/>
  <c r="I48" i="59"/>
  <c r="H48" i="59"/>
  <c r="G48" i="59"/>
  <c r="D48" i="59"/>
  <c r="J48" i="59" s="1"/>
  <c r="F44" i="59"/>
  <c r="E44" i="59"/>
  <c r="I43" i="59"/>
  <c r="H43" i="59"/>
  <c r="G43" i="59"/>
  <c r="J43" i="59" s="1"/>
  <c r="C32" i="59"/>
  <c r="B32" i="59"/>
  <c r="I31" i="59"/>
  <c r="H31" i="59"/>
  <c r="D31" i="59"/>
  <c r="J31" i="59" s="1"/>
  <c r="I28" i="59"/>
  <c r="H28" i="59"/>
  <c r="D28" i="59"/>
  <c r="J28" i="59" s="1"/>
  <c r="C16" i="59"/>
  <c r="B16" i="59"/>
  <c r="I15" i="59"/>
  <c r="H15" i="59"/>
  <c r="G15" i="59"/>
  <c r="D15" i="59"/>
  <c r="I42" i="52"/>
  <c r="J42" i="52"/>
  <c r="I43" i="52"/>
  <c r="H42" i="52"/>
  <c r="G42" i="52"/>
  <c r="C32" i="52"/>
  <c r="B32" i="52"/>
  <c r="I31" i="52"/>
  <c r="H31" i="52"/>
  <c r="D31" i="52"/>
  <c r="J31" i="52" s="1"/>
  <c r="I28" i="52"/>
  <c r="H28" i="52"/>
  <c r="H15" i="52"/>
  <c r="I15" i="52"/>
  <c r="D28" i="52"/>
  <c r="J28" i="52" s="1"/>
  <c r="G15" i="52"/>
  <c r="D15" i="52"/>
  <c r="F16" i="52"/>
  <c r="E16" i="52"/>
  <c r="C16" i="52"/>
  <c r="B16" i="52"/>
  <c r="D16" i="52" l="1"/>
  <c r="C33" i="59"/>
  <c r="J15" i="59"/>
  <c r="J15" i="52"/>
  <c r="G22" i="40"/>
  <c r="K21" i="40"/>
  <c r="F47" i="1"/>
  <c r="AE63" i="7" l="1"/>
  <c r="AF63" i="7" l="1"/>
  <c r="F5" i="40" l="1"/>
  <c r="N37" i="40"/>
  <c r="M37" i="40"/>
  <c r="L37" i="40"/>
  <c r="H37" i="40"/>
  <c r="W24" i="53"/>
  <c r="U5" i="57"/>
  <c r="AH57" i="53"/>
  <c r="AH5" i="57" s="1"/>
  <c r="AG57" i="53"/>
  <c r="AG5" i="57" s="1"/>
  <c r="AF57" i="53"/>
  <c r="AF5" i="57" s="1"/>
  <c r="AE57" i="53"/>
  <c r="AE5" i="57" s="1"/>
  <c r="AD57" i="53"/>
  <c r="AD5" i="57" s="1"/>
  <c r="AC57" i="53"/>
  <c r="AC5" i="57" s="1"/>
  <c r="AB57" i="53"/>
  <c r="AB5" i="57" s="1"/>
  <c r="AA57" i="53"/>
  <c r="AA5" i="57" s="1"/>
  <c r="Z57" i="53"/>
  <c r="Z5" i="57" s="1"/>
  <c r="Y57" i="53"/>
  <c r="X5" i="57" s="1"/>
  <c r="V57" i="53"/>
  <c r="U57" i="53"/>
  <c r="T5" i="57" s="1"/>
  <c r="T57" i="53"/>
  <c r="S5" i="57" s="1"/>
  <c r="S57" i="53"/>
  <c r="R5" i="57" s="1"/>
  <c r="R57" i="53"/>
  <c r="Q5" i="57" s="1"/>
  <c r="Q57" i="53"/>
  <c r="P5" i="57" s="1"/>
  <c r="O57" i="53"/>
  <c r="N5" i="57" s="1"/>
  <c r="N57" i="53"/>
  <c r="M5" i="57" s="1"/>
  <c r="M57" i="53"/>
  <c r="L5" i="57" s="1"/>
  <c r="L57" i="53"/>
  <c r="K5" i="57" s="1"/>
  <c r="K57" i="53"/>
  <c r="J5" i="57" s="1"/>
  <c r="J57" i="53"/>
  <c r="I57" i="53"/>
  <c r="H5" i="57" s="1"/>
  <c r="G57" i="53"/>
  <c r="F5" i="57" s="1"/>
  <c r="F57" i="53"/>
  <c r="D57" i="53"/>
  <c r="AI56" i="53"/>
  <c r="W56" i="53"/>
  <c r="AI48" i="53"/>
  <c r="W48" i="53"/>
  <c r="AI47" i="53"/>
  <c r="W47" i="53"/>
  <c r="AI46" i="53"/>
  <c r="W46" i="53"/>
  <c r="AI45" i="53"/>
  <c r="W45" i="53"/>
  <c r="AI44" i="53"/>
  <c r="W44" i="53"/>
  <c r="E57" i="53"/>
  <c r="AI43" i="53"/>
  <c r="W43" i="53"/>
  <c r="AI42" i="53"/>
  <c r="W42" i="53"/>
  <c r="AI41" i="53"/>
  <c r="W41" i="53"/>
  <c r="AI40" i="53"/>
  <c r="W40" i="53"/>
  <c r="AI39" i="53"/>
  <c r="W39" i="53"/>
  <c r="AI38" i="53"/>
  <c r="W38" i="53"/>
  <c r="AI37" i="53"/>
  <c r="W37" i="53"/>
  <c r="AI36" i="53"/>
  <c r="W36" i="53"/>
  <c r="AI35" i="53"/>
  <c r="W35" i="53"/>
  <c r="AI34" i="53"/>
  <c r="W34" i="53"/>
  <c r="AI33" i="53"/>
  <c r="W33" i="53"/>
  <c r="AI32" i="53"/>
  <c r="W32" i="53"/>
  <c r="AI31" i="53"/>
  <c r="W31" i="53"/>
  <c r="AI30" i="53"/>
  <c r="W30" i="53"/>
  <c r="AI29" i="53"/>
  <c r="W29" i="53"/>
  <c r="AI28" i="53"/>
  <c r="W28" i="53"/>
  <c r="AI27" i="53"/>
  <c r="W27" i="53"/>
  <c r="AI26" i="53"/>
  <c r="W26" i="53"/>
  <c r="AI25" i="53"/>
  <c r="W25" i="53"/>
  <c r="AI24" i="53"/>
  <c r="AI23" i="53"/>
  <c r="W23" i="53"/>
  <c r="AI22" i="53"/>
  <c r="W22" i="53"/>
  <c r="AI21" i="53"/>
  <c r="W21" i="53"/>
  <c r="AI20" i="53"/>
  <c r="P57" i="53"/>
  <c r="W20" i="53"/>
  <c r="AI19" i="53"/>
  <c r="W19" i="53"/>
  <c r="AI18" i="53"/>
  <c r="W18" i="53"/>
  <c r="AI17" i="53"/>
  <c r="W17" i="53"/>
  <c r="AI16" i="53"/>
  <c r="W16" i="53"/>
  <c r="AI15" i="53"/>
  <c r="W15" i="53"/>
  <c r="AI14" i="53"/>
  <c r="W14" i="53"/>
  <c r="AI13" i="53"/>
  <c r="W13" i="53"/>
  <c r="AI12" i="53"/>
  <c r="W12" i="53"/>
  <c r="AI11" i="53"/>
  <c r="W11" i="53"/>
  <c r="AI10" i="53"/>
  <c r="W10" i="53"/>
  <c r="AI9" i="53"/>
  <c r="W9" i="53"/>
  <c r="AI8" i="53"/>
  <c r="W8" i="53"/>
  <c r="AI7" i="53"/>
  <c r="W7" i="53"/>
  <c r="AI6" i="53"/>
  <c r="W6" i="53"/>
  <c r="AI5" i="53"/>
  <c r="W5" i="53"/>
  <c r="D5" i="57" l="1"/>
  <c r="E5" i="57"/>
  <c r="C5" i="57"/>
  <c r="I5" i="57"/>
  <c r="O5" i="57"/>
  <c r="H57" i="53"/>
  <c r="X57" i="53"/>
  <c r="AI57" i="53" l="1"/>
  <c r="W5" i="57"/>
  <c r="W57" i="53"/>
  <c r="G5" i="57"/>
  <c r="AH9" i="57" l="1"/>
  <c r="G9" i="57"/>
  <c r="AG68" i="41" l="1"/>
  <c r="AG64" i="41"/>
  <c r="AF64" i="41"/>
  <c r="AE64" i="41"/>
  <c r="AG63" i="41"/>
  <c r="AG62" i="41"/>
  <c r="AG61" i="41"/>
  <c r="AF59" i="41"/>
  <c r="AE59" i="41"/>
  <c r="AG59" i="41" s="1"/>
  <c r="AG58" i="41"/>
  <c r="AG57" i="41"/>
  <c r="AG56" i="41"/>
  <c r="AG55" i="41"/>
  <c r="AF53" i="41"/>
  <c r="AE53" i="41"/>
  <c r="AG53" i="41" s="1"/>
  <c r="AG52" i="41"/>
  <c r="AG51" i="41"/>
  <c r="AG50" i="41"/>
  <c r="AG49" i="41"/>
  <c r="AG48" i="41"/>
  <c r="AG47" i="41"/>
  <c r="AG46" i="41"/>
  <c r="AG44" i="41"/>
  <c r="AG43" i="41"/>
  <c r="AG42" i="41"/>
  <c r="AG41" i="41"/>
  <c r="AG40" i="41"/>
  <c r="AG39" i="41"/>
  <c r="AG38" i="41"/>
  <c r="AF34" i="41"/>
  <c r="AE34" i="41"/>
  <c r="AG34" i="41" s="1"/>
  <c r="AG33" i="41"/>
  <c r="AG32" i="41"/>
  <c r="AG31" i="41"/>
  <c r="AG30" i="41"/>
  <c r="AG29" i="41"/>
  <c r="AF28" i="41"/>
  <c r="AE28" i="41"/>
  <c r="AG28" i="41" s="1"/>
  <c r="AG27" i="41"/>
  <c r="AG26" i="41"/>
  <c r="AF25" i="41"/>
  <c r="AF35" i="41" s="1"/>
  <c r="AE25" i="41"/>
  <c r="AG24" i="41"/>
  <c r="AG23" i="41"/>
  <c r="AG22" i="41"/>
  <c r="AG21" i="41"/>
  <c r="AG20" i="41"/>
  <c r="AG19" i="41"/>
  <c r="AG18" i="41"/>
  <c r="AG17" i="41"/>
  <c r="AF17" i="41"/>
  <c r="AE17" i="41"/>
  <c r="AG16" i="41"/>
  <c r="AG15" i="41"/>
  <c r="AF14" i="41"/>
  <c r="AE14" i="41"/>
  <c r="AG14" i="41" s="1"/>
  <c r="AG13" i="41"/>
  <c r="AG12" i="41"/>
  <c r="AG11" i="41"/>
  <c r="AG9" i="41"/>
  <c r="AF7" i="41"/>
  <c r="AE7" i="41"/>
  <c r="AG6" i="41"/>
  <c r="AG5" i="41"/>
  <c r="AF66" i="41" l="1"/>
  <c r="AE35" i="41"/>
  <c r="AG35" i="41" s="1"/>
  <c r="AG7" i="41"/>
  <c r="AE66" i="41"/>
  <c r="AG66" i="41" s="1"/>
  <c r="AG25" i="41"/>
  <c r="M8" i="37"/>
  <c r="T13" i="8" s="1"/>
  <c r="L8" i="37"/>
  <c r="S13" i="8" s="1"/>
  <c r="N7" i="37"/>
  <c r="N6" i="37"/>
  <c r="N5" i="37"/>
  <c r="N4" i="37"/>
  <c r="G8" i="37"/>
  <c r="T9" i="8" s="1"/>
  <c r="F8" i="37"/>
  <c r="S9" i="8" s="1"/>
  <c r="H7" i="37"/>
  <c r="H6" i="37"/>
  <c r="H5" i="37"/>
  <c r="H4" i="37"/>
  <c r="T14" i="8" l="1"/>
  <c r="N8" i="37"/>
  <c r="U13" i="8" s="1"/>
  <c r="H8" i="37"/>
  <c r="U9" i="8" s="1"/>
  <c r="U14" i="8" l="1"/>
  <c r="E34" i="1"/>
  <c r="D34" i="1"/>
  <c r="F17" i="1"/>
  <c r="D17" i="1"/>
  <c r="D14" i="1"/>
  <c r="E66" i="19" l="1"/>
  <c r="E65" i="19"/>
  <c r="E67" i="19"/>
  <c r="E64" i="19" l="1"/>
  <c r="D64" i="9" l="1"/>
  <c r="D11" i="44"/>
  <c r="D12" i="44"/>
  <c r="H8" i="57" l="1"/>
  <c r="G8" i="57"/>
  <c r="AG63" i="7" l="1"/>
  <c r="G14" i="41"/>
  <c r="H14" i="41"/>
  <c r="E14" i="41" s="1"/>
  <c r="J14" i="41"/>
  <c r="K14" i="41"/>
  <c r="L14" i="41"/>
  <c r="M14" i="41"/>
  <c r="N14" i="41"/>
  <c r="O14" i="41"/>
  <c r="P14" i="41"/>
  <c r="Q14" i="41"/>
  <c r="R14" i="41"/>
  <c r="Y14" i="41"/>
  <c r="Z14" i="41"/>
  <c r="AA14" i="41"/>
  <c r="AB14" i="41"/>
  <c r="AC14" i="41"/>
  <c r="G25" i="41"/>
  <c r="E52" i="1" l="1"/>
  <c r="H21" i="8" s="1"/>
  <c r="D52" i="1"/>
  <c r="G21" i="8" s="1"/>
  <c r="F33" i="1"/>
  <c r="F51" i="1"/>
  <c r="F48" i="1"/>
  <c r="F52" i="1" l="1"/>
  <c r="I21" i="8" s="1"/>
  <c r="Y21" i="8" l="1"/>
  <c r="C78" i="19"/>
  <c r="L26" i="6"/>
  <c r="I29" i="5"/>
  <c r="G51" i="59"/>
  <c r="G51" i="52"/>
  <c r="D50" i="52"/>
  <c r="D13" i="9"/>
  <c r="D16" i="9"/>
  <c r="D17" i="9"/>
  <c r="D19" i="9"/>
  <c r="D20" i="9"/>
  <c r="D61" i="9"/>
  <c r="D62" i="9"/>
  <c r="H3" i="52" l="1"/>
  <c r="D32" i="44" l="1"/>
  <c r="B34" i="44"/>
  <c r="E79" i="19" l="1"/>
  <c r="E78" i="19"/>
  <c r="D78" i="19"/>
  <c r="E61" i="19"/>
  <c r="E62" i="19"/>
  <c r="E63" i="19"/>
  <c r="E58" i="19" s="1"/>
  <c r="Z53" i="41"/>
  <c r="E60" i="19"/>
  <c r="E22" i="19"/>
  <c r="E85" i="19" l="1"/>
  <c r="E84" i="19"/>
  <c r="E83" i="19"/>
  <c r="D23" i="20"/>
  <c r="C23" i="20"/>
  <c r="D16" i="19"/>
  <c r="C16" i="19"/>
  <c r="E14" i="19"/>
  <c r="C13" i="43" l="1"/>
  <c r="C19" i="43" s="1"/>
  <c r="B13" i="43"/>
  <c r="B19" i="43" s="1"/>
  <c r="D12" i="43"/>
  <c r="AF75" i="7"/>
  <c r="C9" i="40" l="1"/>
  <c r="C40" i="40" s="1"/>
  <c r="J91" i="7" l="1"/>
  <c r="K91" i="7"/>
  <c r="L91" i="7" s="1"/>
  <c r="M91" i="7"/>
  <c r="N91" i="7"/>
  <c r="O91" i="7"/>
  <c r="P91" i="7"/>
  <c r="Q91" i="7"/>
  <c r="R91" i="7" s="1"/>
  <c r="S91" i="7"/>
  <c r="T91" i="7"/>
  <c r="U91" i="7"/>
  <c r="V91" i="7"/>
  <c r="W91" i="7"/>
  <c r="X91" i="7" s="1"/>
  <c r="Y91" i="7"/>
  <c r="Z91" i="7"/>
  <c r="AA91" i="7"/>
  <c r="AB91" i="7"/>
  <c r="AC91" i="7"/>
  <c r="AD91" i="7" s="1"/>
  <c r="AE91" i="7"/>
  <c r="AF91" i="7"/>
  <c r="AG91" i="7"/>
  <c r="I91" i="7"/>
  <c r="H91" i="7"/>
  <c r="G91" i="7"/>
  <c r="D91" i="7"/>
  <c r="AF85" i="7"/>
  <c r="AE85" i="7"/>
  <c r="AG85" i="7" s="1"/>
  <c r="AC85" i="7"/>
  <c r="AB85" i="7"/>
  <c r="AD85" i="7" s="1"/>
  <c r="Z85" i="7"/>
  <c r="Y85" i="7"/>
  <c r="AA85" i="7" s="1"/>
  <c r="W85" i="7"/>
  <c r="V85" i="7"/>
  <c r="X85" i="7" s="1"/>
  <c r="N85" i="7"/>
  <c r="M85" i="7"/>
  <c r="O85" i="7" s="1"/>
  <c r="K85" i="7"/>
  <c r="J85" i="7"/>
  <c r="L85" i="7" s="1"/>
  <c r="I85" i="7"/>
  <c r="I29" i="7"/>
  <c r="G85" i="7"/>
  <c r="V98" i="7"/>
  <c r="U85" i="7"/>
  <c r="T85" i="7"/>
  <c r="S85" i="7"/>
  <c r="R85" i="7"/>
  <c r="Q85" i="7"/>
  <c r="P85" i="7"/>
  <c r="P8" i="7"/>
  <c r="Q8" i="7"/>
  <c r="R8" i="7" s="1"/>
  <c r="S8" i="7"/>
  <c r="T8" i="7"/>
  <c r="U8" i="7"/>
  <c r="P15" i="7"/>
  <c r="Q15" i="7"/>
  <c r="R15" i="7"/>
  <c r="S15" i="7"/>
  <c r="T15" i="7"/>
  <c r="U15" i="7"/>
  <c r="P18" i="7"/>
  <c r="Q18" i="7"/>
  <c r="R18" i="7"/>
  <c r="S18" i="7"/>
  <c r="T18" i="7"/>
  <c r="U18" i="7"/>
  <c r="P26" i="7"/>
  <c r="Q26" i="7"/>
  <c r="R26" i="7"/>
  <c r="S26" i="7"/>
  <c r="T26" i="7"/>
  <c r="U26" i="7"/>
  <c r="P29" i="7"/>
  <c r="Q29" i="7"/>
  <c r="R29" i="7"/>
  <c r="S29" i="7"/>
  <c r="T29" i="7"/>
  <c r="U29" i="7"/>
  <c r="P35" i="7"/>
  <c r="Q35" i="7"/>
  <c r="R35" i="7"/>
  <c r="S35" i="7"/>
  <c r="T35" i="7"/>
  <c r="U35" i="7"/>
  <c r="P36" i="7"/>
  <c r="Q36" i="7"/>
  <c r="R36" i="7"/>
  <c r="S36" i="7"/>
  <c r="T36" i="7"/>
  <c r="U36" i="7"/>
  <c r="P75" i="7"/>
  <c r="Q75" i="7"/>
  <c r="R75" i="7"/>
  <c r="S75" i="7"/>
  <c r="T75" i="7"/>
  <c r="U75" i="7"/>
  <c r="P103" i="7"/>
  <c r="Q103" i="7"/>
  <c r="R103" i="7"/>
  <c r="S103" i="7"/>
  <c r="T103" i="7"/>
  <c r="U103" i="7"/>
  <c r="P107" i="7"/>
  <c r="Q107" i="7"/>
  <c r="R107" i="7"/>
  <c r="S107" i="7"/>
  <c r="T107" i="7"/>
  <c r="U107" i="7"/>
  <c r="H85" i="7"/>
  <c r="Y26" i="7"/>
  <c r="F91" i="7" l="1"/>
  <c r="W98" i="7"/>
  <c r="E91" i="7"/>
  <c r="F85" i="7"/>
  <c r="AA21" i="8" s="1"/>
  <c r="T98" i="7"/>
  <c r="Q98" i="7"/>
  <c r="P98" i="7"/>
  <c r="S98" i="7"/>
  <c r="D85" i="7"/>
  <c r="E85" i="7"/>
  <c r="Z21" i="8" s="1"/>
  <c r="F16" i="59" l="1"/>
  <c r="F52" i="59" s="1"/>
  <c r="E16" i="59"/>
  <c r="E52" i="59" s="1"/>
  <c r="G13" i="52"/>
  <c r="G14" i="52"/>
  <c r="G13" i="59"/>
  <c r="D48" i="52"/>
  <c r="D49" i="52"/>
  <c r="D51" i="52"/>
  <c r="D49" i="59"/>
  <c r="D50" i="59"/>
  <c r="D51" i="59"/>
  <c r="G50" i="59"/>
  <c r="G50" i="52"/>
  <c r="I13" i="59"/>
  <c r="H13" i="59"/>
  <c r="D13" i="59"/>
  <c r="I13" i="52"/>
  <c r="H13" i="52"/>
  <c r="D13" i="52"/>
  <c r="D18" i="37"/>
  <c r="C18" i="37"/>
  <c r="D16" i="37"/>
  <c r="C16" i="37"/>
  <c r="D15" i="37"/>
  <c r="C15" i="37"/>
  <c r="D14" i="37"/>
  <c r="C14" i="37"/>
  <c r="D13" i="37"/>
  <c r="C13" i="37"/>
  <c r="D12" i="37"/>
  <c r="C12" i="37"/>
  <c r="D19" i="37" l="1"/>
  <c r="J13" i="52"/>
  <c r="C19" i="37"/>
  <c r="G16" i="59"/>
  <c r="J13" i="59"/>
  <c r="G8" i="7"/>
  <c r="H8" i="7"/>
  <c r="I8" i="7" s="1"/>
  <c r="J8" i="7"/>
  <c r="K8" i="7"/>
  <c r="M8" i="7"/>
  <c r="N8" i="7"/>
  <c r="O8" i="7" s="1"/>
  <c r="Y8" i="7"/>
  <c r="Z8" i="7"/>
  <c r="AA8" i="7" s="1"/>
  <c r="AB8" i="7"/>
  <c r="AC8" i="7"/>
  <c r="AD8" i="7" s="1"/>
  <c r="AE8" i="7"/>
  <c r="AF8" i="7"/>
  <c r="AG8" i="7" s="1"/>
  <c r="W6" i="7"/>
  <c r="J72" i="59"/>
  <c r="H72" i="59"/>
  <c r="J51" i="59"/>
  <c r="I51" i="59"/>
  <c r="H51" i="59"/>
  <c r="J50" i="59"/>
  <c r="I50" i="59"/>
  <c r="H50" i="59"/>
  <c r="J49" i="59"/>
  <c r="I49" i="59"/>
  <c r="H49" i="59"/>
  <c r="G49" i="59"/>
  <c r="I47" i="59"/>
  <c r="H47" i="59"/>
  <c r="G47" i="59"/>
  <c r="D47" i="59"/>
  <c r="I46" i="59"/>
  <c r="H46" i="59"/>
  <c r="G46" i="59"/>
  <c r="D46" i="59"/>
  <c r="I45" i="59"/>
  <c r="H45" i="59"/>
  <c r="G45" i="59"/>
  <c r="D45" i="59"/>
  <c r="I44" i="59"/>
  <c r="G44" i="59"/>
  <c r="H44" i="59"/>
  <c r="D44" i="59"/>
  <c r="H42" i="59"/>
  <c r="G42" i="59"/>
  <c r="I41" i="59"/>
  <c r="H41" i="59"/>
  <c r="G41" i="59"/>
  <c r="D41" i="59"/>
  <c r="I40" i="59"/>
  <c r="H40" i="59"/>
  <c r="G40" i="59"/>
  <c r="D40" i="59"/>
  <c r="I39" i="59"/>
  <c r="H39" i="59"/>
  <c r="G39" i="59"/>
  <c r="D39" i="59"/>
  <c r="J39" i="59" s="1"/>
  <c r="I38" i="59"/>
  <c r="H38" i="59"/>
  <c r="G38" i="59"/>
  <c r="D38" i="59"/>
  <c r="J38" i="59" s="1"/>
  <c r="I37" i="59"/>
  <c r="H37" i="59"/>
  <c r="G37" i="59"/>
  <c r="D37" i="59"/>
  <c r="J37" i="59" s="1"/>
  <c r="I36" i="59"/>
  <c r="H36" i="59"/>
  <c r="G36" i="59"/>
  <c r="D36" i="59"/>
  <c r="J36" i="59" s="1"/>
  <c r="I35" i="59"/>
  <c r="H35" i="59"/>
  <c r="G35" i="59"/>
  <c r="D35" i="59"/>
  <c r="J35" i="59" s="1"/>
  <c r="I34" i="59"/>
  <c r="H34" i="59"/>
  <c r="G34" i="59"/>
  <c r="D34" i="59"/>
  <c r="I33" i="59"/>
  <c r="G32" i="59"/>
  <c r="E32" i="59"/>
  <c r="I32" i="59"/>
  <c r="H32" i="59"/>
  <c r="I30" i="59"/>
  <c r="H30" i="59"/>
  <c r="G30" i="59"/>
  <c r="D30" i="59"/>
  <c r="I29" i="59"/>
  <c r="H29" i="59"/>
  <c r="G29" i="59"/>
  <c r="D29" i="59"/>
  <c r="I27" i="59"/>
  <c r="E27" i="59"/>
  <c r="E33" i="59" s="1"/>
  <c r="B27" i="59"/>
  <c r="H27" i="59" s="1"/>
  <c r="I26" i="59"/>
  <c r="H26" i="59"/>
  <c r="G26" i="59"/>
  <c r="D26" i="59"/>
  <c r="I25" i="59"/>
  <c r="H25" i="59"/>
  <c r="G25" i="59"/>
  <c r="D25" i="59"/>
  <c r="G24" i="59"/>
  <c r="E24" i="59"/>
  <c r="I24" i="59"/>
  <c r="B24" i="59"/>
  <c r="H24" i="59" s="1"/>
  <c r="I23" i="59"/>
  <c r="H23" i="59"/>
  <c r="G23" i="59"/>
  <c r="D23" i="59"/>
  <c r="I22" i="59"/>
  <c r="H22" i="59"/>
  <c r="G22" i="59"/>
  <c r="D22" i="59"/>
  <c r="I21" i="59"/>
  <c r="H21" i="59"/>
  <c r="G21" i="59"/>
  <c r="D21" i="59"/>
  <c r="J20" i="59"/>
  <c r="I20" i="59"/>
  <c r="H20" i="59"/>
  <c r="G20" i="59"/>
  <c r="E19" i="59"/>
  <c r="G19" i="59" s="1"/>
  <c r="I19" i="59"/>
  <c r="B19" i="59"/>
  <c r="I18" i="59"/>
  <c r="H18" i="59"/>
  <c r="G18" i="59"/>
  <c r="D18" i="59"/>
  <c r="J18" i="59" s="1"/>
  <c r="I17" i="59"/>
  <c r="H17" i="59"/>
  <c r="G17" i="59"/>
  <c r="D17" i="59"/>
  <c r="J17" i="59" s="1"/>
  <c r="C52" i="59"/>
  <c r="H16" i="59"/>
  <c r="I14" i="59"/>
  <c r="H14" i="59"/>
  <c r="G14" i="59"/>
  <c r="D14" i="59"/>
  <c r="I12" i="59"/>
  <c r="H12" i="59"/>
  <c r="G12" i="59"/>
  <c r="D12" i="59"/>
  <c r="I11" i="59"/>
  <c r="H11" i="59"/>
  <c r="G11" i="59"/>
  <c r="D11" i="59"/>
  <c r="J11" i="59" s="1"/>
  <c r="I10" i="59"/>
  <c r="H10" i="59"/>
  <c r="G10" i="59"/>
  <c r="D10" i="59"/>
  <c r="J10" i="59" s="1"/>
  <c r="I9" i="59"/>
  <c r="H9" i="59"/>
  <c r="G9" i="59"/>
  <c r="D9" i="59"/>
  <c r="J9" i="59" s="1"/>
  <c r="I8" i="59"/>
  <c r="H8" i="59"/>
  <c r="G8" i="59"/>
  <c r="D8" i="59"/>
  <c r="J8" i="59" s="1"/>
  <c r="I7" i="59"/>
  <c r="H7" i="59"/>
  <c r="G7" i="59"/>
  <c r="D7" i="59"/>
  <c r="J7" i="59" s="1"/>
  <c r="I6" i="59"/>
  <c r="H6" i="59"/>
  <c r="G6" i="59"/>
  <c r="D6" i="59"/>
  <c r="J6" i="59" s="1"/>
  <c r="I5" i="59"/>
  <c r="H5" i="59"/>
  <c r="G5" i="59"/>
  <c r="D5" i="59"/>
  <c r="J5" i="59" s="1"/>
  <c r="I4" i="59"/>
  <c r="H4" i="59"/>
  <c r="G4" i="59"/>
  <c r="D4" i="59"/>
  <c r="J4" i="59" s="1"/>
  <c r="I3" i="59"/>
  <c r="H3" i="59"/>
  <c r="G3" i="59"/>
  <c r="D3" i="59"/>
  <c r="J3" i="59" s="1"/>
  <c r="D34" i="43"/>
  <c r="J40" i="59" l="1"/>
  <c r="H19" i="59"/>
  <c r="B33" i="59"/>
  <c r="J41" i="59"/>
  <c r="L8" i="7"/>
  <c r="I52" i="59"/>
  <c r="J21" i="59"/>
  <c r="J22" i="59"/>
  <c r="J23" i="59"/>
  <c r="J25" i="59"/>
  <c r="J26" i="59"/>
  <c r="J29" i="59"/>
  <c r="J30" i="59"/>
  <c r="J45" i="59"/>
  <c r="J46" i="59"/>
  <c r="J12" i="59"/>
  <c r="J14" i="59"/>
  <c r="J44" i="59"/>
  <c r="J34" i="59"/>
  <c r="D27" i="59"/>
  <c r="G33" i="59"/>
  <c r="G52" i="59" s="1"/>
  <c r="D16" i="59"/>
  <c r="J16" i="59" s="1"/>
  <c r="I16" i="59"/>
  <c r="D24" i="59"/>
  <c r="J24" i="59" s="1"/>
  <c r="G27" i="59"/>
  <c r="D32" i="59"/>
  <c r="J32" i="59" s="1"/>
  <c r="J47" i="59"/>
  <c r="D19" i="59"/>
  <c r="J19" i="59" s="1"/>
  <c r="J27" i="59" l="1"/>
  <c r="B52" i="59"/>
  <c r="H52" i="59" s="1"/>
  <c r="D33" i="59"/>
  <c r="H33" i="59"/>
  <c r="J33" i="59" l="1"/>
  <c r="D52" i="59"/>
  <c r="J52" i="59" s="1"/>
  <c r="D46" i="52"/>
  <c r="D47" i="52"/>
  <c r="D45" i="52"/>
  <c r="F44" i="52"/>
  <c r="F52" i="52" s="1"/>
  <c r="E44" i="52"/>
  <c r="E52" i="52" s="1"/>
  <c r="G35" i="52"/>
  <c r="G36" i="52"/>
  <c r="G37" i="52"/>
  <c r="G38" i="52"/>
  <c r="G39" i="52"/>
  <c r="G40" i="52"/>
  <c r="G41" i="52"/>
  <c r="G43" i="52"/>
  <c r="J43" i="52" s="1"/>
  <c r="G34" i="52"/>
  <c r="D30" i="52"/>
  <c r="D29" i="52"/>
  <c r="D26" i="52"/>
  <c r="D25" i="52"/>
  <c r="C27" i="52"/>
  <c r="C24" i="52"/>
  <c r="B24" i="52"/>
  <c r="D21" i="52"/>
  <c r="D22" i="52"/>
  <c r="D23" i="52"/>
  <c r="C19" i="52"/>
  <c r="B19" i="52"/>
  <c r="D18" i="52"/>
  <c r="D17" i="52"/>
  <c r="D4" i="52"/>
  <c r="D5" i="52"/>
  <c r="D6" i="52"/>
  <c r="D7" i="52"/>
  <c r="D8" i="52"/>
  <c r="D9" i="52"/>
  <c r="D10" i="52"/>
  <c r="D11" i="52"/>
  <c r="D12" i="52"/>
  <c r="D14" i="52"/>
  <c r="D3" i="52"/>
  <c r="D21" i="45"/>
  <c r="C22" i="45"/>
  <c r="B22" i="45"/>
  <c r="C14" i="44"/>
  <c r="B14" i="44"/>
  <c r="D60" i="9"/>
  <c r="D56" i="9"/>
  <c r="C33" i="52" l="1"/>
  <c r="D14" i="44"/>
  <c r="D57" i="9"/>
  <c r="D4" i="44"/>
  <c r="D5" i="44"/>
  <c r="D6" i="44"/>
  <c r="D7" i="44"/>
  <c r="D8" i="44"/>
  <c r="D9" i="44"/>
  <c r="D10" i="44"/>
  <c r="D13" i="44"/>
  <c r="D3" i="44"/>
  <c r="D58" i="9"/>
  <c r="C45" i="43"/>
  <c r="C46" i="43" s="1"/>
  <c r="C48" i="43" s="1"/>
  <c r="D68" i="9"/>
  <c r="D53" i="9"/>
  <c r="D50" i="9"/>
  <c r="D47" i="9"/>
  <c r="D46" i="9"/>
  <c r="D45" i="9"/>
  <c r="D44" i="9"/>
  <c r="B46" i="43"/>
  <c r="C43" i="43"/>
  <c r="B43" i="43"/>
  <c r="B48" i="43" s="1"/>
  <c r="B24" i="45"/>
  <c r="C24" i="45"/>
  <c r="D13" i="45"/>
  <c r="D12" i="45"/>
  <c r="D9" i="45"/>
  <c r="D10" i="45" s="1"/>
  <c r="C10" i="45"/>
  <c r="C7" i="45"/>
  <c r="B7" i="45"/>
  <c r="D4" i="45"/>
  <c r="D7" i="45" s="1"/>
  <c r="D5" i="45"/>
  <c r="D6" i="45"/>
  <c r="D3" i="45"/>
  <c r="D24" i="45" l="1"/>
  <c r="D45" i="43"/>
  <c r="D46" i="43" s="1"/>
  <c r="D42" i="43"/>
  <c r="D43" i="43" s="1"/>
  <c r="D32" i="43"/>
  <c r="D33" i="43"/>
  <c r="D31" i="43"/>
  <c r="B23" i="43"/>
  <c r="B25" i="43" s="1"/>
  <c r="D18" i="43"/>
  <c r="D6" i="43"/>
  <c r="D8" i="43"/>
  <c r="D9" i="43"/>
  <c r="D10" i="43"/>
  <c r="D11" i="43"/>
  <c r="D15" i="43"/>
  <c r="D5" i="43"/>
  <c r="C26" i="44"/>
  <c r="D25" i="44"/>
  <c r="D22" i="44"/>
  <c r="D21" i="44"/>
  <c r="B26" i="44"/>
  <c r="B23" i="44"/>
  <c r="D26" i="44" l="1"/>
  <c r="C23" i="44"/>
  <c r="D23" i="44" s="1"/>
  <c r="D48" i="43"/>
  <c r="B29" i="44"/>
  <c r="D13" i="43"/>
  <c r="D19" i="43" s="1"/>
  <c r="D20" i="44"/>
  <c r="C23" i="43"/>
  <c r="C25" i="43" s="1"/>
  <c r="C65" i="9"/>
  <c r="D29" i="44" l="1"/>
  <c r="C29" i="44"/>
  <c r="D23" i="43"/>
  <c r="D25" i="43" s="1"/>
  <c r="F30" i="1" l="1"/>
  <c r="F31" i="1"/>
  <c r="F32" i="1"/>
  <c r="F29" i="1"/>
  <c r="F34" i="1" s="1"/>
  <c r="E28" i="1"/>
  <c r="F27" i="1"/>
  <c r="F26" i="1"/>
  <c r="F28" i="1" l="1"/>
  <c r="F19" i="1"/>
  <c r="F20" i="1"/>
  <c r="F21" i="1"/>
  <c r="F22" i="1"/>
  <c r="F23" i="1"/>
  <c r="F24" i="1"/>
  <c r="F18" i="1"/>
  <c r="E25" i="1"/>
  <c r="D25" i="1"/>
  <c r="F16" i="1"/>
  <c r="F15" i="1"/>
  <c r="E17" i="1"/>
  <c r="E14" i="1"/>
  <c r="F12" i="1"/>
  <c r="F14" i="1" s="1"/>
  <c r="F13" i="1"/>
  <c r="F11" i="1"/>
  <c r="F9" i="1"/>
  <c r="E7" i="1"/>
  <c r="F6" i="1"/>
  <c r="F7" i="1" s="1"/>
  <c r="C52" i="9"/>
  <c r="E50" i="9"/>
  <c r="E77" i="9"/>
  <c r="E76" i="9"/>
  <c r="E68" i="9"/>
  <c r="E62" i="9"/>
  <c r="E61" i="9"/>
  <c r="E60" i="9"/>
  <c r="E58" i="9"/>
  <c r="E57" i="9"/>
  <c r="E56" i="9"/>
  <c r="E46" i="9"/>
  <c r="E45" i="9"/>
  <c r="E44" i="9"/>
  <c r="E29" i="9"/>
  <c r="E22" i="9"/>
  <c r="E21" i="9"/>
  <c r="E20" i="9"/>
  <c r="E19" i="9"/>
  <c r="E18" i="9"/>
  <c r="E17" i="9"/>
  <c r="E16" i="9"/>
  <c r="E15" i="9"/>
  <c r="E14" i="9"/>
  <c r="E13" i="9"/>
  <c r="E9" i="9"/>
  <c r="E8" i="9"/>
  <c r="E7" i="9"/>
  <c r="E6" i="9"/>
  <c r="E5" i="9"/>
  <c r="E14" i="20"/>
  <c r="E13" i="20" s="1"/>
  <c r="D13" i="20"/>
  <c r="C13" i="20"/>
  <c r="C16" i="20" s="1"/>
  <c r="D9" i="20"/>
  <c r="D42" i="20" s="1"/>
  <c r="E7" i="20"/>
  <c r="E6" i="20"/>
  <c r="C9" i="20"/>
  <c r="E59" i="19"/>
  <c r="D55" i="19"/>
  <c r="E52" i="19"/>
  <c r="E55" i="19" s="1"/>
  <c r="D44" i="19"/>
  <c r="D38" i="19"/>
  <c r="E45" i="19"/>
  <c r="E44" i="19" s="1"/>
  <c r="E40" i="19"/>
  <c r="E38" i="19" s="1"/>
  <c r="D33" i="19"/>
  <c r="E34" i="19"/>
  <c r="E33" i="19" s="1"/>
  <c r="D24" i="19"/>
  <c r="E21" i="19"/>
  <c r="E24" i="19" s="1"/>
  <c r="C24" i="19"/>
  <c r="D18" i="19"/>
  <c r="E7" i="19"/>
  <c r="E8" i="19"/>
  <c r="E9" i="19"/>
  <c r="E10" i="19"/>
  <c r="E11" i="19"/>
  <c r="E12" i="19"/>
  <c r="E13" i="19"/>
  <c r="E6" i="19"/>
  <c r="E87" i="19"/>
  <c r="D87" i="19"/>
  <c r="C87" i="19"/>
  <c r="D80" i="19"/>
  <c r="C80" i="19"/>
  <c r="C55" i="19"/>
  <c r="C44" i="19"/>
  <c r="C38" i="19"/>
  <c r="C33" i="19"/>
  <c r="C28" i="19"/>
  <c r="C18" i="19"/>
  <c r="AB75" i="7"/>
  <c r="AE75" i="7"/>
  <c r="AG75" i="7" s="1"/>
  <c r="F36" i="40"/>
  <c r="F22" i="40" s="1"/>
  <c r="E8" i="40"/>
  <c r="D8" i="37"/>
  <c r="E7" i="37"/>
  <c r="C8" i="37"/>
  <c r="I9" i="6"/>
  <c r="M7" i="6"/>
  <c r="E9" i="20" l="1"/>
  <c r="E42" i="20" s="1"/>
  <c r="E35" i="1"/>
  <c r="D49" i="19"/>
  <c r="D88" i="19" s="1"/>
  <c r="E11" i="9"/>
  <c r="E80" i="19"/>
  <c r="E49" i="19"/>
  <c r="C49" i="19"/>
  <c r="C88" i="19" s="1"/>
  <c r="E16" i="19"/>
  <c r="E18" i="19" s="1"/>
  <c r="F25" i="1"/>
  <c r="F35" i="1" s="1"/>
  <c r="E88" i="19" l="1"/>
  <c r="X5" i="5"/>
  <c r="X6" i="5"/>
  <c r="X7" i="5" s="1"/>
  <c r="V7" i="5"/>
  <c r="W7" i="5"/>
  <c r="X9" i="5"/>
  <c r="X11" i="5"/>
  <c r="X12" i="5"/>
  <c r="X13" i="5"/>
  <c r="V14" i="5"/>
  <c r="W14" i="5"/>
  <c r="X15" i="5"/>
  <c r="X16" i="5"/>
  <c r="V17" i="5"/>
  <c r="W17" i="5"/>
  <c r="X17" i="5" s="1"/>
  <c r="X18" i="5"/>
  <c r="X19" i="5"/>
  <c r="X20" i="5"/>
  <c r="X21" i="5"/>
  <c r="X22" i="5"/>
  <c r="X23" i="5"/>
  <c r="X24" i="5"/>
  <c r="V25" i="5"/>
  <c r="W25" i="5"/>
  <c r="X26" i="5"/>
  <c r="X27" i="5"/>
  <c r="V28" i="5"/>
  <c r="X28" i="5" s="1"/>
  <c r="W28" i="5"/>
  <c r="X29" i="5"/>
  <c r="X30" i="5"/>
  <c r="X31" i="5"/>
  <c r="X32" i="5"/>
  <c r="X33" i="5"/>
  <c r="V34" i="5"/>
  <c r="W34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V52" i="5"/>
  <c r="W52" i="5"/>
  <c r="X54" i="5"/>
  <c r="X55" i="5"/>
  <c r="X56" i="5"/>
  <c r="X57" i="5"/>
  <c r="V58" i="5"/>
  <c r="W58" i="5"/>
  <c r="X58" i="5"/>
  <c r="X59" i="5"/>
  <c r="X60" i="5"/>
  <c r="X61" i="5"/>
  <c r="X62" i="5"/>
  <c r="V63" i="5"/>
  <c r="W63" i="5"/>
  <c r="X63" i="5" s="1"/>
  <c r="AF7" i="5"/>
  <c r="AE7" i="5"/>
  <c r="AC7" i="5"/>
  <c r="AB7" i="5"/>
  <c r="Z7" i="5"/>
  <c r="Y7" i="5"/>
  <c r="T7" i="5"/>
  <c r="S7" i="5"/>
  <c r="Q7" i="5"/>
  <c r="P7" i="5"/>
  <c r="N7" i="5"/>
  <c r="M7" i="5"/>
  <c r="K7" i="5"/>
  <c r="J7" i="5"/>
  <c r="H7" i="5"/>
  <c r="G7" i="5"/>
  <c r="N59" i="41"/>
  <c r="AC59" i="41"/>
  <c r="E59" i="41" s="1"/>
  <c r="AB59" i="41"/>
  <c r="Z59" i="41"/>
  <c r="Y59" i="41"/>
  <c r="Q59" i="41"/>
  <c r="P59" i="41"/>
  <c r="M59" i="41"/>
  <c r="K59" i="41"/>
  <c r="H59" i="41"/>
  <c r="G59" i="41"/>
  <c r="X34" i="5" l="1"/>
  <c r="X52" i="5"/>
  <c r="V35" i="5"/>
  <c r="V65" i="5" s="1"/>
  <c r="X14" i="5"/>
  <c r="X25" i="5"/>
  <c r="W35" i="5"/>
  <c r="D7" i="1"/>
  <c r="D28" i="1"/>
  <c r="D35" i="1" s="1"/>
  <c r="H43" i="52"/>
  <c r="Q7" i="41"/>
  <c r="P7" i="41"/>
  <c r="R7" i="41" l="1"/>
  <c r="X35" i="5"/>
  <c r="D65" i="1"/>
  <c r="W65" i="5"/>
  <c r="X65" i="5" s="1"/>
  <c r="F72" i="7" l="1"/>
  <c r="E72" i="7"/>
  <c r="E73" i="7"/>
  <c r="D72" i="7"/>
  <c r="H11" i="18" l="1"/>
  <c r="H12" i="18"/>
  <c r="H13" i="18"/>
  <c r="H14" i="18"/>
  <c r="H15" i="18"/>
  <c r="D26" i="18"/>
  <c r="D25" i="18"/>
  <c r="E25" i="18"/>
  <c r="D23" i="18"/>
  <c r="D22" i="18"/>
  <c r="D24" i="18" l="1"/>
  <c r="E22" i="20"/>
  <c r="E31" i="20"/>
  <c r="E32" i="20"/>
  <c r="E34" i="20"/>
  <c r="E35" i="20"/>
  <c r="E36" i="20"/>
  <c r="E38" i="20"/>
  <c r="E39" i="20"/>
  <c r="E40" i="20"/>
  <c r="E21" i="20"/>
  <c r="D16" i="20"/>
  <c r="E12" i="20"/>
  <c r="E16" i="20" s="1"/>
  <c r="J50" i="52"/>
  <c r="I50" i="52"/>
  <c r="H50" i="52"/>
  <c r="H51" i="52"/>
  <c r="C52" i="52"/>
  <c r="H4" i="52"/>
  <c r="I4" i="52"/>
  <c r="H5" i="52"/>
  <c r="I5" i="52"/>
  <c r="H6" i="52"/>
  <c r="I6" i="52"/>
  <c r="H7" i="52"/>
  <c r="I7" i="52"/>
  <c r="H8" i="52"/>
  <c r="I8" i="52"/>
  <c r="H9" i="52"/>
  <c r="I9" i="52"/>
  <c r="H10" i="52"/>
  <c r="I10" i="52"/>
  <c r="H11" i="52"/>
  <c r="I11" i="52"/>
  <c r="H12" i="52"/>
  <c r="I12" i="52"/>
  <c r="H14" i="52"/>
  <c r="I14" i="52"/>
  <c r="I16" i="52"/>
  <c r="H17" i="52"/>
  <c r="I17" i="52"/>
  <c r="H18" i="52"/>
  <c r="I18" i="52"/>
  <c r="I19" i="52"/>
  <c r="H20" i="52"/>
  <c r="I20" i="52"/>
  <c r="H21" i="52"/>
  <c r="I21" i="52"/>
  <c r="H22" i="52"/>
  <c r="I22" i="52"/>
  <c r="H23" i="52"/>
  <c r="I23" i="52"/>
  <c r="I24" i="52"/>
  <c r="H25" i="52"/>
  <c r="I25" i="52"/>
  <c r="H26" i="52"/>
  <c r="I26" i="52"/>
  <c r="I27" i="52"/>
  <c r="H29" i="52"/>
  <c r="I29" i="52"/>
  <c r="H30" i="52"/>
  <c r="I30" i="52"/>
  <c r="I32" i="52"/>
  <c r="I33" i="52"/>
  <c r="H34" i="52"/>
  <c r="I34" i="52"/>
  <c r="J34" i="52"/>
  <c r="H35" i="52"/>
  <c r="I35" i="52"/>
  <c r="H36" i="52"/>
  <c r="I36" i="52"/>
  <c r="H37" i="52"/>
  <c r="I37" i="52"/>
  <c r="H38" i="52"/>
  <c r="I38" i="52"/>
  <c r="H39" i="52"/>
  <c r="I39" i="52"/>
  <c r="H40" i="52"/>
  <c r="I40" i="52"/>
  <c r="H41" i="52"/>
  <c r="I41" i="52"/>
  <c r="I44" i="52"/>
  <c r="H45" i="52"/>
  <c r="I45" i="52"/>
  <c r="H46" i="52"/>
  <c r="I46" i="52"/>
  <c r="H47" i="52"/>
  <c r="I47" i="52"/>
  <c r="H48" i="52"/>
  <c r="I48" i="52"/>
  <c r="H49" i="52"/>
  <c r="I49" i="52"/>
  <c r="I51" i="52"/>
  <c r="I3" i="52"/>
  <c r="J3" i="52"/>
  <c r="G4" i="52"/>
  <c r="J4" i="52" s="1"/>
  <c r="G5" i="52"/>
  <c r="J5" i="52" s="1"/>
  <c r="G6" i="52"/>
  <c r="J6" i="52" s="1"/>
  <c r="G7" i="52"/>
  <c r="J7" i="52" s="1"/>
  <c r="G8" i="52"/>
  <c r="J8" i="52" s="1"/>
  <c r="G9" i="52"/>
  <c r="J9" i="52" s="1"/>
  <c r="G10" i="52"/>
  <c r="J10" i="52" s="1"/>
  <c r="G11" i="52"/>
  <c r="J11" i="52" s="1"/>
  <c r="G12" i="52"/>
  <c r="J12" i="52" s="1"/>
  <c r="J14" i="52"/>
  <c r="G16" i="52"/>
  <c r="G17" i="52"/>
  <c r="J17" i="52" s="1"/>
  <c r="G18" i="52"/>
  <c r="J18" i="52" s="1"/>
  <c r="G19" i="52"/>
  <c r="G20" i="52"/>
  <c r="J20" i="52" s="1"/>
  <c r="G21" i="52"/>
  <c r="J21" i="52" s="1"/>
  <c r="G22" i="52"/>
  <c r="J22" i="52" s="1"/>
  <c r="G23" i="52"/>
  <c r="J23" i="52" s="1"/>
  <c r="G24" i="52"/>
  <c r="G25" i="52"/>
  <c r="J25" i="52" s="1"/>
  <c r="G26" i="52"/>
  <c r="J26" i="52" s="1"/>
  <c r="G27" i="52"/>
  <c r="G29" i="52"/>
  <c r="J29" i="52" s="1"/>
  <c r="G30" i="52"/>
  <c r="J30" i="52" s="1"/>
  <c r="G32" i="52"/>
  <c r="G33" i="52"/>
  <c r="G45" i="52"/>
  <c r="J45" i="52" s="1"/>
  <c r="G46" i="52"/>
  <c r="J46" i="52" s="1"/>
  <c r="G47" i="52"/>
  <c r="J47" i="52" s="1"/>
  <c r="G48" i="52"/>
  <c r="J48" i="52" s="1"/>
  <c r="G49" i="52"/>
  <c r="J49" i="52" s="1"/>
  <c r="G3" i="52"/>
  <c r="D34" i="52"/>
  <c r="D35" i="52"/>
  <c r="J35" i="52" s="1"/>
  <c r="D36" i="52"/>
  <c r="J36" i="52" s="1"/>
  <c r="D37" i="52"/>
  <c r="J37" i="52" s="1"/>
  <c r="D38" i="52"/>
  <c r="J38" i="52" s="1"/>
  <c r="D39" i="52"/>
  <c r="J39" i="52" s="1"/>
  <c r="D40" i="52"/>
  <c r="J40" i="52" s="1"/>
  <c r="D41" i="52"/>
  <c r="J41" i="52" s="1"/>
  <c r="D44" i="52"/>
  <c r="E32" i="52"/>
  <c r="E27" i="52"/>
  <c r="E24" i="52"/>
  <c r="E19" i="52"/>
  <c r="D32" i="52"/>
  <c r="B27" i="52"/>
  <c r="D24" i="52"/>
  <c r="H19" i="52"/>
  <c r="D8" i="45"/>
  <c r="D11" i="45"/>
  <c r="D16" i="45"/>
  <c r="D17" i="45"/>
  <c r="D18" i="45"/>
  <c r="D19" i="45"/>
  <c r="D20" i="45"/>
  <c r="D24" i="17"/>
  <c r="E24" i="17"/>
  <c r="B20" i="30" s="1"/>
  <c r="C24" i="17"/>
  <c r="H27" i="52" l="1"/>
  <c r="B33" i="52"/>
  <c r="B52" i="52" s="1"/>
  <c r="H52" i="52" s="1"/>
  <c r="J24" i="52"/>
  <c r="J32" i="52"/>
  <c r="J16" i="52"/>
  <c r="I52" i="52"/>
  <c r="H32" i="52"/>
  <c r="D27" i="52"/>
  <c r="J27" i="52" s="1"/>
  <c r="H44" i="52"/>
  <c r="G44" i="52"/>
  <c r="J44" i="52" s="1"/>
  <c r="H24" i="52"/>
  <c r="D19" i="52"/>
  <c r="J19" i="52" s="1"/>
  <c r="H16" i="52"/>
  <c r="J51" i="52"/>
  <c r="E33" i="52"/>
  <c r="D33" i="52" l="1"/>
  <c r="G52" i="52"/>
  <c r="H33" i="52"/>
  <c r="F77" i="58"/>
  <c r="E77" i="58"/>
  <c r="D77" i="58"/>
  <c r="O73" i="58"/>
  <c r="N73" i="58"/>
  <c r="M73" i="58"/>
  <c r="L73" i="58"/>
  <c r="K73" i="58"/>
  <c r="J73" i="58"/>
  <c r="I73" i="58"/>
  <c r="H73" i="58"/>
  <c r="G73" i="58"/>
  <c r="O71" i="58"/>
  <c r="F71" i="58" s="1"/>
  <c r="N71" i="58"/>
  <c r="M71" i="58"/>
  <c r="L71" i="58"/>
  <c r="K71" i="58"/>
  <c r="J71" i="58"/>
  <c r="I71" i="58"/>
  <c r="H71" i="58"/>
  <c r="G71" i="58"/>
  <c r="H66" i="58"/>
  <c r="G66" i="58"/>
  <c r="N65" i="58"/>
  <c r="M65" i="58"/>
  <c r="J65" i="58"/>
  <c r="H65" i="58"/>
  <c r="G65" i="58"/>
  <c r="AH8" i="57"/>
  <c r="F73" i="58" l="1"/>
  <c r="E73" i="58"/>
  <c r="E71" i="58"/>
  <c r="D71" i="58"/>
  <c r="D65" i="58"/>
  <c r="D73" i="58"/>
  <c r="D23" i="17"/>
  <c r="D11" i="18" s="1"/>
  <c r="D10" i="18" s="1"/>
  <c r="G67" i="58"/>
  <c r="H67" i="58"/>
  <c r="J33" i="52"/>
  <c r="D52" i="52"/>
  <c r="J52" i="52" s="1"/>
  <c r="V9" i="57" l="1"/>
  <c r="C23" i="17"/>
  <c r="C11" i="18" s="1"/>
  <c r="E23" i="17"/>
  <c r="E11" i="18" l="1"/>
  <c r="E10" i="18" s="1"/>
  <c r="B19" i="30"/>
  <c r="D7" i="7" l="1"/>
  <c r="E7" i="7"/>
  <c r="D10" i="7"/>
  <c r="E10" i="7"/>
  <c r="D12" i="7"/>
  <c r="E12" i="7"/>
  <c r="D13" i="7"/>
  <c r="E13" i="7"/>
  <c r="D14" i="7"/>
  <c r="E14" i="7"/>
  <c r="D16" i="7"/>
  <c r="E16" i="7"/>
  <c r="D17" i="7"/>
  <c r="E17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7" i="7"/>
  <c r="E27" i="7"/>
  <c r="D28" i="7"/>
  <c r="E28" i="7"/>
  <c r="D30" i="7"/>
  <c r="E30" i="7"/>
  <c r="D31" i="7"/>
  <c r="E31" i="7"/>
  <c r="D32" i="7"/>
  <c r="E32" i="7"/>
  <c r="D33" i="7"/>
  <c r="E33" i="7"/>
  <c r="D34" i="7"/>
  <c r="E34" i="7"/>
  <c r="D38" i="7"/>
  <c r="E38" i="7"/>
  <c r="D39" i="7"/>
  <c r="E39" i="7"/>
  <c r="D40" i="7"/>
  <c r="E40" i="7"/>
  <c r="D41" i="7"/>
  <c r="E41" i="7"/>
  <c r="D42" i="7"/>
  <c r="E42" i="7"/>
  <c r="D43" i="7"/>
  <c r="E43" i="7"/>
  <c r="D44" i="7"/>
  <c r="E44" i="7"/>
  <c r="D45" i="7"/>
  <c r="E45" i="7"/>
  <c r="D46" i="7"/>
  <c r="E46" i="7"/>
  <c r="D47" i="7"/>
  <c r="E47" i="7"/>
  <c r="D48" i="7"/>
  <c r="E48" i="7"/>
  <c r="D49" i="7"/>
  <c r="E49" i="7"/>
  <c r="D50" i="7"/>
  <c r="E50" i="7"/>
  <c r="D51" i="7"/>
  <c r="E51" i="7"/>
  <c r="D52" i="7"/>
  <c r="E52" i="7"/>
  <c r="D53" i="7"/>
  <c r="E53" i="7"/>
  <c r="D54" i="7"/>
  <c r="E54" i="7"/>
  <c r="D55" i="7"/>
  <c r="E55" i="7"/>
  <c r="D56" i="7"/>
  <c r="E56" i="7"/>
  <c r="D57" i="7"/>
  <c r="E57" i="7"/>
  <c r="D58" i="7"/>
  <c r="E58" i="7"/>
  <c r="D59" i="7"/>
  <c r="E59" i="7"/>
  <c r="D60" i="7"/>
  <c r="E60" i="7"/>
  <c r="D61" i="7"/>
  <c r="E61" i="7"/>
  <c r="D62" i="7"/>
  <c r="E62" i="7"/>
  <c r="D63" i="7"/>
  <c r="D64" i="7"/>
  <c r="E64" i="7"/>
  <c r="D65" i="7"/>
  <c r="E65" i="7"/>
  <c r="D66" i="7"/>
  <c r="E66" i="7"/>
  <c r="D67" i="7"/>
  <c r="E67" i="7"/>
  <c r="D68" i="7"/>
  <c r="E68" i="7"/>
  <c r="D69" i="7"/>
  <c r="E69" i="7"/>
  <c r="D70" i="7"/>
  <c r="E70" i="7"/>
  <c r="D71" i="7"/>
  <c r="E71" i="7"/>
  <c r="D73" i="7"/>
  <c r="D74" i="7"/>
  <c r="E74" i="7"/>
  <c r="D77" i="7"/>
  <c r="E77" i="7"/>
  <c r="D78" i="7"/>
  <c r="E78" i="7"/>
  <c r="D79" i="7"/>
  <c r="E79" i="7"/>
  <c r="D80" i="7"/>
  <c r="E80" i="7"/>
  <c r="D81" i="7"/>
  <c r="E81" i="7"/>
  <c r="D82" i="7"/>
  <c r="E82" i="7"/>
  <c r="D83" i="7"/>
  <c r="E83" i="7"/>
  <c r="D84" i="7"/>
  <c r="E84" i="7"/>
  <c r="D86" i="7"/>
  <c r="E86" i="7"/>
  <c r="D87" i="7"/>
  <c r="E87" i="7"/>
  <c r="D88" i="7"/>
  <c r="E88" i="7"/>
  <c r="D89" i="7"/>
  <c r="E89" i="7"/>
  <c r="D90" i="7"/>
  <c r="E90" i="7"/>
  <c r="D92" i="7"/>
  <c r="E92" i="7"/>
  <c r="D93" i="7"/>
  <c r="E93" i="7"/>
  <c r="D94" i="7"/>
  <c r="E94" i="7"/>
  <c r="D95" i="7"/>
  <c r="E95" i="7"/>
  <c r="D96" i="7"/>
  <c r="E96" i="7"/>
  <c r="D100" i="7"/>
  <c r="E100" i="7"/>
  <c r="D101" i="7"/>
  <c r="E101" i="7"/>
  <c r="D102" i="7"/>
  <c r="E102" i="7"/>
  <c r="D104" i="7"/>
  <c r="E104" i="7"/>
  <c r="D105" i="7"/>
  <c r="E105" i="7"/>
  <c r="D106" i="7"/>
  <c r="E106" i="7"/>
  <c r="E6" i="7"/>
  <c r="D6" i="7"/>
  <c r="D12" i="9" l="1"/>
  <c r="D6" i="17" s="1"/>
  <c r="Z7" i="8"/>
  <c r="W8" i="7"/>
  <c r="E8" i="7" s="1"/>
  <c r="Z4" i="8"/>
  <c r="Y4" i="8"/>
  <c r="Z3" i="8"/>
  <c r="N66" i="58"/>
  <c r="N67" i="58" s="1"/>
  <c r="M66" i="58"/>
  <c r="M67" i="58" s="1"/>
  <c r="O65" i="58"/>
  <c r="N58" i="58"/>
  <c r="N54" i="58"/>
  <c r="K66" i="58"/>
  <c r="L65" i="58"/>
  <c r="K65" i="58"/>
  <c r="E65" i="58" s="1"/>
  <c r="J61" i="58"/>
  <c r="J54" i="58"/>
  <c r="M56" i="58" l="1"/>
  <c r="M59" i="58"/>
  <c r="O54" i="58"/>
  <c r="J59" i="58"/>
  <c r="O69" i="58"/>
  <c r="M69" i="58"/>
  <c r="N69" i="58"/>
  <c r="M61" i="58"/>
  <c r="N61" i="58"/>
  <c r="M58" i="58"/>
  <c r="M54" i="58"/>
  <c r="K69" i="58"/>
  <c r="J69" i="58"/>
  <c r="L66" i="58"/>
  <c r="L67" i="58" s="1"/>
  <c r="E66" i="58"/>
  <c r="K67" i="58"/>
  <c r="E67" i="58" s="1"/>
  <c r="J66" i="58"/>
  <c r="L61" i="58"/>
  <c r="K58" i="58"/>
  <c r="M53" i="58"/>
  <c r="N53" i="58"/>
  <c r="N55" i="58" s="1"/>
  <c r="N59" i="58"/>
  <c r="N60" i="58"/>
  <c r="N62" i="58"/>
  <c r="K62" i="58"/>
  <c r="J53" i="58"/>
  <c r="J55" i="58" s="1"/>
  <c r="K54" i="58"/>
  <c r="J56" i="58"/>
  <c r="J58" i="58"/>
  <c r="K59" i="58"/>
  <c r="J60" i="58"/>
  <c r="K61" i="58"/>
  <c r="K53" i="58"/>
  <c r="K56" i="58"/>
  <c r="O58" i="58"/>
  <c r="O59" i="58"/>
  <c r="M60" i="58"/>
  <c r="O61" i="58"/>
  <c r="L69" i="58"/>
  <c r="K60" i="58"/>
  <c r="L54" i="58"/>
  <c r="L59" i="58"/>
  <c r="M62" i="58" l="1"/>
  <c r="M63" i="58" s="1"/>
  <c r="N56" i="58"/>
  <c r="M55" i="58"/>
  <c r="O66" i="58"/>
  <c r="O67" i="58" s="1"/>
  <c r="N63" i="58"/>
  <c r="O53" i="58"/>
  <c r="O55" i="58" s="1"/>
  <c r="J67" i="58"/>
  <c r="D67" i="58" s="1"/>
  <c r="D66" i="58"/>
  <c r="L60" i="58"/>
  <c r="K63" i="58"/>
  <c r="L58" i="58"/>
  <c r="L56" i="58"/>
  <c r="K55" i="58"/>
  <c r="L53" i="58"/>
  <c r="L55" i="58" s="1"/>
  <c r="M75" i="58" l="1"/>
  <c r="M79" i="58" s="1"/>
  <c r="O60" i="58"/>
  <c r="N75" i="58"/>
  <c r="N79" i="58" s="1"/>
  <c r="J62" i="58"/>
  <c r="J63" i="58" s="1"/>
  <c r="J75" i="58" s="1"/>
  <c r="J79" i="58" s="1"/>
  <c r="K75" i="58"/>
  <c r="K79" i="58" s="1"/>
  <c r="L62" i="58"/>
  <c r="L63" i="58" s="1"/>
  <c r="L75" i="58" s="1"/>
  <c r="L79" i="58" s="1"/>
  <c r="O62" i="58" l="1"/>
  <c r="O63" i="58" s="1"/>
  <c r="O56" i="58"/>
  <c r="D22" i="17"/>
  <c r="D21" i="17"/>
  <c r="D18" i="17"/>
  <c r="D17" i="17"/>
  <c r="D12" i="17"/>
  <c r="D9" i="17"/>
  <c r="E9" i="17"/>
  <c r="D11" i="9"/>
  <c r="E5" i="17"/>
  <c r="B4" i="30" s="1"/>
  <c r="D43" i="9"/>
  <c r="D10" i="17" s="1"/>
  <c r="D52" i="9"/>
  <c r="D11" i="17" s="1"/>
  <c r="D69" i="9"/>
  <c r="D14" i="17" s="1"/>
  <c r="D7" i="18" s="1"/>
  <c r="E69" i="9"/>
  <c r="E14" i="17" s="1"/>
  <c r="D65" i="9"/>
  <c r="D13" i="17" s="1"/>
  <c r="D6" i="18" s="1"/>
  <c r="AG7" i="7"/>
  <c r="AG10" i="7"/>
  <c r="AG12" i="7"/>
  <c r="AG13" i="7"/>
  <c r="AG14" i="7"/>
  <c r="AG16" i="7"/>
  <c r="AG17" i="7"/>
  <c r="AG19" i="7"/>
  <c r="AG20" i="7"/>
  <c r="AG21" i="7"/>
  <c r="AG22" i="7"/>
  <c r="AG23" i="7"/>
  <c r="AG24" i="7"/>
  <c r="AG25" i="7"/>
  <c r="AG27" i="7"/>
  <c r="AG28" i="7"/>
  <c r="AG30" i="7"/>
  <c r="AG31" i="7"/>
  <c r="AG32" i="7"/>
  <c r="AG33" i="7"/>
  <c r="AG34" i="7"/>
  <c r="AG38" i="7"/>
  <c r="AG39" i="7"/>
  <c r="AG40" i="7"/>
  <c r="AG41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1" i="7"/>
  <c r="AG62" i="7"/>
  <c r="AG64" i="7"/>
  <c r="AG65" i="7"/>
  <c r="AG66" i="7"/>
  <c r="AG67" i="7"/>
  <c r="AG68" i="7"/>
  <c r="I12" i="18" s="1"/>
  <c r="AG69" i="7"/>
  <c r="AG70" i="7"/>
  <c r="I13" i="18" s="1"/>
  <c r="AG71" i="7"/>
  <c r="AG73" i="7"/>
  <c r="AG74" i="7"/>
  <c r="AG77" i="7"/>
  <c r="AG78" i="7"/>
  <c r="AG79" i="7"/>
  <c r="AG80" i="7"/>
  <c r="AG81" i="7"/>
  <c r="AG82" i="7"/>
  <c r="AG83" i="7"/>
  <c r="AG84" i="7"/>
  <c r="AG86" i="7"/>
  <c r="AG87" i="7"/>
  <c r="AG88" i="7"/>
  <c r="AG89" i="7"/>
  <c r="AG90" i="7"/>
  <c r="AG92" i="7"/>
  <c r="AG93" i="7"/>
  <c r="AG94" i="7"/>
  <c r="AG95" i="7"/>
  <c r="AG96" i="7"/>
  <c r="AG97" i="7"/>
  <c r="AG100" i="7"/>
  <c r="AG101" i="7"/>
  <c r="AG102" i="7"/>
  <c r="AG104" i="7"/>
  <c r="AG105" i="7"/>
  <c r="AG106" i="7"/>
  <c r="AG6" i="7"/>
  <c r="AD7" i="7"/>
  <c r="AD10" i="7"/>
  <c r="AD12" i="7"/>
  <c r="AD13" i="7"/>
  <c r="AD14" i="7"/>
  <c r="AD16" i="7"/>
  <c r="AD17" i="7"/>
  <c r="AD19" i="7"/>
  <c r="AD20" i="7"/>
  <c r="AD21" i="7"/>
  <c r="AD22" i="7"/>
  <c r="AD23" i="7"/>
  <c r="AD24" i="7"/>
  <c r="AD25" i="7"/>
  <c r="AD27" i="7"/>
  <c r="AD28" i="7"/>
  <c r="AD30" i="7"/>
  <c r="AD31" i="7"/>
  <c r="AD32" i="7"/>
  <c r="AD33" i="7"/>
  <c r="AD34" i="7"/>
  <c r="AD38" i="7"/>
  <c r="AD39" i="7"/>
  <c r="AD40" i="7"/>
  <c r="AD41" i="7"/>
  <c r="AD42" i="7"/>
  <c r="AD43" i="7"/>
  <c r="AD44" i="7"/>
  <c r="AD45" i="7"/>
  <c r="AD46" i="7"/>
  <c r="AD47" i="7"/>
  <c r="AD48" i="7"/>
  <c r="AD49" i="7"/>
  <c r="AD50" i="7"/>
  <c r="AD51" i="7"/>
  <c r="AD52" i="7"/>
  <c r="AD53" i="7"/>
  <c r="AD54" i="7"/>
  <c r="AD55" i="7"/>
  <c r="AD56" i="7"/>
  <c r="AD57" i="7"/>
  <c r="AD58" i="7"/>
  <c r="AD59" i="7"/>
  <c r="AD60" i="7"/>
  <c r="AD61" i="7"/>
  <c r="AD62" i="7"/>
  <c r="AD63" i="7"/>
  <c r="AD64" i="7"/>
  <c r="AD65" i="7"/>
  <c r="AD66" i="7"/>
  <c r="AD67" i="7"/>
  <c r="AD68" i="7"/>
  <c r="AD69" i="7"/>
  <c r="AD70" i="7"/>
  <c r="AD71" i="7"/>
  <c r="AD73" i="7"/>
  <c r="AD74" i="7"/>
  <c r="AD75" i="7"/>
  <c r="AD77" i="7"/>
  <c r="AD78" i="7"/>
  <c r="AD79" i="7"/>
  <c r="AD80" i="7"/>
  <c r="AD81" i="7"/>
  <c r="AD82" i="7"/>
  <c r="AD83" i="7"/>
  <c r="AD84" i="7"/>
  <c r="AD86" i="7"/>
  <c r="AD87" i="7"/>
  <c r="AD88" i="7"/>
  <c r="AD89" i="7"/>
  <c r="AD90" i="7"/>
  <c r="AD92" i="7"/>
  <c r="AD93" i="7"/>
  <c r="AD94" i="7"/>
  <c r="AD95" i="7"/>
  <c r="AD96" i="7"/>
  <c r="AD97" i="7"/>
  <c r="AD100" i="7"/>
  <c r="AD101" i="7"/>
  <c r="AD102" i="7"/>
  <c r="AD103" i="7"/>
  <c r="AD104" i="7"/>
  <c r="AD105" i="7"/>
  <c r="AD106" i="7"/>
  <c r="AD107" i="7"/>
  <c r="AD6" i="7"/>
  <c r="AA7" i="7"/>
  <c r="AA10" i="7"/>
  <c r="AA12" i="7"/>
  <c r="AA13" i="7"/>
  <c r="AA14" i="7"/>
  <c r="AA16" i="7"/>
  <c r="AA17" i="7"/>
  <c r="AA19" i="7"/>
  <c r="AA20" i="7"/>
  <c r="AA21" i="7"/>
  <c r="AA22" i="7"/>
  <c r="AA23" i="7"/>
  <c r="AA24" i="7"/>
  <c r="AA25" i="7"/>
  <c r="AA27" i="7"/>
  <c r="AA28" i="7"/>
  <c r="AA30" i="7"/>
  <c r="AA31" i="7"/>
  <c r="AA32" i="7"/>
  <c r="AA33" i="7"/>
  <c r="AA34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3" i="7"/>
  <c r="AA74" i="7"/>
  <c r="AA77" i="7"/>
  <c r="AA78" i="7"/>
  <c r="AA79" i="7"/>
  <c r="AA80" i="7"/>
  <c r="AA81" i="7"/>
  <c r="AA82" i="7"/>
  <c r="AA83" i="7"/>
  <c r="AA84" i="7"/>
  <c r="AA86" i="7"/>
  <c r="AA87" i="7"/>
  <c r="AA88" i="7"/>
  <c r="AA89" i="7"/>
  <c r="AA90" i="7"/>
  <c r="AA92" i="7"/>
  <c r="AA93" i="7"/>
  <c r="AA94" i="7"/>
  <c r="AA95" i="7"/>
  <c r="AA96" i="7"/>
  <c r="AA97" i="7"/>
  <c r="AA100" i="7"/>
  <c r="AA101" i="7"/>
  <c r="AA102" i="7"/>
  <c r="AA103" i="7"/>
  <c r="AA104" i="7"/>
  <c r="AA105" i="7"/>
  <c r="AA106" i="7"/>
  <c r="AA6" i="7"/>
  <c r="X7" i="7"/>
  <c r="X10" i="7"/>
  <c r="X12" i="7"/>
  <c r="X13" i="7"/>
  <c r="X14" i="7"/>
  <c r="X16" i="7"/>
  <c r="X17" i="7"/>
  <c r="X19" i="7"/>
  <c r="X20" i="7"/>
  <c r="X21" i="7"/>
  <c r="X22" i="7"/>
  <c r="X23" i="7"/>
  <c r="X24" i="7"/>
  <c r="X25" i="7"/>
  <c r="X27" i="7"/>
  <c r="X28" i="7"/>
  <c r="X30" i="7"/>
  <c r="X31" i="7"/>
  <c r="X32" i="7"/>
  <c r="X33" i="7"/>
  <c r="X34" i="7"/>
  <c r="X38" i="7"/>
  <c r="X39" i="7"/>
  <c r="X40" i="7"/>
  <c r="X41" i="7"/>
  <c r="X42" i="7"/>
  <c r="X43" i="7"/>
  <c r="X44" i="7"/>
  <c r="X45" i="7"/>
  <c r="X46" i="7"/>
  <c r="X47" i="7"/>
  <c r="X48" i="7"/>
  <c r="X49" i="7"/>
  <c r="X50" i="7"/>
  <c r="X51" i="7"/>
  <c r="X52" i="7"/>
  <c r="X53" i="7"/>
  <c r="X54" i="7"/>
  <c r="X55" i="7"/>
  <c r="X56" i="7"/>
  <c r="X57" i="7"/>
  <c r="X58" i="7"/>
  <c r="X59" i="7"/>
  <c r="X60" i="7"/>
  <c r="X61" i="7"/>
  <c r="X62" i="7"/>
  <c r="X63" i="7"/>
  <c r="X64" i="7"/>
  <c r="X65" i="7"/>
  <c r="X66" i="7"/>
  <c r="X67" i="7"/>
  <c r="X68" i="7"/>
  <c r="X69" i="7"/>
  <c r="X70" i="7"/>
  <c r="X71" i="7"/>
  <c r="X73" i="7"/>
  <c r="X74" i="7"/>
  <c r="X77" i="7"/>
  <c r="X78" i="7"/>
  <c r="X79" i="7"/>
  <c r="X80" i="7"/>
  <c r="X81" i="7"/>
  <c r="X82" i="7"/>
  <c r="X83" i="7"/>
  <c r="X84" i="7"/>
  <c r="X86" i="7"/>
  <c r="X87" i="7"/>
  <c r="X88" i="7"/>
  <c r="X89" i="7"/>
  <c r="X90" i="7"/>
  <c r="X92" i="7"/>
  <c r="X93" i="7"/>
  <c r="X94" i="7"/>
  <c r="X95" i="7"/>
  <c r="X96" i="7"/>
  <c r="X97" i="7"/>
  <c r="X100" i="7"/>
  <c r="X101" i="7"/>
  <c r="X102" i="7"/>
  <c r="X104" i="7"/>
  <c r="X105" i="7"/>
  <c r="X106" i="7"/>
  <c r="X6" i="7"/>
  <c r="O7" i="7"/>
  <c r="O10" i="7"/>
  <c r="O12" i="7"/>
  <c r="O13" i="7"/>
  <c r="O14" i="7"/>
  <c r="O16" i="7"/>
  <c r="O17" i="7"/>
  <c r="O19" i="7"/>
  <c r="O20" i="7"/>
  <c r="O21" i="7"/>
  <c r="O22" i="7"/>
  <c r="O23" i="7"/>
  <c r="O24" i="7"/>
  <c r="O25" i="7"/>
  <c r="O27" i="7"/>
  <c r="O28" i="7"/>
  <c r="O30" i="7"/>
  <c r="O31" i="7"/>
  <c r="O32" i="7"/>
  <c r="O33" i="7"/>
  <c r="O34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3" i="7"/>
  <c r="O74" i="7"/>
  <c r="O75" i="7"/>
  <c r="O77" i="7"/>
  <c r="O78" i="7"/>
  <c r="O79" i="7"/>
  <c r="O80" i="7"/>
  <c r="O81" i="7"/>
  <c r="O82" i="7"/>
  <c r="O83" i="7"/>
  <c r="O84" i="7"/>
  <c r="O86" i="7"/>
  <c r="O87" i="7"/>
  <c r="O88" i="7"/>
  <c r="O89" i="7"/>
  <c r="O90" i="7"/>
  <c r="O92" i="7"/>
  <c r="O93" i="7"/>
  <c r="O94" i="7"/>
  <c r="O95" i="7"/>
  <c r="O96" i="7"/>
  <c r="O97" i="7"/>
  <c r="O100" i="7"/>
  <c r="O101" i="7"/>
  <c r="O102" i="7"/>
  <c r="O103" i="7"/>
  <c r="O104" i="7"/>
  <c r="O105" i="7"/>
  <c r="O106" i="7"/>
  <c r="O107" i="7"/>
  <c r="O6" i="7"/>
  <c r="L7" i="7"/>
  <c r="L10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7" i="7"/>
  <c r="L28" i="7"/>
  <c r="L29" i="7"/>
  <c r="L30" i="7"/>
  <c r="L31" i="7"/>
  <c r="L32" i="7"/>
  <c r="L33" i="7"/>
  <c r="L34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3" i="7"/>
  <c r="L74" i="7"/>
  <c r="L75" i="7"/>
  <c r="L77" i="7"/>
  <c r="L78" i="7"/>
  <c r="L79" i="7"/>
  <c r="L80" i="7"/>
  <c r="L81" i="7"/>
  <c r="L82" i="7"/>
  <c r="L83" i="7"/>
  <c r="L84" i="7"/>
  <c r="L86" i="7"/>
  <c r="L87" i="7"/>
  <c r="L88" i="7"/>
  <c r="L89" i="7"/>
  <c r="L90" i="7"/>
  <c r="L92" i="7"/>
  <c r="L93" i="7"/>
  <c r="L94" i="7"/>
  <c r="L95" i="7"/>
  <c r="L96" i="7"/>
  <c r="L97" i="7"/>
  <c r="L100" i="7"/>
  <c r="L101" i="7"/>
  <c r="L102" i="7"/>
  <c r="L103" i="7"/>
  <c r="L104" i="7"/>
  <c r="L105" i="7"/>
  <c r="L106" i="7"/>
  <c r="L107" i="7"/>
  <c r="L6" i="7"/>
  <c r="I7" i="7"/>
  <c r="I10" i="7"/>
  <c r="I12" i="7"/>
  <c r="I13" i="7"/>
  <c r="I14" i="7"/>
  <c r="F14" i="7" s="1"/>
  <c r="I16" i="7"/>
  <c r="I17" i="7"/>
  <c r="I19" i="7"/>
  <c r="I20" i="7"/>
  <c r="I21" i="7"/>
  <c r="I22" i="7"/>
  <c r="I23" i="7"/>
  <c r="I24" i="7"/>
  <c r="I25" i="7"/>
  <c r="I27" i="7"/>
  <c r="I28" i="7"/>
  <c r="I30" i="7"/>
  <c r="I31" i="7"/>
  <c r="I32" i="7"/>
  <c r="I33" i="7"/>
  <c r="I34" i="7"/>
  <c r="I38" i="7"/>
  <c r="I39" i="7"/>
  <c r="F39" i="7" s="1"/>
  <c r="I40" i="7"/>
  <c r="I41" i="7"/>
  <c r="I42" i="7"/>
  <c r="I43" i="7"/>
  <c r="F43" i="7" s="1"/>
  <c r="I44" i="7"/>
  <c r="I45" i="7"/>
  <c r="I46" i="7"/>
  <c r="I47" i="7"/>
  <c r="F47" i="7" s="1"/>
  <c r="I48" i="7"/>
  <c r="I49" i="7"/>
  <c r="I50" i="7"/>
  <c r="I51" i="7"/>
  <c r="F51" i="7" s="1"/>
  <c r="I52" i="7"/>
  <c r="I53" i="7"/>
  <c r="I54" i="7"/>
  <c r="I55" i="7"/>
  <c r="F55" i="7" s="1"/>
  <c r="I56" i="7"/>
  <c r="I57" i="7"/>
  <c r="I58" i="7"/>
  <c r="I59" i="7"/>
  <c r="I60" i="7"/>
  <c r="I61" i="7"/>
  <c r="I62" i="7"/>
  <c r="I63" i="7"/>
  <c r="I64" i="7"/>
  <c r="I65" i="7"/>
  <c r="I66" i="7"/>
  <c r="I67" i="7"/>
  <c r="F67" i="7" s="1"/>
  <c r="I68" i="7"/>
  <c r="I69" i="7"/>
  <c r="I70" i="7"/>
  <c r="I71" i="7"/>
  <c r="F71" i="7" s="1"/>
  <c r="I73" i="7"/>
  <c r="I74" i="7"/>
  <c r="I77" i="7"/>
  <c r="I78" i="7"/>
  <c r="I79" i="7"/>
  <c r="I80" i="7"/>
  <c r="I81" i="7"/>
  <c r="I82" i="7"/>
  <c r="I83" i="7"/>
  <c r="I84" i="7"/>
  <c r="I86" i="7"/>
  <c r="I87" i="7"/>
  <c r="I88" i="7"/>
  <c r="I89" i="7"/>
  <c r="I90" i="7"/>
  <c r="I92" i="7"/>
  <c r="I93" i="7"/>
  <c r="I94" i="7"/>
  <c r="I95" i="7"/>
  <c r="I96" i="7"/>
  <c r="I100" i="7"/>
  <c r="I101" i="7"/>
  <c r="I102" i="7"/>
  <c r="I103" i="7"/>
  <c r="I104" i="7"/>
  <c r="I105" i="7"/>
  <c r="I106" i="7"/>
  <c r="I107" i="7"/>
  <c r="I6" i="7"/>
  <c r="G40" i="40"/>
  <c r="H5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8" i="40"/>
  <c r="H39" i="40"/>
  <c r="H4" i="40"/>
  <c r="D9" i="40"/>
  <c r="D40" i="40" s="1"/>
  <c r="E13" i="37"/>
  <c r="E14" i="37"/>
  <c r="E15" i="37"/>
  <c r="E16" i="37"/>
  <c r="E17" i="37"/>
  <c r="E18" i="37"/>
  <c r="E12" i="37"/>
  <c r="E5" i="37"/>
  <c r="E6" i="37"/>
  <c r="E4" i="37"/>
  <c r="O30" i="6"/>
  <c r="O31" i="6"/>
  <c r="O32" i="6"/>
  <c r="O33" i="6"/>
  <c r="O29" i="6"/>
  <c r="O27" i="6"/>
  <c r="O26" i="6"/>
  <c r="O19" i="6"/>
  <c r="O20" i="6"/>
  <c r="O21" i="6"/>
  <c r="O22" i="6"/>
  <c r="O23" i="6"/>
  <c r="O24" i="6"/>
  <c r="O18" i="6"/>
  <c r="O16" i="6"/>
  <c r="O15" i="6"/>
  <c r="O12" i="6"/>
  <c r="O13" i="6"/>
  <c r="O11" i="6"/>
  <c r="L38" i="6"/>
  <c r="L39" i="6"/>
  <c r="L40" i="6"/>
  <c r="L41" i="6"/>
  <c r="L42" i="6"/>
  <c r="L43" i="6"/>
  <c r="L44" i="6"/>
  <c r="L37" i="6"/>
  <c r="L30" i="6"/>
  <c r="L31" i="6"/>
  <c r="L32" i="6"/>
  <c r="L33" i="6"/>
  <c r="L29" i="6"/>
  <c r="L27" i="6"/>
  <c r="L19" i="6"/>
  <c r="F19" i="6" s="1"/>
  <c r="L20" i="6"/>
  <c r="L21" i="6"/>
  <c r="L22" i="6"/>
  <c r="L23" i="6"/>
  <c r="L24" i="6"/>
  <c r="L18" i="6"/>
  <c r="L16" i="6"/>
  <c r="L15" i="6"/>
  <c r="L12" i="6"/>
  <c r="L13" i="6"/>
  <c r="L11" i="6"/>
  <c r="I38" i="6"/>
  <c r="F38" i="6" s="1"/>
  <c r="I39" i="6"/>
  <c r="I40" i="6"/>
  <c r="I41" i="6"/>
  <c r="I42" i="6"/>
  <c r="F42" i="6" s="1"/>
  <c r="I43" i="6"/>
  <c r="I44" i="6"/>
  <c r="I37" i="6"/>
  <c r="I30" i="6"/>
  <c r="F30" i="6" s="1"/>
  <c r="I31" i="6"/>
  <c r="I32" i="6"/>
  <c r="I33" i="6"/>
  <c r="I29" i="6"/>
  <c r="I27" i="6"/>
  <c r="I26" i="6"/>
  <c r="I19" i="6"/>
  <c r="I20" i="6"/>
  <c r="F20" i="6" s="1"/>
  <c r="I21" i="6"/>
  <c r="I22" i="6"/>
  <c r="I23" i="6"/>
  <c r="F23" i="6" s="1"/>
  <c r="I24" i="6"/>
  <c r="I18" i="6"/>
  <c r="I16" i="6"/>
  <c r="I15" i="6"/>
  <c r="I12" i="6"/>
  <c r="I13" i="6"/>
  <c r="I11" i="6"/>
  <c r="O9" i="6"/>
  <c r="L9" i="6"/>
  <c r="N7" i="6"/>
  <c r="O6" i="6"/>
  <c r="O7" i="6" s="1"/>
  <c r="O5" i="6"/>
  <c r="I6" i="6"/>
  <c r="I5" i="6"/>
  <c r="D38" i="6"/>
  <c r="E38" i="6"/>
  <c r="D39" i="6"/>
  <c r="E39" i="6"/>
  <c r="F39" i="6"/>
  <c r="D40" i="6"/>
  <c r="E40" i="6"/>
  <c r="F40" i="6"/>
  <c r="D41" i="6"/>
  <c r="E41" i="6"/>
  <c r="D42" i="6"/>
  <c r="E42" i="6"/>
  <c r="D43" i="6"/>
  <c r="E43" i="6"/>
  <c r="F43" i="6"/>
  <c r="D44" i="6"/>
  <c r="E44" i="6"/>
  <c r="F44" i="6"/>
  <c r="E37" i="6"/>
  <c r="F37" i="6"/>
  <c r="D30" i="6"/>
  <c r="E30" i="6"/>
  <c r="D31" i="6"/>
  <c r="E31" i="6"/>
  <c r="F31" i="6"/>
  <c r="D32" i="6"/>
  <c r="E32" i="6"/>
  <c r="D33" i="6"/>
  <c r="E33" i="6"/>
  <c r="E29" i="6"/>
  <c r="D27" i="6"/>
  <c r="E27" i="6"/>
  <c r="E26" i="6"/>
  <c r="D19" i="6"/>
  <c r="E19" i="6"/>
  <c r="D20" i="6"/>
  <c r="E20" i="6"/>
  <c r="D21" i="6"/>
  <c r="E21" i="6"/>
  <c r="F21" i="6"/>
  <c r="D22" i="6"/>
  <c r="E22" i="6"/>
  <c r="D23" i="6"/>
  <c r="E23" i="6"/>
  <c r="D24" i="6"/>
  <c r="E24" i="6"/>
  <c r="E18" i="6"/>
  <c r="F18" i="6"/>
  <c r="D16" i="6"/>
  <c r="E16" i="6"/>
  <c r="E15" i="6"/>
  <c r="F15" i="6"/>
  <c r="D12" i="6"/>
  <c r="E12" i="6"/>
  <c r="D13" i="6"/>
  <c r="E13" i="6"/>
  <c r="F13" i="6"/>
  <c r="E11" i="6"/>
  <c r="AG6" i="5"/>
  <c r="AG7" i="5"/>
  <c r="AG9" i="5"/>
  <c r="AG11" i="5"/>
  <c r="AG12" i="5"/>
  <c r="AG13" i="5"/>
  <c r="AG15" i="5"/>
  <c r="AG16" i="5"/>
  <c r="AG18" i="5"/>
  <c r="AG19" i="5"/>
  <c r="AG20" i="5"/>
  <c r="AG21" i="5"/>
  <c r="AG22" i="5"/>
  <c r="AG23" i="5"/>
  <c r="AG24" i="5"/>
  <c r="AG26" i="5"/>
  <c r="AG27" i="5"/>
  <c r="AG29" i="5"/>
  <c r="AG30" i="5"/>
  <c r="AG31" i="5"/>
  <c r="AG32" i="5"/>
  <c r="AG33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4" i="5"/>
  <c r="AG55" i="5"/>
  <c r="AG56" i="5"/>
  <c r="AG57" i="5"/>
  <c r="AG59" i="5"/>
  <c r="AG60" i="5"/>
  <c r="AG61" i="5"/>
  <c r="AG62" i="5"/>
  <c r="AG5" i="5"/>
  <c r="AD6" i="5"/>
  <c r="AD7" i="5"/>
  <c r="AD9" i="5"/>
  <c r="AD11" i="5"/>
  <c r="AD12" i="5"/>
  <c r="AD13" i="5"/>
  <c r="AD15" i="5"/>
  <c r="AD16" i="5"/>
  <c r="AD18" i="5"/>
  <c r="AD19" i="5"/>
  <c r="AD20" i="5"/>
  <c r="AD21" i="5"/>
  <c r="AD22" i="5"/>
  <c r="AD23" i="5"/>
  <c r="AD24" i="5"/>
  <c r="AD26" i="5"/>
  <c r="AD27" i="5"/>
  <c r="AD29" i="5"/>
  <c r="AD30" i="5"/>
  <c r="AD31" i="5"/>
  <c r="AD32" i="5"/>
  <c r="AD33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4" i="5"/>
  <c r="AD55" i="5"/>
  <c r="AD56" i="5"/>
  <c r="AD57" i="5"/>
  <c r="AD59" i="5"/>
  <c r="AD60" i="5"/>
  <c r="AD61" i="5"/>
  <c r="AD62" i="5"/>
  <c r="AD5" i="5"/>
  <c r="AA6" i="5"/>
  <c r="AA7" i="5"/>
  <c r="AA9" i="5"/>
  <c r="AA11" i="5"/>
  <c r="AA12" i="5"/>
  <c r="AA13" i="5"/>
  <c r="AA15" i="5"/>
  <c r="AA16" i="5"/>
  <c r="AA18" i="5"/>
  <c r="AA19" i="5"/>
  <c r="AA20" i="5"/>
  <c r="AA21" i="5"/>
  <c r="AA22" i="5"/>
  <c r="AA23" i="5"/>
  <c r="AA24" i="5"/>
  <c r="AA26" i="5"/>
  <c r="AA27" i="5"/>
  <c r="AA29" i="5"/>
  <c r="AA30" i="5"/>
  <c r="AA31" i="5"/>
  <c r="AA32" i="5"/>
  <c r="AA33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4" i="5"/>
  <c r="AA55" i="5"/>
  <c r="AA56" i="5"/>
  <c r="AA57" i="5"/>
  <c r="AA59" i="5"/>
  <c r="AA60" i="5"/>
  <c r="AA61" i="5"/>
  <c r="AA62" i="5"/>
  <c r="AA5" i="5"/>
  <c r="U6" i="5"/>
  <c r="U7" i="5"/>
  <c r="U9" i="5"/>
  <c r="U11" i="5"/>
  <c r="U12" i="5"/>
  <c r="U13" i="5"/>
  <c r="U15" i="5"/>
  <c r="U16" i="5"/>
  <c r="U18" i="5"/>
  <c r="U19" i="5"/>
  <c r="U20" i="5"/>
  <c r="U21" i="5"/>
  <c r="U22" i="5"/>
  <c r="U23" i="5"/>
  <c r="U24" i="5"/>
  <c r="U26" i="5"/>
  <c r="U27" i="5"/>
  <c r="U29" i="5"/>
  <c r="U30" i="5"/>
  <c r="U31" i="5"/>
  <c r="U32" i="5"/>
  <c r="U33" i="5"/>
  <c r="U37" i="5"/>
  <c r="U38" i="5"/>
  <c r="U39" i="5"/>
  <c r="U40" i="5"/>
  <c r="U41" i="5"/>
  <c r="U42" i="5"/>
  <c r="U43" i="5"/>
  <c r="U44" i="5"/>
  <c r="U45" i="5"/>
  <c r="U46" i="5"/>
  <c r="U47" i="5"/>
  <c r="U48" i="5"/>
  <c r="U49" i="5"/>
  <c r="U50" i="5"/>
  <c r="U51" i="5"/>
  <c r="U54" i="5"/>
  <c r="U55" i="5"/>
  <c r="U56" i="5"/>
  <c r="U57" i="5"/>
  <c r="U59" i="5"/>
  <c r="U60" i="5"/>
  <c r="U61" i="5"/>
  <c r="U62" i="5"/>
  <c r="F62" i="5" s="1"/>
  <c r="U5" i="5"/>
  <c r="R6" i="5"/>
  <c r="R7" i="5"/>
  <c r="R9" i="5"/>
  <c r="R11" i="5"/>
  <c r="R12" i="5"/>
  <c r="R13" i="5"/>
  <c r="R15" i="5"/>
  <c r="R16" i="5"/>
  <c r="R18" i="5"/>
  <c r="R19" i="5"/>
  <c r="R20" i="5"/>
  <c r="R21" i="5"/>
  <c r="R22" i="5"/>
  <c r="R23" i="5"/>
  <c r="R24" i="5"/>
  <c r="R26" i="5"/>
  <c r="R27" i="5"/>
  <c r="R29" i="5"/>
  <c r="R30" i="5"/>
  <c r="R31" i="5"/>
  <c r="R32" i="5"/>
  <c r="R33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4" i="5"/>
  <c r="R55" i="5"/>
  <c r="F55" i="5" s="1"/>
  <c r="R56" i="5"/>
  <c r="R57" i="5"/>
  <c r="R59" i="5"/>
  <c r="R60" i="5"/>
  <c r="R61" i="5"/>
  <c r="R62" i="5"/>
  <c r="R5" i="5"/>
  <c r="O6" i="5"/>
  <c r="O7" i="5"/>
  <c r="O9" i="5"/>
  <c r="O11" i="5"/>
  <c r="O12" i="5"/>
  <c r="F12" i="5" s="1"/>
  <c r="O13" i="5"/>
  <c r="O15" i="5"/>
  <c r="O16" i="5"/>
  <c r="O18" i="5"/>
  <c r="O19" i="5"/>
  <c r="O20" i="5"/>
  <c r="O21" i="5"/>
  <c r="O22" i="5"/>
  <c r="O23" i="5"/>
  <c r="O24" i="5"/>
  <c r="O26" i="5"/>
  <c r="O27" i="5"/>
  <c r="O29" i="5"/>
  <c r="O30" i="5"/>
  <c r="O31" i="5"/>
  <c r="O32" i="5"/>
  <c r="O33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4" i="5"/>
  <c r="O55" i="5"/>
  <c r="O56" i="5"/>
  <c r="O57" i="5"/>
  <c r="O59" i="5"/>
  <c r="O60" i="5"/>
  <c r="O61" i="5"/>
  <c r="O62" i="5"/>
  <c r="O5" i="5"/>
  <c r="L6" i="5"/>
  <c r="L7" i="5"/>
  <c r="L9" i="5"/>
  <c r="L11" i="5"/>
  <c r="L12" i="5"/>
  <c r="L13" i="5"/>
  <c r="L15" i="5"/>
  <c r="L16" i="5"/>
  <c r="L18" i="5"/>
  <c r="L19" i="5"/>
  <c r="L20" i="5"/>
  <c r="L21" i="5"/>
  <c r="L22" i="5"/>
  <c r="L23" i="5"/>
  <c r="L24" i="5"/>
  <c r="L26" i="5"/>
  <c r="L27" i="5"/>
  <c r="L29" i="5"/>
  <c r="L30" i="5"/>
  <c r="L31" i="5"/>
  <c r="L32" i="5"/>
  <c r="L33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4" i="5"/>
  <c r="L55" i="5"/>
  <c r="L56" i="5"/>
  <c r="L57" i="5"/>
  <c r="L59" i="5"/>
  <c r="L60" i="5"/>
  <c r="L61" i="5"/>
  <c r="L62" i="5"/>
  <c r="L5" i="5"/>
  <c r="I6" i="5"/>
  <c r="I7" i="5"/>
  <c r="I9" i="5"/>
  <c r="I11" i="5"/>
  <c r="I12" i="5"/>
  <c r="I13" i="5"/>
  <c r="I15" i="5"/>
  <c r="I16" i="5"/>
  <c r="I18" i="5"/>
  <c r="I19" i="5"/>
  <c r="I20" i="5"/>
  <c r="I21" i="5"/>
  <c r="I22" i="5"/>
  <c r="I23" i="5"/>
  <c r="I24" i="5"/>
  <c r="I26" i="5"/>
  <c r="F26" i="5" s="1"/>
  <c r="I27" i="5"/>
  <c r="I30" i="5"/>
  <c r="I31" i="5"/>
  <c r="I32" i="5"/>
  <c r="I33" i="5"/>
  <c r="I37" i="5"/>
  <c r="I38" i="5"/>
  <c r="F38" i="5" s="1"/>
  <c r="I39" i="5"/>
  <c r="I40" i="5"/>
  <c r="I41" i="5"/>
  <c r="I42" i="5"/>
  <c r="F42" i="5" s="1"/>
  <c r="I43" i="5"/>
  <c r="I44" i="5"/>
  <c r="I45" i="5"/>
  <c r="I46" i="5"/>
  <c r="I47" i="5"/>
  <c r="I48" i="5"/>
  <c r="I49" i="5"/>
  <c r="I50" i="5"/>
  <c r="I51" i="5"/>
  <c r="I54" i="5"/>
  <c r="I55" i="5"/>
  <c r="I56" i="5"/>
  <c r="I57" i="5"/>
  <c r="I59" i="5"/>
  <c r="I60" i="5"/>
  <c r="I61" i="5"/>
  <c r="I62" i="5"/>
  <c r="I5" i="5"/>
  <c r="S63" i="5"/>
  <c r="T63" i="5"/>
  <c r="U63" i="5" s="1"/>
  <c r="H58" i="5"/>
  <c r="J58" i="5"/>
  <c r="K58" i="5"/>
  <c r="M58" i="5"/>
  <c r="N58" i="5"/>
  <c r="O58" i="5" s="1"/>
  <c r="P58" i="5"/>
  <c r="Q58" i="5"/>
  <c r="S58" i="5"/>
  <c r="T58" i="5"/>
  <c r="Y58" i="5"/>
  <c r="Z58" i="5"/>
  <c r="AA58" i="5" s="1"/>
  <c r="AB58" i="5"/>
  <c r="AC58" i="5"/>
  <c r="AE58" i="5"/>
  <c r="AF58" i="5"/>
  <c r="AG58" i="5" s="1"/>
  <c r="G58" i="5"/>
  <c r="I58" i="5" s="1"/>
  <c r="S52" i="5"/>
  <c r="T52" i="5"/>
  <c r="U52" i="5" s="1"/>
  <c r="S34" i="5"/>
  <c r="T34" i="5"/>
  <c r="S28" i="5"/>
  <c r="T28" i="5"/>
  <c r="S25" i="5"/>
  <c r="T25" i="5"/>
  <c r="S17" i="5"/>
  <c r="T17" i="5"/>
  <c r="U17" i="5" s="1"/>
  <c r="S14" i="5"/>
  <c r="T14" i="5"/>
  <c r="AD6" i="41"/>
  <c r="F6" i="41" s="1"/>
  <c r="AD9" i="41"/>
  <c r="AD11" i="41"/>
  <c r="AD12" i="41"/>
  <c r="AD13" i="41"/>
  <c r="AD15" i="41"/>
  <c r="AD16" i="41"/>
  <c r="AD18" i="41"/>
  <c r="AD19" i="41"/>
  <c r="AD20" i="41"/>
  <c r="AD21" i="41"/>
  <c r="AD22" i="41"/>
  <c r="AD23" i="41"/>
  <c r="F23" i="41" s="1"/>
  <c r="AD24" i="41"/>
  <c r="AD26" i="41"/>
  <c r="AD27" i="41"/>
  <c r="AD29" i="41"/>
  <c r="AD30" i="41"/>
  <c r="AD31" i="41"/>
  <c r="AD32" i="41"/>
  <c r="AD33" i="41"/>
  <c r="F33" i="41" s="1"/>
  <c r="AD38" i="41"/>
  <c r="AD39" i="41"/>
  <c r="AD40" i="41"/>
  <c r="AD41" i="41"/>
  <c r="F41" i="41" s="1"/>
  <c r="AD42" i="41"/>
  <c r="AD43" i="41"/>
  <c r="AD44" i="41"/>
  <c r="AD46" i="41"/>
  <c r="AD47" i="41"/>
  <c r="AD48" i="41"/>
  <c r="AD49" i="41"/>
  <c r="AD50" i="41"/>
  <c r="AD51" i="41"/>
  <c r="AD52" i="41"/>
  <c r="AD55" i="41"/>
  <c r="F55" i="41" s="1"/>
  <c r="AD56" i="41"/>
  <c r="AD57" i="41"/>
  <c r="AD58" i="41"/>
  <c r="F58" i="41" s="1"/>
  <c r="AD59" i="41"/>
  <c r="F59" i="41" s="1"/>
  <c r="AD61" i="41"/>
  <c r="F61" i="41" s="1"/>
  <c r="AD62" i="41"/>
  <c r="AD63" i="41"/>
  <c r="AD64" i="41"/>
  <c r="AD68" i="41"/>
  <c r="AD5" i="41"/>
  <c r="D38" i="41"/>
  <c r="E38" i="41"/>
  <c r="F38" i="41"/>
  <c r="D39" i="41"/>
  <c r="E39" i="41"/>
  <c r="F39" i="41"/>
  <c r="D40" i="41"/>
  <c r="E40" i="41"/>
  <c r="F40" i="41"/>
  <c r="D41" i="41"/>
  <c r="E41" i="41"/>
  <c r="D42" i="41"/>
  <c r="E42" i="41"/>
  <c r="F42" i="41"/>
  <c r="D43" i="41"/>
  <c r="E43" i="41"/>
  <c r="F43" i="41"/>
  <c r="K23" i="8"/>
  <c r="D61" i="41"/>
  <c r="E61" i="41"/>
  <c r="D62" i="41"/>
  <c r="E62" i="41"/>
  <c r="F62" i="41"/>
  <c r="D63" i="41"/>
  <c r="E63" i="41"/>
  <c r="F63" i="41"/>
  <c r="R9" i="41"/>
  <c r="R11" i="41"/>
  <c r="R12" i="41"/>
  <c r="R13" i="41"/>
  <c r="R15" i="41"/>
  <c r="R16" i="41"/>
  <c r="R18" i="41"/>
  <c r="R19" i="41"/>
  <c r="R20" i="41"/>
  <c r="R21" i="41"/>
  <c r="R22" i="41"/>
  <c r="R23" i="41"/>
  <c r="R24" i="41"/>
  <c r="R26" i="41"/>
  <c r="R27" i="41"/>
  <c r="R29" i="41"/>
  <c r="R30" i="41"/>
  <c r="R31" i="41"/>
  <c r="R32" i="41"/>
  <c r="R33" i="41"/>
  <c r="R38" i="41"/>
  <c r="R39" i="41"/>
  <c r="R40" i="41"/>
  <c r="R41" i="41"/>
  <c r="R42" i="41"/>
  <c r="R43" i="41"/>
  <c r="R44" i="41"/>
  <c r="R46" i="41"/>
  <c r="R47" i="41"/>
  <c r="R48" i="41"/>
  <c r="R49" i="41"/>
  <c r="R50" i="41"/>
  <c r="R51" i="41"/>
  <c r="R52" i="41"/>
  <c r="R55" i="41"/>
  <c r="R56" i="41"/>
  <c r="R57" i="41"/>
  <c r="R58" i="41"/>
  <c r="R59" i="41"/>
  <c r="R61" i="41"/>
  <c r="R62" i="41"/>
  <c r="R63" i="41"/>
  <c r="O68" i="41"/>
  <c r="O6" i="41"/>
  <c r="O9" i="41"/>
  <c r="O11" i="41"/>
  <c r="O12" i="41"/>
  <c r="O13" i="41"/>
  <c r="O15" i="41"/>
  <c r="O16" i="41"/>
  <c r="O18" i="41"/>
  <c r="O19" i="41"/>
  <c r="O20" i="41"/>
  <c r="O21" i="41"/>
  <c r="O22" i="41"/>
  <c r="O23" i="41"/>
  <c r="O24" i="41"/>
  <c r="O26" i="41"/>
  <c r="O27" i="41"/>
  <c r="O29" i="41"/>
  <c r="O30" i="41"/>
  <c r="O31" i="41"/>
  <c r="O32" i="41"/>
  <c r="O33" i="41"/>
  <c r="O38" i="41"/>
  <c r="O39" i="41"/>
  <c r="O40" i="41"/>
  <c r="O41" i="41"/>
  <c r="O42" i="41"/>
  <c r="O43" i="41"/>
  <c r="O44" i="41"/>
  <c r="O46" i="41"/>
  <c r="O47" i="41"/>
  <c r="O48" i="41"/>
  <c r="O49" i="41"/>
  <c r="O50" i="41"/>
  <c r="O51" i="41"/>
  <c r="O52" i="41"/>
  <c r="O55" i="41"/>
  <c r="O56" i="41"/>
  <c r="O57" i="41"/>
  <c r="O58" i="41"/>
  <c r="O59" i="41"/>
  <c r="O61" i="41"/>
  <c r="O62" i="41"/>
  <c r="O63" i="41"/>
  <c r="O5" i="41"/>
  <c r="L6" i="41"/>
  <c r="L9" i="41"/>
  <c r="L11" i="41"/>
  <c r="L12" i="41"/>
  <c r="L13" i="41"/>
  <c r="L15" i="41"/>
  <c r="L16" i="41"/>
  <c r="L18" i="41"/>
  <c r="L19" i="41"/>
  <c r="L20" i="41"/>
  <c r="L21" i="41"/>
  <c r="L22" i="41"/>
  <c r="L23" i="41"/>
  <c r="L24" i="41"/>
  <c r="L26" i="41"/>
  <c r="L27" i="41"/>
  <c r="L29" i="41"/>
  <c r="L30" i="41"/>
  <c r="L31" i="41"/>
  <c r="L32" i="41"/>
  <c r="L33" i="41"/>
  <c r="L38" i="41"/>
  <c r="L39" i="41"/>
  <c r="L40" i="41"/>
  <c r="L41" i="41"/>
  <c r="L42" i="41"/>
  <c r="L43" i="41"/>
  <c r="L44" i="41"/>
  <c r="L46" i="41"/>
  <c r="L47" i="41"/>
  <c r="L48" i="41"/>
  <c r="L49" i="41"/>
  <c r="L50" i="41"/>
  <c r="L51" i="41"/>
  <c r="L52" i="41"/>
  <c r="L56" i="41"/>
  <c r="L57" i="41"/>
  <c r="L58" i="41"/>
  <c r="L61" i="41"/>
  <c r="L62" i="41"/>
  <c r="L63" i="41"/>
  <c r="L68" i="41"/>
  <c r="L5" i="41"/>
  <c r="I61" i="41"/>
  <c r="I62" i="41"/>
  <c r="I63" i="41"/>
  <c r="I68" i="41"/>
  <c r="I6" i="41"/>
  <c r="I9" i="41"/>
  <c r="I11" i="41"/>
  <c r="I12" i="41"/>
  <c r="F12" i="41" s="1"/>
  <c r="I13" i="41"/>
  <c r="I15" i="41"/>
  <c r="I16" i="41"/>
  <c r="I18" i="41"/>
  <c r="I19" i="41"/>
  <c r="I20" i="41"/>
  <c r="I21" i="41"/>
  <c r="I22" i="41"/>
  <c r="I23" i="41"/>
  <c r="I24" i="41"/>
  <c r="I26" i="41"/>
  <c r="I27" i="41"/>
  <c r="I29" i="41"/>
  <c r="I30" i="41"/>
  <c r="I31" i="41"/>
  <c r="I32" i="41"/>
  <c r="I33" i="41"/>
  <c r="I38" i="41"/>
  <c r="I39" i="41"/>
  <c r="I40" i="41"/>
  <c r="I41" i="41"/>
  <c r="I42" i="41"/>
  <c r="I43" i="41"/>
  <c r="I44" i="41"/>
  <c r="I46" i="41"/>
  <c r="I48" i="41"/>
  <c r="F48" i="41" s="1"/>
  <c r="I49" i="41"/>
  <c r="I50" i="41"/>
  <c r="I51" i="41"/>
  <c r="I52" i="41"/>
  <c r="I55" i="41"/>
  <c r="I56" i="41"/>
  <c r="I57" i="41"/>
  <c r="I58" i="41"/>
  <c r="I59" i="41"/>
  <c r="I5" i="41"/>
  <c r="D6" i="5"/>
  <c r="E6" i="5"/>
  <c r="E7" i="5"/>
  <c r="D9" i="5"/>
  <c r="E9" i="5"/>
  <c r="D11" i="5"/>
  <c r="E11" i="5"/>
  <c r="D12" i="5"/>
  <c r="E12" i="5"/>
  <c r="D13" i="5"/>
  <c r="E13" i="5"/>
  <c r="D15" i="5"/>
  <c r="E15" i="5"/>
  <c r="D16" i="5"/>
  <c r="E16" i="5"/>
  <c r="D18" i="5"/>
  <c r="E18" i="5"/>
  <c r="D19" i="5"/>
  <c r="E19" i="5"/>
  <c r="F19" i="5"/>
  <c r="D20" i="5"/>
  <c r="E20" i="5"/>
  <c r="D21" i="5"/>
  <c r="E21" i="5"/>
  <c r="D22" i="5"/>
  <c r="E22" i="5"/>
  <c r="D23" i="5"/>
  <c r="E23" i="5"/>
  <c r="D24" i="5"/>
  <c r="E24" i="5"/>
  <c r="D26" i="5"/>
  <c r="E26" i="5"/>
  <c r="D27" i="5"/>
  <c r="E27" i="5"/>
  <c r="D29" i="5"/>
  <c r="E29" i="5"/>
  <c r="D30" i="5"/>
  <c r="E30" i="5"/>
  <c r="D31" i="5"/>
  <c r="E31" i="5"/>
  <c r="D32" i="5"/>
  <c r="E32" i="5"/>
  <c r="D33" i="5"/>
  <c r="E33" i="5"/>
  <c r="D37" i="5"/>
  <c r="E37" i="5"/>
  <c r="D38" i="5"/>
  <c r="E38" i="5"/>
  <c r="D39" i="5"/>
  <c r="E39" i="5"/>
  <c r="D40" i="5"/>
  <c r="E40" i="5"/>
  <c r="D41" i="5"/>
  <c r="E41" i="5"/>
  <c r="D42" i="5"/>
  <c r="E42" i="5"/>
  <c r="D43" i="5"/>
  <c r="E43" i="5"/>
  <c r="F43" i="5"/>
  <c r="D45" i="5"/>
  <c r="E45" i="5"/>
  <c r="D46" i="5"/>
  <c r="E46" i="5"/>
  <c r="D47" i="5"/>
  <c r="E47" i="5"/>
  <c r="D48" i="5"/>
  <c r="E48" i="5"/>
  <c r="D49" i="5"/>
  <c r="E49" i="5"/>
  <c r="D50" i="5"/>
  <c r="E50" i="5"/>
  <c r="D51" i="5"/>
  <c r="E51" i="5"/>
  <c r="D54" i="5"/>
  <c r="E54" i="5"/>
  <c r="D55" i="5"/>
  <c r="E55" i="5"/>
  <c r="D56" i="5"/>
  <c r="E56" i="5"/>
  <c r="D57" i="5"/>
  <c r="E57" i="5"/>
  <c r="D60" i="5"/>
  <c r="E60" i="5"/>
  <c r="D61" i="5"/>
  <c r="E61" i="5"/>
  <c r="D62" i="5"/>
  <c r="E62" i="5"/>
  <c r="E5" i="5"/>
  <c r="D5" i="5"/>
  <c r="Y63" i="5"/>
  <c r="Z63" i="5"/>
  <c r="AA63" i="5" s="1"/>
  <c r="AB63" i="5"/>
  <c r="AC63" i="5"/>
  <c r="AE63" i="5"/>
  <c r="P63" i="5"/>
  <c r="Q63" i="5"/>
  <c r="R63" i="5" s="1"/>
  <c r="P52" i="5"/>
  <c r="Q52" i="5"/>
  <c r="P34" i="5"/>
  <c r="Q34" i="5"/>
  <c r="P28" i="5"/>
  <c r="Q28" i="5"/>
  <c r="P25" i="5"/>
  <c r="Q25" i="5"/>
  <c r="P17" i="5"/>
  <c r="Q17" i="5"/>
  <c r="P14" i="5"/>
  <c r="Q14" i="5"/>
  <c r="K7" i="6"/>
  <c r="J7" i="6"/>
  <c r="Y64" i="41"/>
  <c r="Z64" i="41"/>
  <c r="Y53" i="41"/>
  <c r="Y34" i="41"/>
  <c r="Z34" i="41"/>
  <c r="Y28" i="41"/>
  <c r="Z28" i="41"/>
  <c r="Y25" i="41"/>
  <c r="Z25" i="41"/>
  <c r="AA17" i="41"/>
  <c r="Y7" i="41"/>
  <c r="Z7" i="41"/>
  <c r="AA6" i="41"/>
  <c r="AA9" i="41"/>
  <c r="AA11" i="41"/>
  <c r="AA12" i="41"/>
  <c r="AA13" i="41"/>
  <c r="AA18" i="41"/>
  <c r="AA19" i="41"/>
  <c r="AA20" i="41"/>
  <c r="AA21" i="41"/>
  <c r="AA22" i="41"/>
  <c r="AA23" i="41"/>
  <c r="AA24" i="41"/>
  <c r="AA26" i="41"/>
  <c r="AA27" i="41"/>
  <c r="AA29" i="41"/>
  <c r="AA30" i="41"/>
  <c r="AA31" i="41"/>
  <c r="AA32" i="41"/>
  <c r="AA33" i="41"/>
  <c r="AA38" i="41"/>
  <c r="AA39" i="41"/>
  <c r="AA40" i="41"/>
  <c r="AA41" i="41"/>
  <c r="AA42" i="41"/>
  <c r="AA43" i="41"/>
  <c r="AA44" i="41"/>
  <c r="AA46" i="41"/>
  <c r="AA47" i="41"/>
  <c r="AA48" i="41"/>
  <c r="AA49" i="41"/>
  <c r="F49" i="41" s="1"/>
  <c r="AA50" i="41"/>
  <c r="AA51" i="41"/>
  <c r="AA52" i="41"/>
  <c r="AA55" i="41"/>
  <c r="AA56" i="41"/>
  <c r="AA57" i="41"/>
  <c r="AA58" i="41"/>
  <c r="AA59" i="41"/>
  <c r="AA61" i="41"/>
  <c r="AA62" i="41"/>
  <c r="AA63" i="41"/>
  <c r="AA68" i="41"/>
  <c r="AA5" i="41"/>
  <c r="AA7" i="41" s="1"/>
  <c r="F46" i="41" l="1"/>
  <c r="F30" i="41"/>
  <c r="F52" i="41"/>
  <c r="F11" i="5"/>
  <c r="F41" i="6"/>
  <c r="F29" i="41"/>
  <c r="F24" i="41"/>
  <c r="W18" i="8"/>
  <c r="E8" i="37"/>
  <c r="E19" i="37"/>
  <c r="F30" i="7"/>
  <c r="I14" i="41"/>
  <c r="F14" i="41" s="1"/>
  <c r="O75" i="58"/>
  <c r="O79" i="58" s="1"/>
  <c r="F102" i="7"/>
  <c r="F81" i="7"/>
  <c r="F77" i="7"/>
  <c r="F93" i="7"/>
  <c r="F89" i="7"/>
  <c r="F6" i="7"/>
  <c r="AA3" i="8" s="1"/>
  <c r="F73" i="7"/>
  <c r="F96" i="7"/>
  <c r="F34" i="7"/>
  <c r="F26" i="6"/>
  <c r="U58" i="5"/>
  <c r="F106" i="7"/>
  <c r="F24" i="6"/>
  <c r="F12" i="6"/>
  <c r="F11" i="6"/>
  <c r="R34" i="5"/>
  <c r="R14" i="5"/>
  <c r="U25" i="5"/>
  <c r="R25" i="5"/>
  <c r="U14" i="5"/>
  <c r="F16" i="5"/>
  <c r="AD63" i="5"/>
  <c r="F60" i="5"/>
  <c r="F32" i="5"/>
  <c r="R58" i="5"/>
  <c r="L58" i="5"/>
  <c r="F54" i="5"/>
  <c r="F40" i="5"/>
  <c r="F15" i="5"/>
  <c r="R17" i="5"/>
  <c r="R28" i="5"/>
  <c r="S35" i="5"/>
  <c r="F39" i="5"/>
  <c r="F22" i="5"/>
  <c r="F18" i="5"/>
  <c r="Q35" i="5"/>
  <c r="Q65" i="5" s="1"/>
  <c r="U28" i="5"/>
  <c r="T35" i="5"/>
  <c r="D58" i="5"/>
  <c r="S65" i="5"/>
  <c r="F50" i="5"/>
  <c r="U34" i="5"/>
  <c r="AD58" i="5"/>
  <c r="P35" i="5"/>
  <c r="P65" i="5" s="1"/>
  <c r="R52" i="5"/>
  <c r="F59" i="7"/>
  <c r="I15" i="18"/>
  <c r="F74" i="7"/>
  <c r="F22" i="7"/>
  <c r="H40" i="40"/>
  <c r="F32" i="6"/>
  <c r="F16" i="6"/>
  <c r="E58" i="5"/>
  <c r="F51" i="5"/>
  <c r="F47" i="5"/>
  <c r="F46" i="5"/>
  <c r="F27" i="5"/>
  <c r="F31" i="5"/>
  <c r="H7" i="18"/>
  <c r="F30" i="5"/>
  <c r="F23" i="5"/>
  <c r="F7" i="5"/>
  <c r="F6" i="5"/>
  <c r="E7" i="18"/>
  <c r="B12" i="30"/>
  <c r="D23" i="9"/>
  <c r="D5" i="17"/>
  <c r="D7" i="17" s="1"/>
  <c r="D4" i="18" s="1"/>
  <c r="F101" i="7"/>
  <c r="F92" i="7"/>
  <c r="F84" i="7"/>
  <c r="F80" i="7"/>
  <c r="F70" i="7"/>
  <c r="F62" i="7"/>
  <c r="F54" i="7"/>
  <c r="F50" i="7"/>
  <c r="F42" i="7"/>
  <c r="F33" i="7"/>
  <c r="F21" i="7"/>
  <c r="F7" i="7"/>
  <c r="AA4" i="8" s="1"/>
  <c r="F104" i="7"/>
  <c r="F100" i="7"/>
  <c r="F95" i="7"/>
  <c r="F87" i="7"/>
  <c r="F83" i="7"/>
  <c r="F79" i="7"/>
  <c r="F69" i="7"/>
  <c r="F65" i="7"/>
  <c r="F61" i="7"/>
  <c r="F57" i="7"/>
  <c r="F53" i="7"/>
  <c r="F49" i="7"/>
  <c r="F45" i="7"/>
  <c r="F41" i="7"/>
  <c r="F32" i="7"/>
  <c r="F28" i="7"/>
  <c r="F24" i="7"/>
  <c r="F20" i="7"/>
  <c r="F16" i="7"/>
  <c r="F12" i="7"/>
  <c r="I14" i="18"/>
  <c r="F64" i="7"/>
  <c r="I11" i="18"/>
  <c r="F105" i="7"/>
  <c r="F88" i="7"/>
  <c r="F66" i="7"/>
  <c r="F58" i="7"/>
  <c r="F46" i="7"/>
  <c r="F38" i="7"/>
  <c r="F25" i="7"/>
  <c r="F17" i="7"/>
  <c r="F13" i="7"/>
  <c r="F94" i="7"/>
  <c r="F90" i="7"/>
  <c r="F86" i="7"/>
  <c r="F82" i="7"/>
  <c r="F78" i="7"/>
  <c r="F68" i="7"/>
  <c r="F60" i="7"/>
  <c r="F56" i="7"/>
  <c r="F52" i="7"/>
  <c r="F48" i="7"/>
  <c r="F44" i="7"/>
  <c r="F40" i="7"/>
  <c r="F31" i="7"/>
  <c r="F27" i="7"/>
  <c r="F23" i="7"/>
  <c r="F19" i="7"/>
  <c r="F10" i="7"/>
  <c r="AA7" i="8" s="1"/>
  <c r="D20" i="17"/>
  <c r="D8" i="17"/>
  <c r="D54" i="9"/>
  <c r="D5" i="18" s="1"/>
  <c r="F33" i="6"/>
  <c r="F29" i="6"/>
  <c r="F27" i="6"/>
  <c r="F22" i="6"/>
  <c r="F56" i="5"/>
  <c r="F48" i="5"/>
  <c r="F24" i="5"/>
  <c r="F20" i="5"/>
  <c r="F5" i="5"/>
  <c r="F57" i="5"/>
  <c r="F49" i="5"/>
  <c r="F21" i="5"/>
  <c r="F61" i="5"/>
  <c r="F41" i="5"/>
  <c r="F37" i="5"/>
  <c r="F33" i="5"/>
  <c r="F29" i="5"/>
  <c r="F13" i="5"/>
  <c r="F9" i="5"/>
  <c r="F45" i="5"/>
  <c r="Y35" i="41"/>
  <c r="Y66" i="41" s="1"/>
  <c r="AA28" i="41"/>
  <c r="AA25" i="41"/>
  <c r="AA64" i="41"/>
  <c r="AA34" i="41"/>
  <c r="Z35" i="41"/>
  <c r="Z66" i="41" s="1"/>
  <c r="AA53" i="41"/>
  <c r="F58" i="5" l="1"/>
  <c r="D52" i="17"/>
  <c r="U35" i="5"/>
  <c r="T65" i="5"/>
  <c r="U65" i="5" s="1"/>
  <c r="R35" i="5"/>
  <c r="R65" i="5"/>
  <c r="I7" i="18"/>
  <c r="D3" i="18"/>
  <c r="D16" i="18" s="1"/>
  <c r="D4" i="17"/>
  <c r="E63" i="7"/>
  <c r="Z19" i="8" s="1"/>
  <c r="E19" i="8" s="1"/>
  <c r="F63" i="7"/>
  <c r="AA19" i="8" s="1"/>
  <c r="F19" i="8" s="1"/>
  <c r="AA35" i="41"/>
  <c r="AA66" i="41" s="1"/>
  <c r="U98" i="7" l="1"/>
  <c r="E36" i="17"/>
  <c r="B31" i="30" s="1"/>
  <c r="I10" i="18"/>
  <c r="D36" i="17"/>
  <c r="H10" i="18"/>
  <c r="L6" i="6"/>
  <c r="L5" i="6"/>
  <c r="F5" i="1"/>
  <c r="D37" i="9"/>
  <c r="D75" i="9"/>
  <c r="D78" i="9" s="1"/>
  <c r="D79" i="9" s="1"/>
  <c r="R98" i="7" l="1"/>
  <c r="L7" i="6"/>
  <c r="D16" i="17"/>
  <c r="D72" i="9"/>
  <c r="Y52" i="5"/>
  <c r="Z52" i="5"/>
  <c r="AA52" i="5" s="1"/>
  <c r="M17" i="5"/>
  <c r="N17" i="5"/>
  <c r="O17" i="5" s="1"/>
  <c r="Y17" i="5"/>
  <c r="Z17" i="5"/>
  <c r="AA17" i="5" s="1"/>
  <c r="AB17" i="5"/>
  <c r="AC17" i="5"/>
  <c r="M14" i="5"/>
  <c r="N14" i="5"/>
  <c r="O14" i="5" s="1"/>
  <c r="Y14" i="5"/>
  <c r="Z14" i="5"/>
  <c r="AB14" i="5"/>
  <c r="AC14" i="5"/>
  <c r="Y34" i="5"/>
  <c r="Z34" i="5"/>
  <c r="Y28" i="5"/>
  <c r="Z28" i="5"/>
  <c r="AA28" i="5" s="1"/>
  <c r="AB28" i="5"/>
  <c r="Y25" i="5"/>
  <c r="Z25" i="5"/>
  <c r="AB25" i="5"/>
  <c r="E5" i="40"/>
  <c r="E10" i="40"/>
  <c r="E11" i="40"/>
  <c r="E12" i="40"/>
  <c r="E13" i="40"/>
  <c r="E14" i="40"/>
  <c r="E15" i="40"/>
  <c r="E16" i="40"/>
  <c r="E17" i="40"/>
  <c r="E18" i="40"/>
  <c r="E19" i="40"/>
  <c r="E4" i="40"/>
  <c r="AA34" i="5" l="1"/>
  <c r="AD14" i="5"/>
  <c r="AD17" i="5"/>
  <c r="E9" i="40"/>
  <c r="E40" i="40" s="1"/>
  <c r="AA25" i="5"/>
  <c r="AA14" i="5"/>
  <c r="Y35" i="5"/>
  <c r="D15" i="17"/>
  <c r="D21" i="18"/>
  <c r="D20" i="18" s="1"/>
  <c r="D27" i="18" s="1"/>
  <c r="D28" i="18" s="1"/>
  <c r="Z35" i="5"/>
  <c r="X18" i="8" l="1"/>
  <c r="D19" i="17"/>
  <c r="D25" i="17"/>
  <c r="Y65" i="5"/>
  <c r="Z65" i="5"/>
  <c r="AA35" i="5"/>
  <c r="I65" i="58"/>
  <c r="F65" i="58" s="1"/>
  <c r="AA65" i="5" l="1"/>
  <c r="AI11" i="57"/>
  <c r="V11" i="57"/>
  <c r="AG10" i="57"/>
  <c r="AF10" i="57"/>
  <c r="AF12" i="57" s="1"/>
  <c r="AD10" i="57"/>
  <c r="AC10" i="57"/>
  <c r="W10" i="57"/>
  <c r="U10" i="57"/>
  <c r="S10" i="57"/>
  <c r="O10" i="57"/>
  <c r="N10" i="57"/>
  <c r="M10" i="57"/>
  <c r="K10" i="57"/>
  <c r="F10" i="57"/>
  <c r="AI9" i="57"/>
  <c r="AI8" i="57"/>
  <c r="V8" i="57"/>
  <c r="AB10" i="57"/>
  <c r="AA10" i="57"/>
  <c r="J10" i="57"/>
  <c r="I10" i="57"/>
  <c r="H10" i="57"/>
  <c r="V6" i="57"/>
  <c r="AD12" i="57"/>
  <c r="AH7" i="57"/>
  <c r="AH10" i="57" s="1"/>
  <c r="Z10" i="57"/>
  <c r="Y10" i="57"/>
  <c r="G10" i="57"/>
  <c r="E10" i="57"/>
  <c r="D10" i="57"/>
  <c r="AG12" i="57"/>
  <c r="AE12" i="57"/>
  <c r="AC12" i="57"/>
  <c r="AB12" i="57"/>
  <c r="W12" i="57"/>
  <c r="U12" i="57"/>
  <c r="T12" i="57"/>
  <c r="R12" i="57"/>
  <c r="Q12" i="57"/>
  <c r="P12" i="57"/>
  <c r="N12" i="57"/>
  <c r="L12" i="57"/>
  <c r="K12" i="57"/>
  <c r="J12" i="57"/>
  <c r="F12" i="57"/>
  <c r="S12" i="57"/>
  <c r="O12" i="57"/>
  <c r="E12" i="57" l="1"/>
  <c r="AI7" i="57"/>
  <c r="AI10" i="57" s="1"/>
  <c r="I12" i="57"/>
  <c r="AH12" i="57"/>
  <c r="G12" i="57"/>
  <c r="D12" i="57"/>
  <c r="H12" i="57"/>
  <c r="AA12" i="57"/>
  <c r="V7" i="57"/>
  <c r="C10" i="57"/>
  <c r="V10" i="57" s="1"/>
  <c r="X10" i="57"/>
  <c r="X12" i="57" s="1"/>
  <c r="H62" i="58"/>
  <c r="E62" i="58" s="1"/>
  <c r="H61" i="58"/>
  <c r="E61" i="58" s="1"/>
  <c r="I61" i="58"/>
  <c r="F61" i="58" s="1"/>
  <c r="H60" i="58"/>
  <c r="E60" i="58" s="1"/>
  <c r="H59" i="58"/>
  <c r="E59" i="58" s="1"/>
  <c r="H58" i="58"/>
  <c r="I59" i="58" l="1"/>
  <c r="F59" i="58" s="1"/>
  <c r="I66" i="58"/>
  <c r="I60" i="58"/>
  <c r="F60" i="58" s="1"/>
  <c r="I58" i="58"/>
  <c r="H63" i="58"/>
  <c r="E63" i="58" s="1"/>
  <c r="E58" i="58"/>
  <c r="V5" i="57"/>
  <c r="I62" i="58"/>
  <c r="F62" i="58" s="1"/>
  <c r="E25" i="9"/>
  <c r="E27" i="9"/>
  <c r="E28" i="9"/>
  <c r="E30" i="9"/>
  <c r="E31" i="9"/>
  <c r="E32" i="9"/>
  <c r="E33" i="9"/>
  <c r="E34" i="9"/>
  <c r="E35" i="9"/>
  <c r="E36" i="9"/>
  <c r="E38" i="9"/>
  <c r="E39" i="9"/>
  <c r="E40" i="9"/>
  <c r="E41" i="9"/>
  <c r="E42" i="9"/>
  <c r="E47" i="9"/>
  <c r="E48" i="9"/>
  <c r="E49" i="9"/>
  <c r="E51" i="9"/>
  <c r="E53" i="9"/>
  <c r="E12" i="17" s="1"/>
  <c r="B9" i="30" s="1"/>
  <c r="E55" i="9"/>
  <c r="E63" i="9"/>
  <c r="E64" i="9"/>
  <c r="E66" i="9"/>
  <c r="E70" i="9"/>
  <c r="E22" i="18" s="1"/>
  <c r="E71" i="9"/>
  <c r="E18" i="17" s="1"/>
  <c r="B16" i="30" s="1"/>
  <c r="E73" i="9"/>
  <c r="E74" i="9"/>
  <c r="E22" i="17"/>
  <c r="E65" i="9" l="1"/>
  <c r="E13" i="17" s="1"/>
  <c r="E6" i="18" s="1"/>
  <c r="E23" i="18"/>
  <c r="E17" i="17"/>
  <c r="B15" i="30" s="1"/>
  <c r="E26" i="18"/>
  <c r="E24" i="18" s="1"/>
  <c r="E21" i="17"/>
  <c r="B18" i="30" s="1"/>
  <c r="I67" i="58"/>
  <c r="F67" i="58" s="1"/>
  <c r="F66" i="58"/>
  <c r="I63" i="58"/>
  <c r="F63" i="58" s="1"/>
  <c r="F58" i="58"/>
  <c r="Z12" i="57"/>
  <c r="AI12" i="57" s="1"/>
  <c r="AI5" i="57"/>
  <c r="C12" i="57"/>
  <c r="V12" i="57" s="1"/>
  <c r="E12" i="9"/>
  <c r="E6" i="17" s="1"/>
  <c r="B11" i="30" l="1"/>
  <c r="E20" i="17"/>
  <c r="E52" i="17" s="1"/>
  <c r="E7" i="17"/>
  <c r="E4" i="18" s="1"/>
  <c r="B5" i="30"/>
  <c r="E23" i="9"/>
  <c r="R68" i="41"/>
  <c r="C33" i="20"/>
  <c r="C37" i="20" l="1"/>
  <c r="E33" i="20"/>
  <c r="I47" i="41"/>
  <c r="F47" i="41" s="1"/>
  <c r="E37" i="20" l="1"/>
  <c r="L55" i="41"/>
  <c r="L17" i="40" l="1"/>
  <c r="L16" i="40"/>
  <c r="M31" i="40"/>
  <c r="N31" i="40"/>
  <c r="M32" i="40"/>
  <c r="N32" i="40"/>
  <c r="M33" i="40"/>
  <c r="N33" i="40"/>
  <c r="M34" i="40"/>
  <c r="N34" i="40"/>
  <c r="M35" i="40"/>
  <c r="N35" i="40"/>
  <c r="M36" i="40"/>
  <c r="N36" i="40"/>
  <c r="M38" i="40"/>
  <c r="N38" i="40"/>
  <c r="M39" i="40"/>
  <c r="N39" i="40"/>
  <c r="L32" i="40"/>
  <c r="L33" i="40"/>
  <c r="L34" i="40"/>
  <c r="L35" i="40"/>
  <c r="L38" i="40"/>
  <c r="L39" i="40"/>
  <c r="L36" i="40"/>
  <c r="L29" i="40"/>
  <c r="G14" i="18" l="1"/>
  <c r="G13" i="18"/>
  <c r="E26" i="9" l="1"/>
  <c r="E37" i="9" s="1"/>
  <c r="G12" i="18"/>
  <c r="E16" i="17" l="1"/>
  <c r="E15" i="17" l="1"/>
  <c r="B14" i="30"/>
  <c r="E21" i="18"/>
  <c r="E20" i="18" s="1"/>
  <c r="E27" i="18" s="1"/>
  <c r="K29" i="8"/>
  <c r="L29" i="8"/>
  <c r="J29" i="8"/>
  <c r="G15" i="18" l="1"/>
  <c r="G11" i="18" l="1"/>
  <c r="Y18" i="7"/>
  <c r="Z18" i="7"/>
  <c r="AB18" i="7"/>
  <c r="AC18" i="7"/>
  <c r="Y15" i="7"/>
  <c r="Z15" i="7"/>
  <c r="AB15" i="7"/>
  <c r="AC15" i="7"/>
  <c r="AB35" i="7"/>
  <c r="AC35" i="7"/>
  <c r="AB29" i="7"/>
  <c r="AC29" i="7"/>
  <c r="AB26" i="7"/>
  <c r="AC26" i="7"/>
  <c r="AD15" i="7" l="1"/>
  <c r="AA15" i="7"/>
  <c r="AD18" i="7"/>
  <c r="AA18" i="7"/>
  <c r="AD35" i="7"/>
  <c r="AD29" i="7"/>
  <c r="AD26" i="7"/>
  <c r="AC36" i="7"/>
  <c r="AC98" i="7" s="1"/>
  <c r="AB36" i="7"/>
  <c r="AB98" i="7" s="1"/>
  <c r="AD98" i="7" l="1"/>
  <c r="AD36" i="7"/>
  <c r="D7" i="5"/>
  <c r="M63" i="5"/>
  <c r="N63" i="5"/>
  <c r="M52" i="5"/>
  <c r="N52" i="5"/>
  <c r="M25" i="5"/>
  <c r="N25" i="5"/>
  <c r="M28" i="5"/>
  <c r="N28" i="5"/>
  <c r="M34" i="5"/>
  <c r="N34" i="5"/>
  <c r="O52" i="5" l="1"/>
  <c r="O28" i="5"/>
  <c r="O34" i="5"/>
  <c r="O25" i="5"/>
  <c r="O63" i="5"/>
  <c r="N35" i="5"/>
  <c r="N65" i="5" s="1"/>
  <c r="M35" i="5"/>
  <c r="M65" i="5" s="1"/>
  <c r="O65" i="5" l="1"/>
  <c r="O35" i="5"/>
  <c r="D11" i="21" l="1"/>
  <c r="D16" i="21" s="1"/>
  <c r="C11" i="21"/>
  <c r="C16" i="21" s="1"/>
  <c r="E23" i="20" l="1"/>
  <c r="C41" i="20"/>
  <c r="E41" i="20" s="1"/>
  <c r="D22" i="45" l="1"/>
  <c r="G7" i="18" l="1"/>
  <c r="AC64" i="41"/>
  <c r="AB64" i="41"/>
  <c r="AC53" i="41"/>
  <c r="AB53" i="41"/>
  <c r="AC34" i="41"/>
  <c r="AB34" i="41"/>
  <c r="AC28" i="41"/>
  <c r="AB28" i="41"/>
  <c r="AC25" i="41"/>
  <c r="AB25" i="41"/>
  <c r="AC17" i="41"/>
  <c r="K10" i="8" s="1"/>
  <c r="AB17" i="41"/>
  <c r="K9" i="8"/>
  <c r="AC7" i="41"/>
  <c r="E7" i="41" s="1"/>
  <c r="AB7" i="41"/>
  <c r="AD28" i="41" l="1"/>
  <c r="AD53" i="41"/>
  <c r="AD25" i="41"/>
  <c r="AD34" i="41"/>
  <c r="AD14" i="41"/>
  <c r="AD17" i="41"/>
  <c r="J10" i="8"/>
  <c r="AD7" i="41"/>
  <c r="F7" i="41" s="1"/>
  <c r="AC35" i="41"/>
  <c r="AC66" i="41" s="1"/>
  <c r="AB35" i="41"/>
  <c r="AB66" i="41" l="1"/>
  <c r="AD66" i="41" s="1"/>
  <c r="AD35" i="41"/>
  <c r="M5" i="40"/>
  <c r="N5" i="40"/>
  <c r="M6" i="40"/>
  <c r="N6" i="40"/>
  <c r="M7" i="40"/>
  <c r="N7" i="40"/>
  <c r="L6" i="40"/>
  <c r="L7" i="40"/>
  <c r="L5" i="40"/>
  <c r="K7" i="8" l="1"/>
  <c r="L7" i="8"/>
  <c r="K3" i="8"/>
  <c r="L3" i="8"/>
  <c r="K4" i="8"/>
  <c r="L4" i="8"/>
  <c r="J7" i="8"/>
  <c r="J4" i="8"/>
  <c r="J3" i="8"/>
  <c r="J59" i="41" l="1"/>
  <c r="J72" i="52"/>
  <c r="H72" i="52"/>
  <c r="J23" i="8" l="1"/>
  <c r="L59" i="41"/>
  <c r="L23" i="8" l="1"/>
  <c r="H7" i="41"/>
  <c r="J7" i="41"/>
  <c r="K7" i="41"/>
  <c r="M7" i="41"/>
  <c r="N7" i="41"/>
  <c r="G7" i="41"/>
  <c r="L7" i="41" l="1"/>
  <c r="O7" i="41"/>
  <c r="I7" i="41"/>
  <c r="J5" i="8"/>
  <c r="C23" i="18" l="1"/>
  <c r="J14" i="29" l="1"/>
  <c r="E14" i="29"/>
  <c r="F14" i="29"/>
  <c r="G14" i="29"/>
  <c r="H14" i="29"/>
  <c r="I14" i="29"/>
  <c r="D14" i="29"/>
  <c r="J40" i="40" l="1"/>
  <c r="K40" i="40"/>
  <c r="I40" i="40"/>
  <c r="V25" i="8" s="1"/>
  <c r="L8" i="40"/>
  <c r="M8" i="40"/>
  <c r="N8" i="40"/>
  <c r="M9" i="40"/>
  <c r="N9" i="40"/>
  <c r="L10" i="40"/>
  <c r="M10" i="40"/>
  <c r="N10" i="40"/>
  <c r="L11" i="40"/>
  <c r="M11" i="40"/>
  <c r="N11" i="40"/>
  <c r="L12" i="40"/>
  <c r="M12" i="40"/>
  <c r="N12" i="40"/>
  <c r="L13" i="40"/>
  <c r="M13" i="40"/>
  <c r="N13" i="40"/>
  <c r="L14" i="40"/>
  <c r="M14" i="40"/>
  <c r="N14" i="40"/>
  <c r="L15" i="40"/>
  <c r="M15" i="40"/>
  <c r="N15" i="40"/>
  <c r="L18" i="40"/>
  <c r="M18" i="40"/>
  <c r="N18" i="40"/>
  <c r="M19" i="40"/>
  <c r="N19" i="40"/>
  <c r="L20" i="40"/>
  <c r="M20" i="40"/>
  <c r="N20" i="40"/>
  <c r="L21" i="40"/>
  <c r="M21" i="40"/>
  <c r="N21" i="40"/>
  <c r="M22" i="40"/>
  <c r="N22" i="40"/>
  <c r="L25" i="40"/>
  <c r="M25" i="40"/>
  <c r="N25" i="40"/>
  <c r="L24" i="40"/>
  <c r="M24" i="40"/>
  <c r="N24" i="40"/>
  <c r="L26" i="40"/>
  <c r="M26" i="40"/>
  <c r="N26" i="40"/>
  <c r="L23" i="40"/>
  <c r="M23" i="40"/>
  <c r="N23" i="40"/>
  <c r="L27" i="40"/>
  <c r="M27" i="40"/>
  <c r="N27" i="40"/>
  <c r="L28" i="40"/>
  <c r="M28" i="40"/>
  <c r="N28" i="40"/>
  <c r="L30" i="40"/>
  <c r="M30" i="40"/>
  <c r="N30" i="40"/>
  <c r="L31" i="40"/>
  <c r="M4" i="40"/>
  <c r="N4" i="40"/>
  <c r="L4" i="40"/>
  <c r="X25" i="8" l="1"/>
  <c r="F25" i="8" s="1"/>
  <c r="N40" i="40"/>
  <c r="W25" i="8"/>
  <c r="E25" i="8" s="1"/>
  <c r="M40" i="40"/>
  <c r="L19" i="40"/>
  <c r="I23" i="18" l="1"/>
  <c r="E40" i="17"/>
  <c r="B35" i="30" s="1"/>
  <c r="H23" i="18"/>
  <c r="D40" i="17"/>
  <c r="L9" i="40"/>
  <c r="Y75" i="7" l="1"/>
  <c r="Z75" i="7"/>
  <c r="AA75" i="7" s="1"/>
  <c r="Y107" i="7"/>
  <c r="Z107" i="7"/>
  <c r="AA107" i="7" s="1"/>
  <c r="Y35" i="7" l="1"/>
  <c r="Z35" i="7"/>
  <c r="Y29" i="7"/>
  <c r="Z29" i="7"/>
  <c r="Z26" i="7"/>
  <c r="AA29" i="7" l="1"/>
  <c r="AA35" i="7"/>
  <c r="AA26" i="7"/>
  <c r="Z36" i="7"/>
  <c r="Z98" i="7" s="1"/>
  <c r="Y36" i="7"/>
  <c r="Y98" i="7" s="1"/>
  <c r="V8" i="7"/>
  <c r="AA36" i="7" l="1"/>
  <c r="D8" i="7"/>
  <c r="Y5" i="8" s="1"/>
  <c r="X8" i="7"/>
  <c r="F8" i="7" s="1"/>
  <c r="C12" i="9"/>
  <c r="C6" i="17" s="1"/>
  <c r="H26" i="7"/>
  <c r="J26" i="7"/>
  <c r="K26" i="7"/>
  <c r="H35" i="7"/>
  <c r="J35" i="7"/>
  <c r="K35" i="7"/>
  <c r="M35" i="7"/>
  <c r="E11" i="21"/>
  <c r="L35" i="7" l="1"/>
  <c r="L26" i="7"/>
  <c r="AA98" i="7"/>
  <c r="K36" i="7"/>
  <c r="K98" i="7" s="1"/>
  <c r="J36" i="7"/>
  <c r="J98" i="7" s="1"/>
  <c r="O18" i="30"/>
  <c r="D25" i="8"/>
  <c r="C40" i="17" s="1"/>
  <c r="C25" i="18"/>
  <c r="C21" i="17"/>
  <c r="L36" i="7" l="1"/>
  <c r="F40" i="40"/>
  <c r="V18" i="8" s="1"/>
  <c r="C26" i="18"/>
  <c r="L98" i="7" l="1"/>
  <c r="L40" i="40"/>
  <c r="L22" i="40"/>
  <c r="C24" i="18"/>
  <c r="E75" i="9" l="1"/>
  <c r="H7" i="6" l="1"/>
  <c r="I7" i="6"/>
  <c r="G7" i="6"/>
  <c r="B10" i="45" l="1"/>
  <c r="C22" i="18" l="1"/>
  <c r="C57" i="43" l="1"/>
  <c r="D57" i="43"/>
  <c r="B57" i="43"/>
  <c r="C36" i="43"/>
  <c r="D36" i="43"/>
  <c r="B36" i="43"/>
  <c r="C69" i="9" l="1"/>
  <c r="C14" i="17" s="1"/>
  <c r="H9" i="8" l="1"/>
  <c r="I9" i="8"/>
  <c r="H10" i="8"/>
  <c r="I10" i="8"/>
  <c r="H11" i="8"/>
  <c r="I11" i="8"/>
  <c r="H12" i="8"/>
  <c r="I12" i="8"/>
  <c r="H13" i="8"/>
  <c r="I13" i="8"/>
  <c r="G9" i="8"/>
  <c r="H7" i="8"/>
  <c r="I7" i="8"/>
  <c r="G7" i="8"/>
  <c r="Z5" i="8"/>
  <c r="AA5" i="8"/>
  <c r="Y3" i="8" l="1"/>
  <c r="Y7" i="8"/>
  <c r="Y19" i="8"/>
  <c r="D19" i="8" s="1"/>
  <c r="H14" i="8"/>
  <c r="I14" i="8"/>
  <c r="Q64" i="41"/>
  <c r="P64" i="41"/>
  <c r="N64" i="41"/>
  <c r="M64" i="41"/>
  <c r="K64" i="41"/>
  <c r="J64" i="41"/>
  <c r="H64" i="41"/>
  <c r="G64" i="41"/>
  <c r="Q53" i="41"/>
  <c r="P53" i="41"/>
  <c r="N53" i="41"/>
  <c r="M53" i="41"/>
  <c r="K53" i="41"/>
  <c r="J53" i="41"/>
  <c r="H53" i="41"/>
  <c r="E53" i="41" s="1"/>
  <c r="G53" i="41"/>
  <c r="Q34" i="41"/>
  <c r="P34" i="41"/>
  <c r="N34" i="41"/>
  <c r="M34" i="41"/>
  <c r="K34" i="41"/>
  <c r="J34" i="41"/>
  <c r="H34" i="41"/>
  <c r="E34" i="41" s="1"/>
  <c r="G34" i="41"/>
  <c r="Q28" i="41"/>
  <c r="P28" i="41"/>
  <c r="N28" i="41"/>
  <c r="M28" i="41"/>
  <c r="K28" i="41"/>
  <c r="J28" i="41"/>
  <c r="H28" i="41"/>
  <c r="G28" i="41"/>
  <c r="Q25" i="41"/>
  <c r="P25" i="41"/>
  <c r="N25" i="41"/>
  <c r="M25" i="41"/>
  <c r="K25" i="41"/>
  <c r="J25" i="41"/>
  <c r="H25" i="41"/>
  <c r="E25" i="41" s="1"/>
  <c r="L5" i="8"/>
  <c r="K5" i="8"/>
  <c r="E9" i="6"/>
  <c r="Q7" i="8" s="1"/>
  <c r="F9" i="6"/>
  <c r="R7" i="8" s="1"/>
  <c r="D9" i="6"/>
  <c r="E6" i="6"/>
  <c r="Q4" i="8" s="1"/>
  <c r="F6" i="6"/>
  <c r="D6" i="6"/>
  <c r="E5" i="6"/>
  <c r="Q3" i="8" s="1"/>
  <c r="F5" i="6"/>
  <c r="R3" i="8" s="1"/>
  <c r="F3" i="8" s="1"/>
  <c r="D5" i="6"/>
  <c r="S16" i="8"/>
  <c r="T16" i="8"/>
  <c r="E16" i="8" s="1"/>
  <c r="U16" i="8"/>
  <c r="F16" i="8" s="1"/>
  <c r="N23" i="8"/>
  <c r="E23" i="8" s="1"/>
  <c r="O23" i="8"/>
  <c r="F23" i="8" s="1"/>
  <c r="M23" i="8"/>
  <c r="D23" i="8" s="1"/>
  <c r="N7" i="8"/>
  <c r="O7" i="8"/>
  <c r="N3" i="8"/>
  <c r="O3" i="8"/>
  <c r="N4" i="8"/>
  <c r="O4" i="8"/>
  <c r="H3" i="8"/>
  <c r="I3" i="8"/>
  <c r="H4" i="8"/>
  <c r="I4" i="8"/>
  <c r="G3" i="8"/>
  <c r="K21" i="8" l="1"/>
  <c r="K13" i="8"/>
  <c r="I8" i="18"/>
  <c r="E34" i="17"/>
  <c r="B29" i="30" s="1"/>
  <c r="H8" i="18"/>
  <c r="D34" i="17"/>
  <c r="E7" i="8"/>
  <c r="F7" i="8"/>
  <c r="E39" i="17"/>
  <c r="B34" i="30" s="1"/>
  <c r="I22" i="18"/>
  <c r="H22" i="18"/>
  <c r="D39" i="17"/>
  <c r="E4" i="8"/>
  <c r="J12" i="8"/>
  <c r="K12" i="8"/>
  <c r="J13" i="8"/>
  <c r="K11" i="8"/>
  <c r="J11" i="8"/>
  <c r="L17" i="41"/>
  <c r="R17" i="41"/>
  <c r="L25" i="41"/>
  <c r="R25" i="41"/>
  <c r="L28" i="41"/>
  <c r="R28" i="41"/>
  <c r="L34" i="41"/>
  <c r="R34" i="41"/>
  <c r="L53" i="41"/>
  <c r="R53" i="41"/>
  <c r="L64" i="41"/>
  <c r="R64" i="41"/>
  <c r="J9" i="8"/>
  <c r="I17" i="41"/>
  <c r="O17" i="41"/>
  <c r="I25" i="41"/>
  <c r="F25" i="41" s="1"/>
  <c r="O25" i="41"/>
  <c r="I28" i="41"/>
  <c r="O28" i="41"/>
  <c r="I34" i="41"/>
  <c r="F34" i="41" s="1"/>
  <c r="O34" i="41"/>
  <c r="I53" i="41"/>
  <c r="O53" i="41"/>
  <c r="I64" i="41"/>
  <c r="O64" i="41"/>
  <c r="U27" i="8"/>
  <c r="U30" i="8" s="1"/>
  <c r="X27" i="8"/>
  <c r="X30" i="8" s="1"/>
  <c r="W27" i="8"/>
  <c r="W30" i="8" s="1"/>
  <c r="M35" i="41"/>
  <c r="M66" i="41" s="1"/>
  <c r="Q35" i="41"/>
  <c r="K35" i="41"/>
  <c r="H35" i="41"/>
  <c r="E35" i="41" s="1"/>
  <c r="P35" i="41"/>
  <c r="N35" i="41"/>
  <c r="E3" i="8"/>
  <c r="T27" i="8"/>
  <c r="T30" i="8" s="1"/>
  <c r="S27" i="8"/>
  <c r="S30" i="8" s="1"/>
  <c r="D16" i="8"/>
  <c r="G10" i="18"/>
  <c r="C36" i="17"/>
  <c r="I5" i="8"/>
  <c r="V27" i="8"/>
  <c r="V30" i="8" s="1"/>
  <c r="H5" i="8"/>
  <c r="G35" i="41"/>
  <c r="J35" i="41"/>
  <c r="J66" i="41" s="1"/>
  <c r="E7" i="6"/>
  <c r="F7" i="6"/>
  <c r="D7" i="6"/>
  <c r="R4" i="8"/>
  <c r="R5" i="8" s="1"/>
  <c r="Q5" i="8"/>
  <c r="O5" i="8"/>
  <c r="N5" i="8"/>
  <c r="H75" i="7"/>
  <c r="G75" i="7"/>
  <c r="N35" i="7"/>
  <c r="O35" i="7" s="1"/>
  <c r="G35" i="7"/>
  <c r="N29" i="7"/>
  <c r="O29" i="7" s="1"/>
  <c r="M29" i="7"/>
  <c r="H29" i="7"/>
  <c r="G29" i="7"/>
  <c r="N26" i="7"/>
  <c r="M26" i="7"/>
  <c r="G26" i="7"/>
  <c r="N18" i="7"/>
  <c r="M18" i="7"/>
  <c r="H18" i="7"/>
  <c r="G18" i="7"/>
  <c r="N15" i="7"/>
  <c r="M15" i="7"/>
  <c r="H15" i="7"/>
  <c r="G15" i="7"/>
  <c r="F53" i="41" l="1"/>
  <c r="L21" i="8" s="1"/>
  <c r="K14" i="8"/>
  <c r="L13" i="8"/>
  <c r="F4" i="8"/>
  <c r="L10" i="8"/>
  <c r="I75" i="7"/>
  <c r="O15" i="7"/>
  <c r="O18" i="7"/>
  <c r="I35" i="7"/>
  <c r="F5" i="8"/>
  <c r="O26" i="7"/>
  <c r="I26" i="7"/>
  <c r="I18" i="7"/>
  <c r="I15" i="7"/>
  <c r="L12" i="8"/>
  <c r="L9" i="8"/>
  <c r="L11" i="8"/>
  <c r="H27" i="8"/>
  <c r="H30" i="8" s="1"/>
  <c r="E5" i="8"/>
  <c r="I27" i="8"/>
  <c r="I30" i="8" s="1"/>
  <c r="R35" i="41"/>
  <c r="N66" i="41"/>
  <c r="O66" i="41" s="1"/>
  <c r="O35" i="41"/>
  <c r="H66" i="41"/>
  <c r="I35" i="41"/>
  <c r="K66" i="41"/>
  <c r="L66" i="41" s="1"/>
  <c r="L35" i="41"/>
  <c r="Q66" i="41"/>
  <c r="J21" i="8"/>
  <c r="G66" i="41"/>
  <c r="P66" i="41"/>
  <c r="H36" i="7"/>
  <c r="H98" i="7" s="1"/>
  <c r="G36" i="7"/>
  <c r="G98" i="7" s="1"/>
  <c r="N36" i="7"/>
  <c r="N98" i="7" s="1"/>
  <c r="M36" i="7"/>
  <c r="M98" i="7" s="1"/>
  <c r="E66" i="41" l="1"/>
  <c r="F35" i="41"/>
  <c r="I98" i="7"/>
  <c r="O36" i="7"/>
  <c r="I36" i="7"/>
  <c r="L14" i="8"/>
  <c r="L27" i="8" s="1"/>
  <c r="L30" i="8" s="1"/>
  <c r="K27" i="8"/>
  <c r="K30" i="8" s="1"/>
  <c r="R66" i="41"/>
  <c r="I66" i="41"/>
  <c r="D31" i="30"/>
  <c r="H31" i="30"/>
  <c r="L31" i="30"/>
  <c r="E31" i="30"/>
  <c r="I31" i="30"/>
  <c r="M31" i="30"/>
  <c r="C31" i="30"/>
  <c r="G31" i="30"/>
  <c r="F31" i="30"/>
  <c r="J31" i="30"/>
  <c r="N31" i="30"/>
  <c r="K31" i="30"/>
  <c r="J14" i="8"/>
  <c r="J11" i="29"/>
  <c r="J10" i="29"/>
  <c r="I9" i="29"/>
  <c r="H9" i="29"/>
  <c r="G9" i="29"/>
  <c r="F9" i="29"/>
  <c r="F17" i="29" s="1"/>
  <c r="E9" i="29"/>
  <c r="E17" i="29" s="1"/>
  <c r="D9" i="29"/>
  <c r="E5" i="29"/>
  <c r="O37" i="30"/>
  <c r="O35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O16" i="30"/>
  <c r="O15" i="30"/>
  <c r="O14" i="30"/>
  <c r="E16" i="21"/>
  <c r="AE15" i="7"/>
  <c r="AF15" i="7"/>
  <c r="AE18" i="7"/>
  <c r="AF18" i="7"/>
  <c r="AE26" i="7"/>
  <c r="AF26" i="7"/>
  <c r="AE29" i="7"/>
  <c r="AF29" i="7"/>
  <c r="AE35" i="7"/>
  <c r="AF35" i="7"/>
  <c r="C13" i="17"/>
  <c r="C6" i="18" s="1"/>
  <c r="E52" i="9"/>
  <c r="E11" i="17" s="1"/>
  <c r="B8" i="30" s="1"/>
  <c r="C78" i="9"/>
  <c r="E78" i="9" s="1"/>
  <c r="E79" i="9" s="1"/>
  <c r="G63" i="5"/>
  <c r="H63" i="5"/>
  <c r="J63" i="5"/>
  <c r="K63" i="5"/>
  <c r="AF63" i="5"/>
  <c r="AG63" i="5" s="1"/>
  <c r="H54" i="58"/>
  <c r="E54" i="58" s="1"/>
  <c r="I54" i="58"/>
  <c r="F54" i="58" s="1"/>
  <c r="G54" i="58"/>
  <c r="D54" i="58" s="1"/>
  <c r="G53" i="58"/>
  <c r="G4" i="8"/>
  <c r="C17" i="17"/>
  <c r="C12" i="17"/>
  <c r="D63" i="1"/>
  <c r="C43" i="9"/>
  <c r="E43" i="9" s="1"/>
  <c r="AF103" i="7"/>
  <c r="V103" i="7"/>
  <c r="W103" i="7"/>
  <c r="C71" i="9"/>
  <c r="C40" i="9"/>
  <c r="C9" i="17" s="1"/>
  <c r="C7" i="18"/>
  <c r="C37" i="9"/>
  <c r="C16" i="17" s="1"/>
  <c r="AE103" i="7"/>
  <c r="AE107" i="7" s="1"/>
  <c r="I69" i="58"/>
  <c r="F69" i="58" s="1"/>
  <c r="H69" i="58"/>
  <c r="E69" i="58" s="1"/>
  <c r="G69" i="58"/>
  <c r="D69" i="58" s="1"/>
  <c r="G62" i="58"/>
  <c r="D62" i="58" s="1"/>
  <c r="G61" i="58"/>
  <c r="D61" i="58" s="1"/>
  <c r="G60" i="58"/>
  <c r="D60" i="58" s="1"/>
  <c r="G59" i="58"/>
  <c r="D59" i="58" s="1"/>
  <c r="G58" i="58"/>
  <c r="I56" i="58"/>
  <c r="F56" i="58" s="1"/>
  <c r="E32" i="17" s="1"/>
  <c r="H56" i="58"/>
  <c r="E56" i="58" s="1"/>
  <c r="D32" i="17" s="1"/>
  <c r="H5" i="18" s="1"/>
  <c r="G56" i="58"/>
  <c r="D56" i="58" s="1"/>
  <c r="I53" i="58"/>
  <c r="H53" i="58"/>
  <c r="AE52" i="5"/>
  <c r="AF52" i="5"/>
  <c r="AE14" i="5"/>
  <c r="AF14" i="5"/>
  <c r="AE17" i="5"/>
  <c r="AF17" i="5"/>
  <c r="AE25" i="5"/>
  <c r="AF25" i="5"/>
  <c r="AE28" i="5"/>
  <c r="AF28" i="5"/>
  <c r="AE34" i="5"/>
  <c r="AF34" i="5"/>
  <c r="C11" i="9"/>
  <c r="H28" i="5"/>
  <c r="J28" i="5"/>
  <c r="K28" i="5"/>
  <c r="AC28" i="5"/>
  <c r="AD28" i="5" s="1"/>
  <c r="H34" i="5"/>
  <c r="J34" i="5"/>
  <c r="K34" i="5"/>
  <c r="AB34" i="5"/>
  <c r="AC34" i="5"/>
  <c r="H52" i="5"/>
  <c r="J52" i="5"/>
  <c r="K52" i="5"/>
  <c r="AB52" i="5"/>
  <c r="AC52" i="5"/>
  <c r="G28" i="5"/>
  <c r="G34" i="5"/>
  <c r="AC25" i="5"/>
  <c r="AD25" i="5" s="1"/>
  <c r="K25" i="5"/>
  <c r="L25" i="5" s="1"/>
  <c r="J25" i="5"/>
  <c r="H25" i="5"/>
  <c r="K17" i="5"/>
  <c r="J17" i="5"/>
  <c r="H17" i="5"/>
  <c r="G17" i="5"/>
  <c r="K14" i="5"/>
  <c r="J14" i="5"/>
  <c r="H14" i="5"/>
  <c r="G14" i="5"/>
  <c r="G25" i="5"/>
  <c r="V35" i="7"/>
  <c r="W35" i="7"/>
  <c r="V29" i="7"/>
  <c r="W29" i="7"/>
  <c r="V26" i="7"/>
  <c r="W26" i="7"/>
  <c r="V18" i="7"/>
  <c r="W18" i="7"/>
  <c r="V15" i="7"/>
  <c r="W15" i="7"/>
  <c r="V75" i="7"/>
  <c r="D75" i="7" s="1"/>
  <c r="W75" i="7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G28" i="6"/>
  <c r="D37" i="6"/>
  <c r="D15" i="6"/>
  <c r="D18" i="6"/>
  <c r="D26" i="6"/>
  <c r="D29" i="6"/>
  <c r="D11" i="6"/>
  <c r="E45" i="6"/>
  <c r="Q21" i="8" s="1"/>
  <c r="F45" i="6"/>
  <c r="R21" i="8" s="1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G45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G34" i="6"/>
  <c r="F25" i="6"/>
  <c r="R11" i="8" s="1"/>
  <c r="E25" i="6"/>
  <c r="Q11" i="8" s="1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17" i="6"/>
  <c r="R10" i="8" s="1"/>
  <c r="E17" i="6"/>
  <c r="Q10" i="8" s="1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4" i="6"/>
  <c r="R9" i="8" s="1"/>
  <c r="E14" i="6"/>
  <c r="Q9" i="8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E65" i="1"/>
  <c r="F65" i="1"/>
  <c r="G13" i="8"/>
  <c r="G12" i="8"/>
  <c r="G11" i="8"/>
  <c r="G10" i="8"/>
  <c r="F66" i="41" l="1"/>
  <c r="K35" i="5"/>
  <c r="X26" i="7"/>
  <c r="X35" i="7"/>
  <c r="X75" i="7"/>
  <c r="F75" i="7" s="1"/>
  <c r="AA18" i="8" s="1"/>
  <c r="F18" i="8" s="1"/>
  <c r="E35" i="17" s="1"/>
  <c r="E75" i="7"/>
  <c r="Z18" i="8" s="1"/>
  <c r="E18" i="8" s="1"/>
  <c r="D35" i="17" s="1"/>
  <c r="H9" i="18" s="1"/>
  <c r="X15" i="7"/>
  <c r="E15" i="7"/>
  <c r="Z9" i="8" s="1"/>
  <c r="X18" i="7"/>
  <c r="E18" i="7"/>
  <c r="Z10" i="8" s="1"/>
  <c r="X29" i="7"/>
  <c r="E29" i="7"/>
  <c r="V107" i="7"/>
  <c r="D107" i="7" s="1"/>
  <c r="D103" i="7"/>
  <c r="C42" i="17" s="1"/>
  <c r="G25" i="18" s="1"/>
  <c r="D15" i="7"/>
  <c r="D18" i="7"/>
  <c r="Y10" i="8" s="1"/>
  <c r="D26" i="7"/>
  <c r="D29" i="7"/>
  <c r="D35" i="7"/>
  <c r="W107" i="7"/>
  <c r="X107" i="7" s="1"/>
  <c r="E103" i="7"/>
  <c r="D42" i="17" s="1"/>
  <c r="X103" i="7"/>
  <c r="AF107" i="7"/>
  <c r="AG103" i="7"/>
  <c r="AG107" i="7" s="1"/>
  <c r="AA29" i="8" s="1"/>
  <c r="F29" i="8" s="1"/>
  <c r="AG29" i="7"/>
  <c r="AG18" i="7"/>
  <c r="AG15" i="7"/>
  <c r="E28" i="6"/>
  <c r="Q12" i="8" s="1"/>
  <c r="L52" i="5"/>
  <c r="L14" i="5"/>
  <c r="L17" i="5"/>
  <c r="AG28" i="5"/>
  <c r="AG17" i="5"/>
  <c r="AG52" i="5"/>
  <c r="D17" i="5"/>
  <c r="D14" i="5"/>
  <c r="I14" i="5"/>
  <c r="E14" i="5"/>
  <c r="E17" i="5"/>
  <c r="I17" i="5"/>
  <c r="AD34" i="5"/>
  <c r="D63" i="5"/>
  <c r="E63" i="5"/>
  <c r="I63" i="5"/>
  <c r="F63" i="5" s="1"/>
  <c r="D25" i="5"/>
  <c r="D28" i="5"/>
  <c r="L28" i="5"/>
  <c r="AG25" i="5"/>
  <c r="AG14" i="5"/>
  <c r="L63" i="5"/>
  <c r="G63" i="58"/>
  <c r="D63" i="58" s="1"/>
  <c r="D58" i="58"/>
  <c r="I5" i="18"/>
  <c r="B27" i="30"/>
  <c r="E53" i="58"/>
  <c r="H55" i="58"/>
  <c r="G55" i="58"/>
  <c r="D53" i="58"/>
  <c r="I55" i="58"/>
  <c r="F53" i="58"/>
  <c r="AG35" i="7"/>
  <c r="E35" i="7"/>
  <c r="Z13" i="8" s="1"/>
  <c r="AG26" i="7"/>
  <c r="F26" i="7" s="1"/>
  <c r="AA11" i="8" s="1"/>
  <c r="E26" i="7"/>
  <c r="Z11" i="8" s="1"/>
  <c r="O98" i="7"/>
  <c r="E34" i="6"/>
  <c r="Q13" i="8" s="1"/>
  <c r="AD52" i="5"/>
  <c r="E52" i="5"/>
  <c r="N21" i="8" s="1"/>
  <c r="AG34" i="5"/>
  <c r="D34" i="5"/>
  <c r="M13" i="8" s="1"/>
  <c r="L34" i="5"/>
  <c r="I34" i="5"/>
  <c r="E34" i="5"/>
  <c r="N13" i="8" s="1"/>
  <c r="I28" i="5"/>
  <c r="F28" i="5" s="1"/>
  <c r="O12" i="8" s="1"/>
  <c r="E28" i="5"/>
  <c r="N12" i="8" s="1"/>
  <c r="I25" i="5"/>
  <c r="E25" i="5"/>
  <c r="N11" i="8" s="1"/>
  <c r="E10" i="17"/>
  <c r="E54" i="9"/>
  <c r="F34" i="6"/>
  <c r="R13" i="8" s="1"/>
  <c r="F28" i="6"/>
  <c r="R12" i="8" s="1"/>
  <c r="N9" i="8"/>
  <c r="N10" i="8"/>
  <c r="Y9" i="8"/>
  <c r="Y11" i="8"/>
  <c r="Y12" i="8"/>
  <c r="O31" i="30"/>
  <c r="Z12" i="8"/>
  <c r="C23" i="9"/>
  <c r="J9" i="29"/>
  <c r="J17" i="29" s="1"/>
  <c r="J27" i="8"/>
  <c r="J30" i="8" s="1"/>
  <c r="O17" i="30"/>
  <c r="H17" i="29"/>
  <c r="D17" i="29"/>
  <c r="G17" i="29"/>
  <c r="I17" i="29"/>
  <c r="C79" i="9"/>
  <c r="C11" i="17"/>
  <c r="C10" i="17"/>
  <c r="C5" i="17"/>
  <c r="C21" i="18"/>
  <c r="C20" i="18" s="1"/>
  <c r="G5" i="8"/>
  <c r="C18" i="17"/>
  <c r="G14" i="8"/>
  <c r="W36" i="7"/>
  <c r="T35" i="6"/>
  <c r="T58" i="6" s="1"/>
  <c r="D17" i="6"/>
  <c r="N35" i="6"/>
  <c r="O35" i="6"/>
  <c r="O58" i="6" s="1"/>
  <c r="L35" i="6"/>
  <c r="L58" i="6" s="1"/>
  <c r="D14" i="6"/>
  <c r="J35" i="6"/>
  <c r="R35" i="6"/>
  <c r="H35" i="5"/>
  <c r="AB35" i="5"/>
  <c r="M7" i="8"/>
  <c r="AE35" i="5"/>
  <c r="AE65" i="5" s="1"/>
  <c r="G35" i="6"/>
  <c r="G58" i="6" s="1"/>
  <c r="C39" i="17"/>
  <c r="M3" i="8"/>
  <c r="K35" i="6"/>
  <c r="K58" i="6" s="1"/>
  <c r="S35" i="6"/>
  <c r="S58" i="6" s="1"/>
  <c r="P4" i="8"/>
  <c r="AF36" i="7"/>
  <c r="AF98" i="7" s="1"/>
  <c r="E98" i="7" s="1"/>
  <c r="AE36" i="7"/>
  <c r="AE98" i="7" s="1"/>
  <c r="D98" i="7" s="1"/>
  <c r="I35" i="6"/>
  <c r="I58" i="6" s="1"/>
  <c r="D34" i="6"/>
  <c r="D45" i="6"/>
  <c r="H35" i="6"/>
  <c r="H58" i="6" s="1"/>
  <c r="U35" i="6"/>
  <c r="U58" i="6" s="1"/>
  <c r="P7" i="8"/>
  <c r="Q35" i="6"/>
  <c r="P35" i="6"/>
  <c r="M4" i="8"/>
  <c r="D4" i="8" s="1"/>
  <c r="M12" i="8"/>
  <c r="M10" i="8"/>
  <c r="M35" i="6"/>
  <c r="M58" i="6" s="1"/>
  <c r="D25" i="6"/>
  <c r="G52" i="5"/>
  <c r="D52" i="5" s="1"/>
  <c r="D28" i="6"/>
  <c r="P12" i="8" s="1"/>
  <c r="G35" i="5"/>
  <c r="M9" i="8"/>
  <c r="M11" i="8"/>
  <c r="AF35" i="5"/>
  <c r="V36" i="7"/>
  <c r="AC35" i="5"/>
  <c r="AC65" i="5" s="1"/>
  <c r="J35" i="5"/>
  <c r="C54" i="9"/>
  <c r="E9" i="8" l="1"/>
  <c r="E35" i="6"/>
  <c r="E58" i="6" s="1"/>
  <c r="C72" i="9"/>
  <c r="Q14" i="8"/>
  <c r="Q27" i="8" s="1"/>
  <c r="Q30" i="8" s="1"/>
  <c r="E21" i="8"/>
  <c r="D38" i="17" s="1"/>
  <c r="F107" i="7"/>
  <c r="F35" i="7"/>
  <c r="AA13" i="8" s="1"/>
  <c r="F103" i="7"/>
  <c r="E42" i="17" s="1"/>
  <c r="D36" i="7"/>
  <c r="E107" i="7"/>
  <c r="Z29" i="8"/>
  <c r="E29" i="8" s="1"/>
  <c r="D53" i="17"/>
  <c r="D51" i="17" s="1"/>
  <c r="H25" i="18"/>
  <c r="F29" i="7"/>
  <c r="AA12" i="8" s="1"/>
  <c r="F12" i="8" s="1"/>
  <c r="F18" i="7"/>
  <c r="AA10" i="8" s="1"/>
  <c r="F15" i="7"/>
  <c r="AA9" i="8" s="1"/>
  <c r="F17" i="5"/>
  <c r="O10" i="8" s="1"/>
  <c r="F10" i="8" s="1"/>
  <c r="E12" i="8"/>
  <c r="E10" i="8"/>
  <c r="F25" i="5"/>
  <c r="O11" i="8" s="1"/>
  <c r="F11" i="8" s="1"/>
  <c r="F14" i="5"/>
  <c r="O9" i="8" s="1"/>
  <c r="E55" i="58"/>
  <c r="D31" i="17" s="1"/>
  <c r="H4" i="18" s="1"/>
  <c r="H75" i="58"/>
  <c r="G75" i="58"/>
  <c r="D55" i="58"/>
  <c r="I75" i="58"/>
  <c r="F55" i="58"/>
  <c r="E31" i="17" s="1"/>
  <c r="X98" i="7"/>
  <c r="X36" i="7"/>
  <c r="AG36" i="7"/>
  <c r="F36" i="7" s="1"/>
  <c r="E36" i="7"/>
  <c r="I52" i="5"/>
  <c r="F52" i="5" s="1"/>
  <c r="O21" i="8" s="1"/>
  <c r="F21" i="8" s="1"/>
  <c r="E38" i="17" s="1"/>
  <c r="AF65" i="5"/>
  <c r="AG65" i="5" s="1"/>
  <c r="AG35" i="5"/>
  <c r="AB65" i="5"/>
  <c r="AD65" i="5" s="1"/>
  <c r="AD35" i="5"/>
  <c r="N14" i="8"/>
  <c r="N27" i="8" s="1"/>
  <c r="N30" i="8" s="1"/>
  <c r="E13" i="8"/>
  <c r="F34" i="5"/>
  <c r="O13" i="8" s="1"/>
  <c r="D35" i="5"/>
  <c r="K65" i="5"/>
  <c r="L35" i="5"/>
  <c r="E11" i="8"/>
  <c r="I35" i="5"/>
  <c r="E35" i="5"/>
  <c r="E5" i="18"/>
  <c r="E3" i="18" s="1"/>
  <c r="E16" i="18" s="1"/>
  <c r="E28" i="18" s="1"/>
  <c r="E72" i="9"/>
  <c r="B7" i="30"/>
  <c r="E8" i="17"/>
  <c r="E4" i="17" s="1"/>
  <c r="I9" i="18"/>
  <c r="B30" i="30"/>
  <c r="F35" i="6"/>
  <c r="F58" i="6" s="1"/>
  <c r="R14" i="8"/>
  <c r="R27" i="8" s="1"/>
  <c r="R30" i="8" s="1"/>
  <c r="J65" i="5"/>
  <c r="H65" i="5"/>
  <c r="H34" i="30"/>
  <c r="D9" i="30"/>
  <c r="H9" i="30"/>
  <c r="L9" i="30"/>
  <c r="G9" i="30"/>
  <c r="K9" i="30"/>
  <c r="J9" i="30"/>
  <c r="C9" i="30"/>
  <c r="E9" i="30"/>
  <c r="I9" i="30"/>
  <c r="M9" i="30"/>
  <c r="F9" i="30"/>
  <c r="N9" i="30"/>
  <c r="G65" i="5"/>
  <c r="P9" i="8"/>
  <c r="D9" i="8" s="1"/>
  <c r="P10" i="8"/>
  <c r="D10" i="8" s="1"/>
  <c r="P11" i="8"/>
  <c r="D11" i="8" s="1"/>
  <c r="P13" i="8"/>
  <c r="G27" i="8"/>
  <c r="G30" i="8" s="1"/>
  <c r="P21" i="8"/>
  <c r="Y13" i="8"/>
  <c r="D12" i="8"/>
  <c r="C10" i="18"/>
  <c r="C8" i="17"/>
  <c r="C53" i="17"/>
  <c r="D7" i="8"/>
  <c r="C32" i="17" s="1"/>
  <c r="G5" i="18" s="1"/>
  <c r="C22" i="17"/>
  <c r="C7" i="17"/>
  <c r="C4" i="18" s="1"/>
  <c r="Z14" i="8"/>
  <c r="Y29" i="8"/>
  <c r="C15" i="17"/>
  <c r="N58" i="6"/>
  <c r="J58" i="6"/>
  <c r="R58" i="6"/>
  <c r="P58" i="6"/>
  <c r="P3" i="8"/>
  <c r="P5" i="8" s="1"/>
  <c r="M14" i="8"/>
  <c r="M5" i="8"/>
  <c r="Q58" i="6"/>
  <c r="G22" i="18"/>
  <c r="C5" i="18"/>
  <c r="D35" i="6"/>
  <c r="D37" i="17" l="1"/>
  <c r="H21" i="18"/>
  <c r="H20" i="18" s="1"/>
  <c r="H27" i="18" s="1"/>
  <c r="AA14" i="8"/>
  <c r="F9" i="8"/>
  <c r="E53" i="17"/>
  <c r="E51" i="17" s="1"/>
  <c r="B37" i="30"/>
  <c r="I25" i="18"/>
  <c r="AG98" i="7"/>
  <c r="F98" i="7" s="1"/>
  <c r="F35" i="5"/>
  <c r="O14" i="8"/>
  <c r="O27" i="8" s="1"/>
  <c r="O30" i="8" s="1"/>
  <c r="D65" i="5"/>
  <c r="I4" i="18"/>
  <c r="B26" i="30"/>
  <c r="E75" i="58"/>
  <c r="H79" i="58"/>
  <c r="E79" i="58" s="1"/>
  <c r="D75" i="58"/>
  <c r="G79" i="58"/>
  <c r="D79" i="58" s="1"/>
  <c r="F75" i="58"/>
  <c r="I79" i="58"/>
  <c r="F79" i="58" s="1"/>
  <c r="I21" i="18"/>
  <c r="I20" i="18" s="1"/>
  <c r="I27" i="18" s="1"/>
  <c r="B33" i="30"/>
  <c r="E37" i="17"/>
  <c r="F13" i="8"/>
  <c r="L65" i="5"/>
  <c r="E65" i="5"/>
  <c r="I65" i="5"/>
  <c r="E25" i="17"/>
  <c r="E19" i="17"/>
  <c r="Z27" i="8"/>
  <c r="Z30" i="8" s="1"/>
  <c r="E14" i="8"/>
  <c r="D33" i="17" s="1"/>
  <c r="H6" i="18" s="1"/>
  <c r="H3" i="18" s="1"/>
  <c r="AA27" i="8"/>
  <c r="J34" i="30"/>
  <c r="G34" i="30"/>
  <c r="L34" i="30"/>
  <c r="I34" i="30"/>
  <c r="N34" i="30"/>
  <c r="C34" i="30"/>
  <c r="M34" i="30"/>
  <c r="F34" i="30"/>
  <c r="D34" i="30"/>
  <c r="E34" i="30"/>
  <c r="K34" i="30"/>
  <c r="M21" i="8"/>
  <c r="M27" i="8" s="1"/>
  <c r="M30" i="8" s="1"/>
  <c r="D5" i="30"/>
  <c r="H5" i="30"/>
  <c r="L5" i="30"/>
  <c r="K5" i="30"/>
  <c r="E5" i="30"/>
  <c r="I5" i="30"/>
  <c r="M5" i="30"/>
  <c r="G5" i="30"/>
  <c r="F5" i="30"/>
  <c r="J5" i="30"/>
  <c r="N5" i="30"/>
  <c r="C5" i="30"/>
  <c r="B21" i="30"/>
  <c r="B22" i="30" s="1"/>
  <c r="D21" i="30"/>
  <c r="D22" i="30" s="1"/>
  <c r="H21" i="30"/>
  <c r="H22" i="30" s="1"/>
  <c r="L21" i="30"/>
  <c r="L22" i="30" s="1"/>
  <c r="K21" i="30"/>
  <c r="K22" i="30" s="1"/>
  <c r="E21" i="30"/>
  <c r="E22" i="30" s="1"/>
  <c r="I21" i="30"/>
  <c r="I22" i="30" s="1"/>
  <c r="M21" i="30"/>
  <c r="M22" i="30" s="1"/>
  <c r="G21" i="30"/>
  <c r="G22" i="30" s="1"/>
  <c r="F21" i="30"/>
  <c r="F22" i="30" s="1"/>
  <c r="J21" i="30"/>
  <c r="J22" i="30" s="1"/>
  <c r="N21" i="30"/>
  <c r="N22" i="30" s="1"/>
  <c r="C21" i="30"/>
  <c r="C22" i="30" s="1"/>
  <c r="D12" i="30"/>
  <c r="H12" i="30"/>
  <c r="L12" i="30"/>
  <c r="G12" i="30"/>
  <c r="C12" i="30"/>
  <c r="E12" i="30"/>
  <c r="I12" i="30"/>
  <c r="M12" i="30"/>
  <c r="F12" i="30"/>
  <c r="J12" i="30"/>
  <c r="N12" i="30"/>
  <c r="K12" i="30"/>
  <c r="G4" i="30"/>
  <c r="K4" i="30"/>
  <c r="C4" i="30"/>
  <c r="L4" i="30"/>
  <c r="F4" i="30"/>
  <c r="D4" i="30"/>
  <c r="H4" i="30"/>
  <c r="J4" i="30"/>
  <c r="E4" i="30"/>
  <c r="I4" i="30"/>
  <c r="M4" i="30"/>
  <c r="N4" i="30"/>
  <c r="O20" i="30"/>
  <c r="D7" i="30"/>
  <c r="H7" i="30"/>
  <c r="L7" i="30"/>
  <c r="K7" i="30"/>
  <c r="J7" i="30"/>
  <c r="E7" i="30"/>
  <c r="I7" i="30"/>
  <c r="M7" i="30"/>
  <c r="G7" i="30"/>
  <c r="C7" i="30"/>
  <c r="F7" i="30"/>
  <c r="N7" i="30"/>
  <c r="O9" i="30"/>
  <c r="E8" i="30"/>
  <c r="I8" i="30"/>
  <c r="M8" i="30"/>
  <c r="D8" i="30"/>
  <c r="H8" i="30"/>
  <c r="L8" i="30"/>
  <c r="C8" i="30"/>
  <c r="G8" i="30"/>
  <c r="F8" i="30"/>
  <c r="J8" i="30"/>
  <c r="N8" i="30"/>
  <c r="K8" i="30"/>
  <c r="B10" i="30"/>
  <c r="P14" i="8"/>
  <c r="D13" i="8"/>
  <c r="B6" i="30"/>
  <c r="Y14" i="8"/>
  <c r="B17" i="30"/>
  <c r="C20" i="17"/>
  <c r="D5" i="8"/>
  <c r="C31" i="17" s="1"/>
  <c r="G4" i="18" s="1"/>
  <c r="D29" i="8"/>
  <c r="D3" i="8"/>
  <c r="C4" i="17"/>
  <c r="C3" i="18"/>
  <c r="D58" i="6"/>
  <c r="G23" i="18"/>
  <c r="H16" i="18" l="1"/>
  <c r="H28" i="18" s="1"/>
  <c r="F14" i="8"/>
  <c r="E33" i="17" s="1"/>
  <c r="F27" i="8"/>
  <c r="F30" i="8" s="1"/>
  <c r="F65" i="5"/>
  <c r="D30" i="17"/>
  <c r="D41" i="17" s="1"/>
  <c r="AA30" i="8"/>
  <c r="E27" i="8"/>
  <c r="E30" i="8" s="1"/>
  <c r="O34" i="30"/>
  <c r="D6" i="30"/>
  <c r="E6" i="30"/>
  <c r="F6" i="30"/>
  <c r="D21" i="8"/>
  <c r="C38" i="17" s="1"/>
  <c r="G21" i="18" s="1"/>
  <c r="H6" i="30"/>
  <c r="I6" i="30"/>
  <c r="M6" i="30"/>
  <c r="N6" i="30"/>
  <c r="L6" i="30"/>
  <c r="O5" i="30"/>
  <c r="K10" i="30"/>
  <c r="J6" i="30"/>
  <c r="K6" i="30"/>
  <c r="G6" i="30"/>
  <c r="O12" i="30"/>
  <c r="O19" i="30"/>
  <c r="O21" i="30" s="1"/>
  <c r="O22" i="30" s="1"/>
  <c r="C6" i="30"/>
  <c r="O4" i="30"/>
  <c r="N10" i="30"/>
  <c r="G10" i="30"/>
  <c r="J10" i="30"/>
  <c r="D10" i="30"/>
  <c r="C10" i="30"/>
  <c r="O7" i="30"/>
  <c r="E10" i="30"/>
  <c r="H10" i="30"/>
  <c r="F10" i="30"/>
  <c r="I10" i="30"/>
  <c r="L10" i="30"/>
  <c r="O8" i="30"/>
  <c r="M10" i="30"/>
  <c r="D11" i="30"/>
  <c r="H11" i="30"/>
  <c r="L11" i="30"/>
  <c r="C11" i="30"/>
  <c r="J11" i="30"/>
  <c r="G11" i="30"/>
  <c r="F11" i="30"/>
  <c r="E11" i="30"/>
  <c r="I11" i="30"/>
  <c r="M11" i="30"/>
  <c r="K11" i="30"/>
  <c r="N11" i="30"/>
  <c r="D14" i="8"/>
  <c r="P27" i="8"/>
  <c r="P30" i="8" s="1"/>
  <c r="B13" i="30"/>
  <c r="B23" i="30" s="1"/>
  <c r="C52" i="17"/>
  <c r="C16" i="18"/>
  <c r="C19" i="17"/>
  <c r="C25" i="17"/>
  <c r="Y18" i="8"/>
  <c r="G8" i="18"/>
  <c r="C34" i="17"/>
  <c r="D43" i="17" l="1"/>
  <c r="D56" i="17" s="1"/>
  <c r="C33" i="17"/>
  <c r="G6" i="18" s="1"/>
  <c r="I6" i="18"/>
  <c r="I3" i="18" s="1"/>
  <c r="I16" i="18" s="1"/>
  <c r="I28" i="18" s="1"/>
  <c r="B28" i="30"/>
  <c r="E30" i="17"/>
  <c r="E41" i="17" s="1"/>
  <c r="O6" i="30"/>
  <c r="D47" i="17"/>
  <c r="G20" i="18"/>
  <c r="I13" i="30"/>
  <c r="I23" i="30" s="1"/>
  <c r="N13" i="30"/>
  <c r="N23" i="30" s="1"/>
  <c r="K13" i="30"/>
  <c r="K23" i="30" s="1"/>
  <c r="M13" i="30"/>
  <c r="M23" i="30" s="1"/>
  <c r="D13" i="30"/>
  <c r="D23" i="30" s="1"/>
  <c r="O10" i="30"/>
  <c r="F13" i="30"/>
  <c r="F23" i="30" s="1"/>
  <c r="J13" i="30"/>
  <c r="J23" i="30" s="1"/>
  <c r="G13" i="30"/>
  <c r="G23" i="30" s="1"/>
  <c r="H13" i="30"/>
  <c r="H23" i="30" s="1"/>
  <c r="E13" i="30"/>
  <c r="E23" i="30" s="1"/>
  <c r="L13" i="30"/>
  <c r="L23" i="30" s="1"/>
  <c r="H27" i="30"/>
  <c r="G27" i="30"/>
  <c r="K27" i="30"/>
  <c r="C27" i="30"/>
  <c r="F27" i="30"/>
  <c r="N27" i="30"/>
  <c r="J27" i="30"/>
  <c r="E27" i="30"/>
  <c r="I27" i="30"/>
  <c r="M27" i="30"/>
  <c r="D27" i="30"/>
  <c r="L27" i="30"/>
  <c r="O11" i="30"/>
  <c r="C13" i="30"/>
  <c r="C23" i="30" s="1"/>
  <c r="C27" i="18"/>
  <c r="C51" i="17"/>
  <c r="C37" i="17"/>
  <c r="Y27" i="8"/>
  <c r="Y30" i="8" s="1"/>
  <c r="D18" i="8"/>
  <c r="C35" i="17" s="1"/>
  <c r="G9" i="18" s="1"/>
  <c r="E47" i="17" l="1"/>
  <c r="E43" i="17"/>
  <c r="E56" i="17" s="1"/>
  <c r="O13" i="30"/>
  <c r="O23" i="30" s="1"/>
  <c r="F29" i="30"/>
  <c r="J29" i="30"/>
  <c r="N29" i="30"/>
  <c r="E29" i="30"/>
  <c r="M29" i="30"/>
  <c r="G29" i="30"/>
  <c r="K29" i="30"/>
  <c r="D29" i="30"/>
  <c r="H29" i="30"/>
  <c r="L29" i="30"/>
  <c r="I29" i="30"/>
  <c r="C29" i="30"/>
  <c r="H26" i="30"/>
  <c r="G26" i="30"/>
  <c r="K26" i="30"/>
  <c r="C26" i="30"/>
  <c r="F26" i="30"/>
  <c r="N26" i="30"/>
  <c r="J26" i="30"/>
  <c r="E26" i="30"/>
  <c r="I26" i="30"/>
  <c r="M26" i="30"/>
  <c r="D26" i="30"/>
  <c r="L26" i="30"/>
  <c r="O27" i="30"/>
  <c r="B36" i="30"/>
  <c r="G36" i="30"/>
  <c r="F36" i="30"/>
  <c r="J36" i="30"/>
  <c r="N36" i="30"/>
  <c r="I36" i="30"/>
  <c r="E36" i="30"/>
  <c r="M36" i="30"/>
  <c r="D36" i="30"/>
  <c r="H36" i="30"/>
  <c r="L36" i="30"/>
  <c r="K36" i="30"/>
  <c r="C28" i="18"/>
  <c r="G27" i="18"/>
  <c r="G3" i="18"/>
  <c r="G16" i="18" s="1"/>
  <c r="D27" i="8"/>
  <c r="D30" i="8" s="1"/>
  <c r="O29" i="30" l="1"/>
  <c r="C36" i="30"/>
  <c r="O33" i="30"/>
  <c r="O36" i="30" s="1"/>
  <c r="G28" i="30"/>
  <c r="F28" i="30"/>
  <c r="J28" i="30"/>
  <c r="N28" i="30"/>
  <c r="I28" i="30"/>
  <c r="E28" i="30"/>
  <c r="M28" i="30"/>
  <c r="C28" i="30"/>
  <c r="D28" i="30"/>
  <c r="H28" i="30"/>
  <c r="L28" i="30"/>
  <c r="K28" i="30"/>
  <c r="O26" i="30"/>
  <c r="G28" i="18"/>
  <c r="C30" i="17"/>
  <c r="B32" i="30" l="1"/>
  <c r="B38" i="30" s="1"/>
  <c r="B40" i="30" s="1"/>
  <c r="E30" i="30"/>
  <c r="E32" i="30" s="1"/>
  <c r="E38" i="30" s="1"/>
  <c r="I30" i="30"/>
  <c r="I32" i="30" s="1"/>
  <c r="I38" i="30" s="1"/>
  <c r="M30" i="30"/>
  <c r="M32" i="30" s="1"/>
  <c r="M38" i="30" s="1"/>
  <c r="D30" i="30"/>
  <c r="D32" i="30" s="1"/>
  <c r="D38" i="30" s="1"/>
  <c r="F30" i="30"/>
  <c r="F32" i="30" s="1"/>
  <c r="F38" i="30" s="1"/>
  <c r="J30" i="30"/>
  <c r="J32" i="30" s="1"/>
  <c r="J38" i="30" s="1"/>
  <c r="N30" i="30"/>
  <c r="N32" i="30" s="1"/>
  <c r="N38" i="30" s="1"/>
  <c r="L30" i="30"/>
  <c r="L32" i="30" s="1"/>
  <c r="L38" i="30" s="1"/>
  <c r="G30" i="30"/>
  <c r="G32" i="30" s="1"/>
  <c r="G38" i="30" s="1"/>
  <c r="K30" i="30"/>
  <c r="K32" i="30" s="1"/>
  <c r="K38" i="30" s="1"/>
  <c r="C30" i="30"/>
  <c r="C32" i="30" s="1"/>
  <c r="C38" i="30" s="1"/>
  <c r="C40" i="30" s="1"/>
  <c r="D3" i="30" s="1"/>
  <c r="H30" i="30"/>
  <c r="H32" i="30" s="1"/>
  <c r="H38" i="30" s="1"/>
  <c r="O28" i="30"/>
  <c r="C41" i="17"/>
  <c r="C43" i="17" s="1"/>
  <c r="D40" i="30" l="1"/>
  <c r="E3" i="30" s="1"/>
  <c r="E40" i="30" s="1"/>
  <c r="F3" i="30" s="1"/>
  <c r="F40" i="30" s="1"/>
  <c r="G3" i="30" s="1"/>
  <c r="G40" i="30" s="1"/>
  <c r="H3" i="30" s="1"/>
  <c r="H40" i="30" s="1"/>
  <c r="I3" i="30" s="1"/>
  <c r="I40" i="30" s="1"/>
  <c r="J3" i="30" s="1"/>
  <c r="J40" i="30" s="1"/>
  <c r="K3" i="30" s="1"/>
  <c r="K40" i="30" s="1"/>
  <c r="L3" i="30" s="1"/>
  <c r="L40" i="30" s="1"/>
  <c r="M3" i="30" s="1"/>
  <c r="M40" i="30" s="1"/>
  <c r="N3" i="30" s="1"/>
  <c r="N40" i="30" s="1"/>
  <c r="O30" i="30"/>
  <c r="O32" i="30" s="1"/>
  <c r="O38" i="30" s="1"/>
  <c r="O40" i="30" s="1"/>
  <c r="C56" i="17"/>
  <c r="C47" i="17"/>
</calcChain>
</file>

<file path=xl/comments1.xml><?xml version="1.0" encoding="utf-8"?>
<comments xmlns="http://schemas.openxmlformats.org/spreadsheetml/2006/main">
  <authors>
    <author>Felhasználó</author>
  </authors>
  <commentList>
    <comment ref="D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BM pályázat bevétele</t>
        </r>
      </text>
    </comment>
    <comment ref="C29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KEHOP csat: 451823
KeHOP víz: 122820</t>
        </r>
      </text>
    </comment>
    <comment ref="C76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6500 MNN
PH tartalék: 1050
TOP 2.12. Zöldváros.264223
TOP 4.1.1 Egészségház: 20362
TOP 3.2.1 Isk.energetika: 1943
ASP: 2961
800 M: 126184
Csat: 503
Óvoda hiány fedezet: 14684
Szociális többlet kiadás fedezet: 950</t>
        </r>
      </text>
    </comment>
    <comment ref="C77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TOP 2.12. Zöldváros.180902
TOP 4.1.1 Egészségház: 65886+9750=75636
TOP 3.2.1 Isk.energetika: 74631
800M: 195964
100Mfejl.tart-9750(Egészségház)-13242 (PH fejlesztés)-575 (kisajátítás):76433
Ph beruházás: 6100</t>
        </r>
      </text>
    </comment>
  </commentList>
</comments>
</file>

<file path=xl/comments2.xml><?xml version="1.0" encoding="utf-8"?>
<comments xmlns="http://schemas.openxmlformats.org/spreadsheetml/2006/main">
  <authors>
    <author>Felhasználó</author>
    <author>user</author>
  </authors>
  <commentList>
    <comment ref="E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18" authorId="1" shape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2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
</t>
        </r>
      </text>
    </comment>
    <comment ref="E31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  <comment ref="E4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
</t>
        </r>
      </text>
    </comment>
    <comment ref="E45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6. mellékletből hozza át ide az adatokat (oda kell írni)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E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3. mellékletbe viszi át az adatokat (ide kell írni)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G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Járási Hivatal isk. kiváltása; ing.vás; tornacsarnok + óvoda pály.
</t>
        </r>
      </text>
    </comment>
    <comment ref="J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Út és közmű
20Kv </t>
        </r>
      </text>
    </comment>
    <comment ref="M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VÜ telephely 800M</t>
        </r>
      </text>
    </comment>
    <comment ref="P2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Rekreációs terület 800M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F2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10001 Ft járda karbantartással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P53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76 % (tervezve a 2018-as össz szerint)</t>
        </r>
      </text>
    </comment>
    <comment ref="P54" authorId="0" shapeId="0">
      <text>
        <r>
          <rPr>
            <b/>
            <sz val="9"/>
            <color indexed="81"/>
            <rFont val="Segoe UI"/>
            <family val="2"/>
            <charset val="238"/>
          </rPr>
          <t>Felhasználó:</t>
        </r>
        <r>
          <rPr>
            <sz val="9"/>
            <color indexed="81"/>
            <rFont val="Segoe UI"/>
            <family val="2"/>
            <charset val="238"/>
          </rPr>
          <t xml:space="preserve">
24 % (tervezve a 2018-as össz szerint)</t>
        </r>
      </text>
    </comment>
  </commentList>
</comments>
</file>

<file path=xl/sharedStrings.xml><?xml version="1.0" encoding="utf-8"?>
<sst xmlns="http://schemas.openxmlformats.org/spreadsheetml/2006/main" count="2809" uniqueCount="1096">
  <si>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</si>
  <si>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</si>
  <si>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</si>
  <si>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</si>
  <si>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</si>
  <si>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</si>
  <si>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</si>
  <si>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</si>
  <si>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</si>
  <si>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</si>
  <si>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</si>
  <si>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</si>
  <si>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</si>
  <si>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</si>
  <si>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</si>
  <si>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</si>
  <si>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</si>
  <si>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</si>
  <si>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</si>
  <si>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</si>
  <si>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</si>
  <si>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</si>
  <si>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</si>
  <si>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</si>
  <si>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</si>
  <si>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</si>
  <si>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</si>
  <si>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</si>
  <si>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</si>
  <si>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</si>
  <si>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</si>
  <si>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</si>
  <si>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</si>
  <si>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</si>
  <si>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</si>
  <si>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</si>
  <si>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</si>
  <si>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</si>
  <si>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</si>
  <si>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</si>
  <si>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</si>
  <si>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</si>
  <si>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</si>
  <si>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</si>
  <si>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</si>
  <si>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</si>
  <si>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</si>
  <si>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</si>
  <si>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</si>
  <si>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</si>
  <si>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</si>
  <si>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</si>
  <si>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</si>
  <si>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</si>
  <si>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</si>
  <si>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</si>
  <si>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</si>
  <si>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</si>
  <si>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</si>
  <si>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</si>
  <si>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</si>
  <si>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</si>
  <si>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</si>
  <si>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</si>
  <si>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</si>
  <si>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</si>
  <si>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</si>
  <si>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</si>
  <si>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</si>
  <si>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</si>
  <si>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</si>
  <si>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</si>
  <si>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</si>
  <si>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</si>
  <si>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</si>
  <si>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</si>
  <si>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</si>
  <si>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</si>
  <si>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</si>
  <si>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</si>
  <si>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</si>
  <si>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</si>
  <si>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</si>
  <si>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</si>
  <si>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</si>
  <si>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</si>
  <si>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</si>
  <si>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</si>
  <si>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</si>
  <si>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</si>
  <si>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</si>
  <si>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</si>
  <si>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</si>
  <si>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</si>
  <si>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</si>
  <si>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</si>
  <si>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</si>
  <si>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</si>
  <si>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</si>
  <si>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</si>
  <si>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</si>
  <si>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</si>
  <si>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</si>
  <si>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</si>
  <si>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</si>
  <si>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</si>
  <si>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</si>
  <si>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</si>
  <si>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</si>
  <si>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</si>
  <si>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</si>
  <si>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</si>
  <si>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</si>
  <si>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</si>
  <si>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</si>
  <si>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</si>
  <si>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</si>
  <si>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</si>
  <si>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</si>
  <si>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</si>
  <si>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</si>
  <si>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</si>
  <si>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</si>
  <si>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</si>
  <si>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</si>
  <si>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</si>
  <si>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</si>
  <si>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</si>
  <si>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</si>
  <si>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</si>
  <si>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</si>
  <si>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</si>
  <si>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</si>
  <si>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</si>
  <si>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</si>
  <si>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</si>
  <si>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</si>
  <si>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</si>
  <si>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</si>
  <si>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</si>
  <si>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</si>
  <si>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</si>
  <si>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</si>
  <si>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</si>
  <si>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</si>
  <si>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</si>
  <si>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</si>
  <si>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</si>
  <si>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</si>
  <si>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</si>
  <si>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</si>
  <si>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</si>
  <si>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</si>
  <si>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</si>
  <si>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</si>
  <si>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</si>
  <si>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</si>
  <si>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</si>
  <si>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</si>
  <si>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</si>
  <si>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</si>
  <si>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</si>
  <si>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</si>
  <si>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</si>
  <si>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</si>
  <si>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</si>
  <si>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</si>
  <si>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</si>
  <si>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</si>
  <si>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</si>
  <si>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</si>
  <si>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</si>
  <si>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</si>
  <si>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</si>
  <si>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</si>
  <si>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</si>
  <si>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</si>
  <si>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</si>
  <si>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</si>
  <si>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</si>
  <si>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</si>
  <si>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</si>
  <si>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</si>
  <si>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</si>
  <si>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</si>
  <si>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</si>
  <si>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</si>
  <si>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</si>
  <si>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</si>
  <si>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</si>
  <si>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</si>
  <si>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</si>
  <si>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</si>
  <si>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</si>
  <si>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</si>
  <si>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</si>
  <si>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</si>
  <si>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</si>
  <si>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</si>
  <si>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</si>
  <si>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</si>
  <si>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</si>
  <si>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</si>
  <si>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</si>
  <si>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</si>
  <si>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</si>
  <si>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</si>
  <si>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</si>
  <si>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</si>
  <si>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</si>
  <si>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</si>
  <si>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</si>
  <si>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</si>
  <si>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</si>
  <si>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</si>
  <si>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</si>
  <si>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</si>
  <si>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</si>
  <si>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</si>
  <si>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</si>
  <si>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</si>
  <si>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</si>
  <si>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</si>
  <si>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</si>
  <si>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</si>
  <si>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</si>
  <si>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</si>
  <si>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</si>
  <si>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</si>
  <si>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</si>
  <si>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</si>
  <si>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</si>
  <si>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</si>
  <si>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</si>
  <si>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</si>
  <si>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</si>
  <si>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</si>
  <si>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</si>
  <si>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</si>
  <si>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</si>
  <si>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</si>
  <si>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</si>
  <si>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</si>
  <si>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</si>
  <si>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</si>
  <si>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</si>
  <si>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</si>
  <si>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</si>
  <si>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</si>
  <si>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</si>
  <si>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</si>
  <si>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</si>
  <si>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</si>
  <si>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</si>
  <si>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</si>
  <si>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</si>
  <si>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</si>
  <si>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</si>
  <si>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</si>
  <si>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</si>
  <si>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</si>
  <si>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</si>
  <si>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</si>
  <si>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</si>
  <si>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</si>
  <si>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</si>
  <si>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</si>
  <si>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</si>
  <si>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</si>
  <si>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</si>
  <si>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</si>
  <si>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</si>
  <si>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</si>
  <si>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</si>
  <si>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</si>
  <si>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</si>
  <si>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</si>
  <si>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</si>
  <si>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</si>
  <si>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</si>
  <si>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</si>
  <si>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</si>
  <si>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</si>
  <si>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</si>
  <si>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</si>
  <si>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</si>
  <si>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</si>
  <si>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</si>
  <si>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</si>
  <si>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</si>
  <si>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</si>
  <si>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</si>
  <si>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</si>
  <si>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Brunszvik-Beethoven Rendezvényszervező Központ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</si>
  <si>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</si>
  <si>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</si>
  <si>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</si>
  <si>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</si>
  <si>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</si>
  <si>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</si>
  <si>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</si>
  <si>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</si>
  <si>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</si>
  <si>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</si>
  <si>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A</t>
  </si>
  <si>
    <t>C</t>
  </si>
  <si>
    <t>D</t>
  </si>
  <si>
    <t>E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</si>
  <si>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</si>
  <si>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</si>
  <si>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</si>
  <si>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</si>
  <si>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</si>
  <si>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</si>
  <si>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</si>
  <si>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</si>
  <si>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</si>
  <si>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</si>
  <si>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</si>
  <si>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</si>
  <si>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</si>
  <si>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</si>
  <si>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</si>
  <si>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</si>
  <si>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</si>
  <si>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</si>
  <si>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</si>
  <si>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</si>
  <si>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</si>
  <si>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</si>
  <si>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</si>
  <si>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</si>
  <si>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</si>
  <si>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</si>
  <si>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</si>
  <si>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</si>
  <si>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</si>
  <si>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</si>
  <si>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</si>
  <si>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</si>
  <si>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</si>
  <si>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</si>
  <si>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</si>
  <si>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</si>
  <si>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</si>
  <si>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</si>
  <si>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</si>
  <si>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</si>
  <si>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</si>
  <si>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</si>
  <si>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</si>
  <si>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</si>
  <si>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</si>
  <si>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</si>
  <si>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</si>
  <si>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>Hazai támogatású fejlesztési programok összesen</t>
  </si>
  <si>
    <t>Intézményi beruházások összesen</t>
  </si>
  <si>
    <t>BERUHÁZÁSOK ÖSSZESEN:</t>
  </si>
  <si>
    <t>Európai uniós támogatással megvalósuló felújítások összesen</t>
  </si>
  <si>
    <t>Egyéb felújítások</t>
  </si>
  <si>
    <t>Egyéb felújítások összesen</t>
  </si>
  <si>
    <t>Intézményi felújítások összesen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</si>
  <si>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</si>
  <si>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</si>
  <si>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</si>
  <si>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</si>
  <si>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</si>
  <si>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</si>
  <si>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</si>
  <si>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</si>
  <si>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</si>
  <si>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</si>
  <si>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</si>
  <si>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</si>
  <si>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</si>
  <si>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</si>
  <si>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</si>
  <si>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</si>
  <si>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</si>
  <si>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</si>
  <si>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</si>
  <si>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</si>
  <si>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</si>
  <si>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t>Működési célú maradvány</t>
  </si>
  <si>
    <t>Felhalmozási célú maradvány</t>
  </si>
  <si>
    <t>KÖLTSÉGVETÉSI BEVÉTELEK ÖSSZESEN</t>
  </si>
  <si>
    <t>BEVÉTELEK 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</si>
  <si>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</si>
  <si>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</si>
  <si>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</si>
  <si>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</si>
  <si>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</si>
  <si>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</si>
  <si>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</si>
  <si>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</si>
  <si>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</si>
  <si>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</si>
  <si>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</si>
  <si>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</si>
  <si>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</si>
  <si>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</si>
  <si>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</si>
  <si>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</si>
  <si>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</si>
  <si>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</si>
  <si>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</si>
  <si>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</si>
  <si>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</si>
  <si>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</si>
  <si>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</si>
  <si>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</si>
  <si>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</si>
  <si>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</si>
  <si>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</si>
  <si>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</si>
  <si>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</si>
  <si>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</si>
  <si>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</si>
  <si>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</si>
  <si>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</si>
  <si>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</si>
  <si>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</si>
  <si>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</si>
  <si>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</si>
  <si>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</si>
  <si>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</si>
  <si>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</si>
  <si>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</si>
  <si>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</si>
  <si>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</si>
  <si>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</si>
  <si>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</si>
  <si>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</si>
  <si>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</si>
  <si>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</si>
  <si>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</si>
  <si>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</si>
  <si>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</si>
  <si>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</si>
  <si>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</si>
  <si>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</si>
  <si>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</si>
  <si>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</si>
  <si>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</si>
  <si>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</si>
  <si>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</si>
  <si>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</si>
  <si>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</si>
  <si>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</si>
  <si>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</si>
  <si>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</si>
  <si>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</si>
  <si>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</si>
  <si>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</si>
  <si>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</si>
  <si>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Felhalmozási bevételek</t>
  </si>
  <si>
    <t xml:space="preserve"> Ezer forintban !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</si>
  <si>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</si>
  <si>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</si>
  <si>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</si>
  <si>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</si>
  <si>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</si>
  <si>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</si>
  <si>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</si>
  <si>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</si>
  <si>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</si>
  <si>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Ezer forintban !</t>
  </si>
  <si>
    <t>Tárgyévi terv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</si>
  <si>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</si>
  <si>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</si>
  <si>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</si>
  <si>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</si>
  <si>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</si>
  <si>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</si>
  <si>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</si>
  <si>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</si>
  <si>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</si>
  <si>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</si>
  <si>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</si>
  <si>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</si>
  <si>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</si>
  <si>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</si>
  <si>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</si>
  <si>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</si>
  <si>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</si>
  <si>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</si>
  <si>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</si>
  <si>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</si>
  <si>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</si>
  <si>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</si>
  <si>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</si>
  <si>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</si>
  <si>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</si>
  <si>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</si>
  <si>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</si>
  <si>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084032</t>
  </si>
  <si>
    <t>Civil szervezetek programtámogatása</t>
  </si>
  <si>
    <t>081041</t>
  </si>
  <si>
    <t>Cofog</t>
  </si>
  <si>
    <t>Rovatrend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</si>
  <si>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</si>
  <si>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</si>
  <si>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</si>
  <si>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</si>
  <si>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</si>
  <si>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</si>
  <si>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</si>
  <si>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</si>
  <si>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</si>
  <si>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</si>
  <si>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</si>
  <si>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</si>
  <si>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</si>
  <si>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</si>
  <si>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</si>
  <si>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</si>
  <si>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</si>
  <si>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Iparűzési adó</t>
  </si>
  <si>
    <t>Helyi  adók összesen</t>
  </si>
  <si>
    <t>Gépjárműadó</t>
  </si>
  <si>
    <t>Átengedett központi adók összesen</t>
  </si>
  <si>
    <t>Talajterhelési díj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</si>
  <si>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</si>
  <si>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</si>
  <si>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</si>
  <si>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</si>
  <si>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</si>
  <si>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</si>
  <si>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</si>
  <si>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</si>
  <si>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</si>
  <si>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</si>
  <si>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</si>
  <si>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</si>
  <si>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</si>
  <si>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</si>
  <si>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</si>
  <si>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</si>
  <si>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</si>
  <si>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</si>
  <si>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</si>
  <si>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</si>
  <si>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</si>
  <si>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</si>
  <si>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</si>
  <si>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</si>
  <si>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</si>
  <si>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</si>
  <si>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</si>
  <si>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Szociális feladatok összesen</t>
  </si>
  <si>
    <t>Könyvtári, közművelődési feladat támogatása</t>
  </si>
  <si>
    <t>Üdülőhelyi feladatok támogatása</t>
  </si>
  <si>
    <t>Lakott külterülettel kapcsol. Tám</t>
  </si>
  <si>
    <t>Bérkompenzáció</t>
  </si>
  <si>
    <t>TÁMOGATÁSOK ÖSSZESEN</t>
  </si>
  <si>
    <t>Ebből:  Tartalék</t>
  </si>
  <si>
    <t>Kieg.támogatás óvodaped. Minősítésből adódó kiadáshoz</t>
  </si>
  <si>
    <t>Hivatal működési támogatása</t>
  </si>
  <si>
    <t>D: tel.típus kt. Létszám max.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</si>
  <si>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</si>
  <si>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</si>
  <si>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</si>
  <si>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</si>
  <si>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</si>
  <si>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Hitelek, kölcsön felvétel pénzügyi vállalkozástól</t>
  </si>
  <si>
    <t>B811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</si>
  <si>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</si>
  <si>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</si>
  <si>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</si>
  <si>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</si>
  <si>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</si>
  <si>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</si>
  <si>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</si>
  <si>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</si>
  <si>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</si>
  <si>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</si>
  <si>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</si>
  <si>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Újság hirdetés bevétele</t>
  </si>
  <si>
    <t>Rendkívüli települési támogatás (pénzbeni és természetbeni ellátások)</t>
  </si>
  <si>
    <t>Köztemetés</t>
  </si>
  <si>
    <t>MINDÖSSZESEN</t>
  </si>
  <si>
    <t>1.sz. melléklet</t>
  </si>
  <si>
    <t>2.sz. melléklet</t>
  </si>
  <si>
    <t>3.sz. melléklet</t>
  </si>
  <si>
    <t>4.sz. melléklet</t>
  </si>
  <si>
    <t>5.sz. melléklet</t>
  </si>
  <si>
    <t>6.sz. melléklet</t>
  </si>
  <si>
    <t>Martonvásár Város Önkormányzat- Intézmények bevételei és kiadásai mindösszesen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</si>
  <si>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</si>
  <si>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</si>
  <si>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</si>
  <si>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</si>
  <si>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</si>
  <si>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3/a.sz. melléklet</t>
  </si>
  <si>
    <t>3/b.sz. melléklet</t>
  </si>
  <si>
    <t>3/c.sz. melléklet</t>
  </si>
  <si>
    <t>Martonvásár Város Önkormányzata - Előirányzat felhasználási ütemterv</t>
  </si>
  <si>
    <t>Martonvásár Város Önkormányzata</t>
  </si>
  <si>
    <t>Szent László Völgye TKT</t>
  </si>
  <si>
    <t>Csatorna fejlesztési ct.</t>
  </si>
  <si>
    <t>Városmenedzsment MT szerint fogl.</t>
  </si>
  <si>
    <t>Martonsport Kft-nek átadott pe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</si>
  <si>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</si>
  <si>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</si>
  <si>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</si>
  <si>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</si>
  <si>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</si>
  <si>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</si>
  <si>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</si>
  <si>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</si>
  <si>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Orvosi ügylet, tagdíj, belső ellenőrzés</t>
  </si>
  <si>
    <t xml:space="preserve">Szociális étkeztetés </t>
  </si>
  <si>
    <t>101222</t>
  </si>
  <si>
    <t>107052</t>
  </si>
  <si>
    <t>104042</t>
  </si>
  <si>
    <t>104043</t>
  </si>
  <si>
    <t>107051</t>
  </si>
  <si>
    <t>Kisajátítási céltartalék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</si>
  <si>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</si>
  <si>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</si>
  <si>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</si>
  <si>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</si>
  <si>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</si>
  <si>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</si>
  <si>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</si>
  <si>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</si>
  <si>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</si>
  <si>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</si>
  <si>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</si>
  <si>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</si>
  <si>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</si>
  <si>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</si>
  <si>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Mezőőri szolgálat</t>
  </si>
  <si>
    <t>Közfoglalkoztatás támogatása</t>
  </si>
  <si>
    <t>Eü. Finanszírozás</t>
  </si>
  <si>
    <t>Iskolatej támogatás</t>
  </si>
  <si>
    <t xml:space="preserve">Egyéb felhalmozási célú támogatások </t>
  </si>
  <si>
    <t>5/a.sz. melléklet</t>
  </si>
  <si>
    <t>5/b.sz. melléklet</t>
  </si>
  <si>
    <t>5/c.sz. melléklet</t>
  </si>
  <si>
    <t>5/d.sz. melléklet</t>
  </si>
  <si>
    <t>5/e.sz. melléklet</t>
  </si>
  <si>
    <t>5/f.sz. melléklet</t>
  </si>
  <si>
    <t>5/g.sz. melléklet</t>
  </si>
  <si>
    <t>6/a.sz. melléklet</t>
  </si>
  <si>
    <t>6/b.sz.melléklet</t>
  </si>
  <si>
    <t>Felhalmozási bevétel</t>
  </si>
  <si>
    <t>bértömeg gazd.</t>
  </si>
  <si>
    <t>K122</t>
  </si>
  <si>
    <t>OMSZ pe átvétel (kerítés építés)</t>
  </si>
  <si>
    <t>066020- Város- és községgazdálkodás</t>
  </si>
  <si>
    <t>Családi napközi / bölcsőde</t>
  </si>
  <si>
    <t>013350</t>
  </si>
  <si>
    <t>Malom, Martongazda telephely</t>
  </si>
  <si>
    <t>Hátralékok behajtása</t>
  </si>
  <si>
    <t>Telekadó hátralék</t>
  </si>
  <si>
    <t>Magánsz.komm.adó hátralék</t>
  </si>
  <si>
    <t>Rendezvények céltartléka</t>
  </si>
  <si>
    <t>Iparűzési adó hátralék</t>
  </si>
  <si>
    <t>1494/2016 (IX.15) Korm. Határozat szerinti támogatás keretében megvalósuló beruházások</t>
  </si>
  <si>
    <t>Új iskolaszárny építése</t>
  </si>
  <si>
    <t>Építés</t>
  </si>
  <si>
    <t>Egyéb tárgyi eszköz beszerzés</t>
  </si>
  <si>
    <t>Beruházás áfa</t>
  </si>
  <si>
    <t>Közlekedési és közmű infrastruktúra felújítása, fejlesztése</t>
  </si>
  <si>
    <t>Tervezés</t>
  </si>
  <si>
    <t>Felújítás megnevezése</t>
  </si>
  <si>
    <t>Európai uniós támogatással megvalósuló felújítások</t>
  </si>
  <si>
    <t>Felújítás</t>
  </si>
  <si>
    <t>Áthúzódó egyéb felújítások</t>
  </si>
  <si>
    <t>1494/2016 (IX.15) Korm. Határozat szerinti támogatás keretében megvalósuló felújítások</t>
  </si>
  <si>
    <t>1494/2016 (IX.15) Korm. Határozat szerinti támogatás keretében megvalósuló beruházások összesen</t>
  </si>
  <si>
    <t>INTÉZMÉNYI FELÚJÍTÁSOK</t>
  </si>
  <si>
    <t>FELÚJÍTÁSOK ÖSSZESEN:</t>
  </si>
  <si>
    <t>1494/2016 (IX.15) Korm. Határozat szerinti támogatás keretében megvalósuló felújítások összesen</t>
  </si>
  <si>
    <t>Városüzemeltetési telephely fejlesztése</t>
  </si>
  <si>
    <t>Rekreációs terület előkészítése</t>
  </si>
  <si>
    <t>Felújítás áfa</t>
  </si>
  <si>
    <t xml:space="preserve"> </t>
  </si>
  <si>
    <t>6/c.sz.melléklet</t>
  </si>
  <si>
    <t>Ssz.</t>
  </si>
  <si>
    <t>10.sz.melléklet</t>
  </si>
  <si>
    <t>11.sz.melléklet</t>
  </si>
  <si>
    <t>Óvodapedagógusok nev. munkáját közvetlenül segítők bértámogatása</t>
  </si>
  <si>
    <t>TOP 2.1.2 (Zöld város)</t>
  </si>
  <si>
    <t>TOP 4.1.1 (Egészségház)</t>
  </si>
  <si>
    <t>Nemzetközi kapcsolatok és kiemelt rendezvények</t>
  </si>
  <si>
    <t>Építményadó hátralék</t>
  </si>
  <si>
    <t>Pályázati céltartalék</t>
  </si>
  <si>
    <t>051030</t>
  </si>
  <si>
    <t>045120</t>
  </si>
  <si>
    <t>013320</t>
  </si>
  <si>
    <t>045150</t>
  </si>
  <si>
    <t>064010</t>
  </si>
  <si>
    <t>066010</t>
  </si>
  <si>
    <t>066020</t>
  </si>
  <si>
    <t>081030</t>
  </si>
  <si>
    <t>Forgatási célú belföldi értékpapírok beváltása</t>
  </si>
  <si>
    <t>B812</t>
  </si>
  <si>
    <t>Forgatási célú értékpapírok bevátlása</t>
  </si>
  <si>
    <t xml:space="preserve">Tartalék </t>
  </si>
  <si>
    <t>Működési céltartalék (Martonvásári Napokra)</t>
  </si>
  <si>
    <t>Felhalmozási célú támogatás</t>
  </si>
  <si>
    <t>Irattár bővítési tartalék</t>
  </si>
  <si>
    <t>Piacterület, vásártartás</t>
  </si>
  <si>
    <t>Egészségház</t>
  </si>
  <si>
    <t>Gyermekorvosi, fogorvosi rendelő</t>
  </si>
  <si>
    <t>Védőnői helyiségek</t>
  </si>
  <si>
    <t>Járási Hivatal B épület földszint</t>
  </si>
  <si>
    <t>Létesítmény üzemeltetés</t>
  </si>
  <si>
    <t>Bölcsöde</t>
  </si>
  <si>
    <t>Fogorvosi szolgáltatás</t>
  </si>
  <si>
    <t>072312</t>
  </si>
  <si>
    <t>104030</t>
  </si>
  <si>
    <t>Polgármesteri illetmény támogatása</t>
  </si>
  <si>
    <t>Martongazda Kft fejlesztési tartalék (4fő bére)</t>
  </si>
  <si>
    <t>Gyermekétkeztetés bevétele</t>
  </si>
  <si>
    <t>Önkormányzati tartalék</t>
  </si>
  <si>
    <t>Brunszvik T. óvoda beruházások</t>
  </si>
  <si>
    <t>Brunszvik Beethoven Központ beruházások</t>
  </si>
  <si>
    <t>TOP 2.1.2 Zöld város pályázat</t>
  </si>
  <si>
    <t>TOP 4.1.1 Egészségház pályázat</t>
  </si>
  <si>
    <t>Út- és közmű felújítás</t>
  </si>
  <si>
    <t>Kincstárjegyek beváltása</t>
  </si>
  <si>
    <t xml:space="preserve">Áthozott záró egyenleg: </t>
  </si>
  <si>
    <t>Tartalom jegyzék</t>
  </si>
  <si>
    <t>Polgármesteri Hivatal beruházások:</t>
  </si>
  <si>
    <t>Módosítás</t>
  </si>
  <si>
    <t>Módosítás jogcíme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</si>
  <si>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</si>
  <si>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</si>
  <si>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</si>
  <si>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</si>
  <si>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</si>
  <si>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</si>
  <si>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</si>
  <si>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</si>
  <si>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</si>
  <si>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Finanszírozási kiadás</t>
  </si>
  <si>
    <t>Működési  céltartalék</t>
  </si>
  <si>
    <t>Fejlesztési céltartalék</t>
  </si>
  <si>
    <t>Csatorna céltartalék</t>
  </si>
  <si>
    <t>Kisajátítási ktg céltartalék</t>
  </si>
  <si>
    <t>Forgatési célú értékpapírok lekötése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</si>
  <si>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</si>
  <si>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</si>
  <si>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</si>
  <si>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</si>
  <si>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</si>
  <si>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Önk. felhalm.c. ktgvet. tám.</t>
  </si>
  <si>
    <t>Felhalm.célú tám. ÁH-n belülről</t>
  </si>
  <si>
    <t>Felhalm.célú pénzeszk.átvétel ÁH-n kívülről</t>
  </si>
  <si>
    <t>Forgatési célú értékpapírok beváltása</t>
  </si>
  <si>
    <t>ÁH-n belülre</t>
  </si>
  <si>
    <t>ÁH-n kívülre</t>
  </si>
  <si>
    <t>Bevételek összesen</t>
  </si>
  <si>
    <t>Szem jell.</t>
  </si>
  <si>
    <t>Járulék</t>
  </si>
  <si>
    <t>DOLOGI</t>
  </si>
  <si>
    <t>Ber.célú p.e.átadás</t>
  </si>
  <si>
    <t>Műk.célú bevétel</t>
  </si>
  <si>
    <t>Felhalm. Bevétel</t>
  </si>
  <si>
    <t>Felhalm.c.bevétel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</si>
  <si>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</si>
  <si>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</si>
  <si>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</si>
  <si>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</si>
  <si>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</si>
  <si>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</si>
  <si>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</si>
  <si>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</si>
  <si>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Ellátottak pénzbeni juttatásai</t>
  </si>
  <si>
    <t>Felh.célú p.e.átadás</t>
  </si>
  <si>
    <t>Megelőlege-zések  visszafiz.</t>
  </si>
  <si>
    <t>Működési céltartalék</t>
  </si>
  <si>
    <t>Forgatási célú értékpapírok vásárlása</t>
  </si>
  <si>
    <t>Önkormányzat összesen</t>
  </si>
  <si>
    <t>Maradvány</t>
  </si>
  <si>
    <t>Egyéb működési célú támogatások államháztartáson belülre</t>
  </si>
  <si>
    <t>Maradvány igénybevétele</t>
  </si>
  <si>
    <t>EFOP 4.1.8. (Könyvtári pályázat)</t>
  </si>
  <si>
    <t>pályázat</t>
  </si>
  <si>
    <t>K914</t>
  </si>
  <si>
    <t>ÁH belüli megelőlegezések visszafizetése</t>
  </si>
  <si>
    <t>K912</t>
  </si>
  <si>
    <t>Belföldi értékpapírok kiadásai</t>
  </si>
  <si>
    <t>TOP 5.3.1 (Helyi identitás)</t>
  </si>
  <si>
    <t>041233-Közfoglalkoztatás</t>
  </si>
  <si>
    <t>Egyéb működési célú támogatások ÁH-n belül</t>
  </si>
  <si>
    <t>082042- Könyvtári szolgáltatások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</si>
  <si>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</si>
  <si>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</si>
  <si>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</si>
  <si>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</si>
  <si>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</si>
  <si>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</si>
  <si>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</si>
  <si>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12.e melléklet</t>
  </si>
  <si>
    <t>Konszolidált előirányzat módosítás Martonvásár Város Önkormányzata és intézményei</t>
  </si>
  <si>
    <t>Kulturális ill.pótlék</t>
  </si>
  <si>
    <t>Martongazda Nonprofit Kft finanszírozási tartaléka</t>
  </si>
  <si>
    <t>MG Kft finansízírozási tartaléka</t>
  </si>
  <si>
    <t>Fejl.tart.</t>
  </si>
  <si>
    <t>Köztisztviselői bértámogatás</t>
  </si>
  <si>
    <t>Választás (EU-s)</t>
  </si>
  <si>
    <t>Választás (Önkormányzati)</t>
  </si>
  <si>
    <t>Kisajátítási tartalék visszautalása</t>
  </si>
  <si>
    <t>VP Piac</t>
  </si>
  <si>
    <t>EFOP-4.1.9 Múzeum</t>
  </si>
  <si>
    <t>VP 7.2.1 Külterületi utak</t>
  </si>
  <si>
    <t>Munkáltatói kölcsön visszatérítése</t>
  </si>
  <si>
    <t xml:space="preserve">Óvodai és iskolai szociális segítő tevékenység támogatása </t>
  </si>
  <si>
    <t>VP 7.2.7 (Külterületi út)</t>
  </si>
  <si>
    <t>TOP-3.2.1 Iskolaenergetika</t>
  </si>
  <si>
    <t>téli rezsicsökkentés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</si>
  <si>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(Nyári rendezvényekre)</t>
    </r>
  </si>
  <si>
    <t>TOP-5.3.1 helyi identitás (BBK)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</si>
  <si>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</si>
  <si>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</si>
  <si>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</si>
  <si>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</si>
  <si>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</si>
  <si>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</si>
  <si>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</si>
  <si>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</si>
  <si>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</si>
  <si>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</si>
  <si>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</si>
  <si>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</si>
  <si>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</si>
  <si>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</si>
  <si>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</si>
  <si>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</si>
  <si>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</si>
  <si>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</si>
  <si>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</si>
  <si>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</si>
  <si>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</si>
  <si>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</si>
  <si>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TOP 5.3.1 Helyi identitás pályázat</t>
  </si>
  <si>
    <t>EFOP 4.1.8. Könyvtár pályázat</t>
  </si>
  <si>
    <t>EFOP 4.1.9. Múzeum pályázat</t>
  </si>
  <si>
    <t>VP 7.2.7 Külterületi utak</t>
  </si>
  <si>
    <t>TOP 3.2.1 Iskolaenergetika</t>
  </si>
  <si>
    <t>BM Óvoda</t>
  </si>
  <si>
    <t>ingatlan vásárlás (Rákóczi út)</t>
  </si>
  <si>
    <t>Tornacsarnok</t>
  </si>
  <si>
    <t>2019. évi tervezett  létszám (fő)</t>
  </si>
  <si>
    <t>2019. évi módosítás</t>
  </si>
  <si>
    <t>2019. évi módosított létszám</t>
  </si>
  <si>
    <t>PH összesen</t>
  </si>
  <si>
    <t>BBKP összesen</t>
  </si>
  <si>
    <t>Óvodai bevételek</t>
  </si>
  <si>
    <t>Óvoda összesen</t>
  </si>
  <si>
    <t>Áfa visszatérülés</t>
  </si>
  <si>
    <t>BBK bevételek</t>
  </si>
  <si>
    <t>PH bevételek</t>
  </si>
  <si>
    <t>Kehop-2.2.1 csatorna beruházás</t>
  </si>
  <si>
    <t>2018/2019 8hó</t>
  </si>
  <si>
    <t>2019/2020 4 hó</t>
  </si>
  <si>
    <t>2018/2019 8 hó</t>
  </si>
  <si>
    <t>Szociális ágazati pótlék</t>
  </si>
  <si>
    <t>Adós bevételből származó többlet tartalék</t>
  </si>
  <si>
    <t>KEHOP 2.2.1 (Csatorna)</t>
  </si>
  <si>
    <t>052020 Szennyvíz gyűjtése, tisztítása, elhelyezése;
063080 Vízellátással kapcsolatos közmű építése, fenntartása, üzemeltetése</t>
  </si>
  <si>
    <t>084032;
011130</t>
  </si>
  <si>
    <t>PM elvonás intézményektől</t>
  </si>
  <si>
    <t>Kehop 2.2.1 csatorna</t>
  </si>
  <si>
    <t>Tornacsarnok tervezési különbözet</t>
  </si>
  <si>
    <t>MTA-tól ingatlan vásárlás</t>
  </si>
  <si>
    <t>óvodai tűzjelző kiépítése</t>
  </si>
  <si>
    <t>könyvtárba könyvállvány</t>
  </si>
  <si>
    <t>szennyvíz gyűjtéssel és vízellátással kapcsolatos beruházás</t>
  </si>
  <si>
    <t>Martongazdának adott előleg</t>
  </si>
  <si>
    <t>Műk.célú pénzeszk.átvétel SZLV TKT és Segítő Szolg.</t>
  </si>
  <si>
    <t>Helyi adóból származó bevételekcél tartaléka</t>
  </si>
  <si>
    <t>2019. évi</t>
  </si>
  <si>
    <t>Ingatlan értékesítés (Mirrotron)</t>
  </si>
  <si>
    <t>2018. évi módosított támogatás ei. I.</t>
  </si>
  <si>
    <t>2018. évi módosítás</t>
  </si>
  <si>
    <t>2018. évi módosított támogatás ei. II.</t>
  </si>
  <si>
    <t>2019. évi módosított támogatás ei. I.</t>
  </si>
  <si>
    <t>2019. évi módosított támogatás ei. II.</t>
  </si>
  <si>
    <t>Martonvásár Város Képviselőtestület …../2019 (….) önkormányzati rendelete Martonvásár Város 2019.évi költségvetésének módosításáról</t>
  </si>
  <si>
    <t>Martonvásár Város Önkormányzatának 2019.évi költségvetésének pénzügyi mérlege I.</t>
  </si>
  <si>
    <t>Martonvásár Város Önkormányzatának 2019.évi költségvetésének pénzügyi mérlege II.</t>
  </si>
  <si>
    <t>Martonvásár Város Önkormányzatának 2019. évi bevétele (intézmények nélkül)</t>
  </si>
  <si>
    <t>Martonvásár Város Önkormányzatának 2019. évi átvett pénzeszközei</t>
  </si>
  <si>
    <t>Martonvásár Város Önkormányzatának 2019. évi működési bevételei</t>
  </si>
  <si>
    <t>Martonvásár Város Önkormányzatának 2019. évi  közhatalmi bevételei</t>
  </si>
  <si>
    <t>Martonvásár Város Önkormányzatának 2019. évi normatív támogatásai</t>
  </si>
  <si>
    <t>Martonvásár Város Önkormányzatának 2019. évi kiadásai (intézmények nélkül)</t>
  </si>
  <si>
    <t>Martonvásár Város Önkormányzatának 2019. évi kiadásai - Önkormányzati jogalkotás kormányzati funkció</t>
  </si>
  <si>
    <t>Martonvásár Város Önkormányzatának 2019. évi kiadásai - Városfejlesztési feladatok ellátása saját forrásból</t>
  </si>
  <si>
    <t>Martonvásár Város Önkormányzatának 2019. évi kiadásai - Városfejlesztési feladatok ellátása EU forrásból</t>
  </si>
  <si>
    <t>Martonvásár Város Önkormányzatának 2019. évi kiadásai - Védőnői és eü feladatok ellátása</t>
  </si>
  <si>
    <t>Martonvásár Város Önkormányzatának 2019. évi kiadásai - Szociális feladatok ellátása</t>
  </si>
  <si>
    <t>Martonvásár Város Önkormányzatának 2019. évi kiadásai - Átadott pénzeszközök</t>
  </si>
  <si>
    <t>Martonvásár Város Önkormányzatának 2019. évi kiadásai - Egyéb feladatok ellátása</t>
  </si>
  <si>
    <t>Martonvásári Polgármesteri Hivatal 2019. évi kiadásai</t>
  </si>
  <si>
    <t>Brunszvik Teréz Óvoda 2019. évi kiadásai</t>
  </si>
  <si>
    <t>Brunszvik-Beethoven Közösségi Ház és Könyvtár 2019. évi kiadásai</t>
  </si>
  <si>
    <t>Martonvásár Város Önkormányzata és Intézményei  2019. évi létszámkerete</t>
  </si>
  <si>
    <t>Előirányzat módosítás részletes nyilvántartása - Brunszvik-Beethoven Közösségi Ház és Könyvtár</t>
  </si>
  <si>
    <t>egészségház eszközbeszerzések</t>
  </si>
  <si>
    <t>066020 - BM támogatás 400M (Brunszvik Terv megvalósítása)</t>
  </si>
  <si>
    <t>Könyvtári érdekeltségnövelő támogatás</t>
  </si>
  <si>
    <t>Tó-Coop óvadékikamat jóváírás</t>
  </si>
  <si>
    <t>Igazgatási szolg.díj befizetése</t>
  </si>
  <si>
    <t>tűzcsap létesítése (Rákóczi út)</t>
  </si>
  <si>
    <t>mobiltelefon</t>
  </si>
  <si>
    <t>oklevél</t>
  </si>
  <si>
    <t>Módosított ei. III.</t>
  </si>
  <si>
    <t>2019. évi módosított támogatás ei. III.</t>
  </si>
  <si>
    <t>K48 - Egyéb nem intézményi ellátások</t>
  </si>
  <si>
    <t>K312 - Üzemeltetési anyagok beszerzése</t>
  </si>
  <si>
    <t>K351 - Működési célú előzetesen felszámított ÁFA</t>
  </si>
  <si>
    <t>EFOP 4.1.9. (Múzeum pályázat)</t>
  </si>
  <si>
    <t xml:space="preserve">104030 - TOP -1.4.1 Bölcsöde </t>
  </si>
  <si>
    <t>045120-Útépítés</t>
  </si>
  <si>
    <t>013350- Városüzemeltetési telephely építés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</si>
  <si>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</si>
  <si>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</si>
  <si>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</si>
  <si>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</si>
  <si>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</si>
  <si>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</si>
  <si>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</si>
  <si>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</si>
  <si>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</si>
  <si>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</si>
  <si>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</si>
  <si>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</si>
  <si>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</si>
  <si>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Egyéb tevékenységek;
052080; 013350; 082044</t>
  </si>
  <si>
    <t>Polgárőrség, Rendőrség, Mentőszolgálat és Tűzoltóság  támogatása, Bicske V.Önk tám.</t>
  </si>
  <si>
    <t>102031</t>
  </si>
  <si>
    <t>2018.évi utólagos finanszírozás(bér)</t>
  </si>
  <si>
    <t>Min.bér és gar.bérmin emelés ált.támogatása</t>
  </si>
  <si>
    <t>Min.bér és gar.bérmin emelés közoktatási támogatása</t>
  </si>
  <si>
    <t>Min.bér és gar.bérmin emelés étkeztetési támogatása</t>
  </si>
  <si>
    <t>Min.bér és gar.bérmin emelés kulturális támogatása</t>
  </si>
  <si>
    <t>Min.bér és gar.bérmin emelés, tanyagond. szociális támogatása</t>
  </si>
  <si>
    <t>Nyári diákmunka támogatása</t>
  </si>
  <si>
    <t>Települési adó</t>
  </si>
  <si>
    <t>Mezőőri járulék</t>
  </si>
  <si>
    <t>Dell Inspiron laptop beszerzése</t>
  </si>
  <si>
    <t xml:space="preserve">Üveg vitrin </t>
  </si>
  <si>
    <t>1521/2018. (X.17.) Korm. Határozat szerinti támogatás keretében megvalósuló beruházások</t>
  </si>
  <si>
    <t>1521/2018. (X.17.) Korm. Határozat szerinti támogatás keretében megvalósuló beruházások összesen</t>
  </si>
  <si>
    <t>Módosított ei. IV.</t>
  </si>
  <si>
    <t>2019. évi módosított támogatás ei. IV.</t>
  </si>
  <si>
    <t>Módosított előirányzat III. (áfával növelt költség)</t>
  </si>
  <si>
    <t>Módosított előirányzat IV.</t>
  </si>
  <si>
    <t>Reprezentácis kiadásra átcsoportosítás</t>
  </si>
  <si>
    <t>Átcsoportosítás készlet vásárlása</t>
  </si>
  <si>
    <t>Anyakönyvvezetők közreműködési díjára ei. Képzés bevételből</t>
  </si>
  <si>
    <t>Választási átlagbérre plusz kv-i bevétel</t>
  </si>
  <si>
    <t>Közvetített szolgáltatások ei. képzése kiadásokra</t>
  </si>
  <si>
    <t>Önkormányzati választás reprezentációs kiadására átcsoportosítás</t>
  </si>
  <si>
    <t>Gyermekétkeztetés normatíva emelése</t>
  </si>
  <si>
    <t>Tárgyi szközök vásárlása miatt átcsoportosítás</t>
  </si>
  <si>
    <t>Informatikai eszköz beszerzés</t>
  </si>
  <si>
    <t>Vételár különbözet visszautalása, ebből ei.képzése</t>
  </si>
  <si>
    <t>Mosogatógép cserére +finanszírozás</t>
  </si>
  <si>
    <t>SNI fejlesztésre átcsoportosítás</t>
  </si>
  <si>
    <t>Kultúrális illetménypótlék</t>
  </si>
  <si>
    <t>Tárgyi eszköz beszerzés</t>
  </si>
  <si>
    <t>Könyvek tárgyi eszköz nyílvántartásba vétele miatti átcsop.</t>
  </si>
  <si>
    <t>kiküldetésre átcsoportosítás ( TOP)</t>
  </si>
  <si>
    <t>Közvetített szolgáltatás bevételből kiadási ei. Képzése</t>
  </si>
  <si>
    <t>Reprezentációs kiadásra átcsoportosítás</t>
  </si>
  <si>
    <t>Mód.ei IV.</t>
  </si>
  <si>
    <t>Mód.ei III</t>
  </si>
  <si>
    <t>045120-Útépítés (saját forrás)</t>
  </si>
  <si>
    <t>066020- Város- és községgazdálkodás (saját forrás)</t>
  </si>
  <si>
    <t>2019/141</t>
  </si>
  <si>
    <t>Csatorna tartalékból egyéb szolg, fogy.mérő szekrény</t>
  </si>
  <si>
    <t>2019/142</t>
  </si>
  <si>
    <t>Apple Iphone telefon beszerzése AFA sor terhére</t>
  </si>
  <si>
    <t>2019/144</t>
  </si>
  <si>
    <t>Szoc.ág pótlék bevétele, TKTnak átadása</t>
  </si>
  <si>
    <t>Gyepmesteri tevékenység továbbszámlázása</t>
  </si>
  <si>
    <t>2019/151</t>
  </si>
  <si>
    <t>Ált.tart.terhére temetési kiadások</t>
  </si>
  <si>
    <t>2019/154</t>
  </si>
  <si>
    <t>Mv. 702/7 hrsz terület eladása, AFA sorba helyezése</t>
  </si>
  <si>
    <t>2019/157</t>
  </si>
  <si>
    <t>Átcsop. Szakmai szolgra AFA sorról</t>
  </si>
  <si>
    <t>Hirdetések bevételi ei mód, kiadási ei.mód</t>
  </si>
  <si>
    <t>2019/160</t>
  </si>
  <si>
    <t>TOP 2.1.2 Zöldváros átcsop e.szolg játszótér kiviteli tervre</t>
  </si>
  <si>
    <t>2019/162</t>
  </si>
  <si>
    <t>Brunszvik terv átcsop látványterv készítése miatt</t>
  </si>
  <si>
    <t>Gyermekétkeztetés norm, bevétel és kiadás rendezése</t>
  </si>
  <si>
    <t>Átcsoportosítás repire, utiktgre egyéb szolgról, üz.anyagról</t>
  </si>
  <si>
    <t>2019/167</t>
  </si>
  <si>
    <t>Brunszvik sétány látványtervre átcsop</t>
  </si>
  <si>
    <t>2019/168</t>
  </si>
  <si>
    <t>Szoc.ág pótlék bevétele, TKTnak átadása, szoc.étk plusz fin.ált.tart terhére</t>
  </si>
  <si>
    <t>2019/169</t>
  </si>
  <si>
    <t>400M átcsop bérről immatjavakra</t>
  </si>
  <si>
    <t>2019/170</t>
  </si>
  <si>
    <t>Efop Könyvtár átcsop inform.eszkről dologi kiadásra</t>
  </si>
  <si>
    <t>2019/171</t>
  </si>
  <si>
    <t>Efop Múzeum átcsop inform.eszkről dologi kiadásra</t>
  </si>
  <si>
    <t>2019/173</t>
  </si>
  <si>
    <t>2017.évi norm.visszafiz kés.kamata önk.tart.terhére</t>
  </si>
  <si>
    <t xml:space="preserve">Bérkomp és kult.pótlék bevétele, átadása </t>
  </si>
  <si>
    <t>2019/175</t>
  </si>
  <si>
    <t>AFA sor terhére Deák F. utca kiviteli terv, Lenovo laptop</t>
  </si>
  <si>
    <t>2019/148, 177</t>
  </si>
  <si>
    <t>2019/178</t>
  </si>
  <si>
    <t>Ált.tart.terhére átcsop jogi tanácsadásra</t>
  </si>
  <si>
    <t>2019/181</t>
  </si>
  <si>
    <t>Csatorna tart.terhére akna bélelés, szivattyúk</t>
  </si>
  <si>
    <t>2019/182</t>
  </si>
  <si>
    <t>Átcsop. Védőnői jutalomra e.szolgról</t>
  </si>
  <si>
    <t>2019/183</t>
  </si>
  <si>
    <t>Brunszvik terv átcsop bérről műszaki ellenőrre</t>
  </si>
  <si>
    <t>2019/158, 184</t>
  </si>
  <si>
    <t>2019/185</t>
  </si>
  <si>
    <t>Ált.tart.terhére Brunszvik Óvoda mosogatógépre int.fin</t>
  </si>
  <si>
    <t>2019/186</t>
  </si>
  <si>
    <t>Ált.tart.terhére MG Vásártér telephelyre plusz fin.</t>
  </si>
  <si>
    <t>2019/187</t>
  </si>
  <si>
    <t>Fejl.tart terhére talajvizsg.jelentés, M.Közútnak kártalanítási díj</t>
  </si>
  <si>
    <t>2019/188</t>
  </si>
  <si>
    <t>800M átcsop beruh.Áfáról ford.ÁFÁra</t>
  </si>
  <si>
    <t>2019/190</t>
  </si>
  <si>
    <t>AFA sorról átcsop kerítés építésre</t>
  </si>
  <si>
    <t>2019/195</t>
  </si>
  <si>
    <t>Védőnői átcsop e.szolgról beruh-ra</t>
  </si>
  <si>
    <t>2019/196</t>
  </si>
  <si>
    <t>Rendőrségi laptopra átcsop civil szerv.támról</t>
  </si>
  <si>
    <t>2019/197</t>
  </si>
  <si>
    <t>AFA sorról átcsop Deák és Sz.László közötti járda építésre</t>
  </si>
  <si>
    <t>2019/198</t>
  </si>
  <si>
    <t>Csatorna tart.terhére 3f fogy.bekapcsolás</t>
  </si>
  <si>
    <t>2019/199</t>
  </si>
  <si>
    <t>AFA sorról átcsop Egészségház zöldfelület rendezésére</t>
  </si>
  <si>
    <t>2019/165, 202</t>
  </si>
  <si>
    <t>2019/203</t>
  </si>
  <si>
    <t>Iskolatej bevétel és kiadás emelkedése</t>
  </si>
  <si>
    <t>2019/205</t>
  </si>
  <si>
    <t>TOP 4.1.1 Eg.ház átcsop t.eszközről szakmai anyagra</t>
  </si>
  <si>
    <t>2019/207</t>
  </si>
  <si>
    <t>Brunszvik Terv átcsop. Pályázati felosztás miatt</t>
  </si>
  <si>
    <t>2019/208</t>
  </si>
  <si>
    <t>Csatorna tart, AFA sor terhére VP külter.utak beruházásra átcsop</t>
  </si>
  <si>
    <t>2019/140, 153, 166, 176, 179, 193, 201, 210, 211</t>
  </si>
  <si>
    <t>2019/174, 212</t>
  </si>
  <si>
    <t>2020/1</t>
  </si>
  <si>
    <t>Csatorna tart.terhére Brunszvik terv felújításra átcsop</t>
  </si>
  <si>
    <t>2020/4</t>
  </si>
  <si>
    <t>Efop Könyvtár átcsop beruhra egyéb szolgról</t>
  </si>
  <si>
    <t>2020/5</t>
  </si>
  <si>
    <t>Efop Múzeum átcsop beruhra egyéb szolgról</t>
  </si>
  <si>
    <t>2020/6</t>
  </si>
  <si>
    <t>OEP fin.emelés védőnői bér emelés miatt</t>
  </si>
  <si>
    <t>2020/7</t>
  </si>
  <si>
    <t>Ált.tart.terhére alpolg, képviselők díjára, járulékra</t>
  </si>
  <si>
    <t>2020/11</t>
  </si>
  <si>
    <t>Ált.tart.terhére vadkamera beszerzése</t>
  </si>
  <si>
    <t>2020/12</t>
  </si>
  <si>
    <t>Átcsop. Megbízási díjra üzem.anyagról</t>
  </si>
  <si>
    <t>46.</t>
  </si>
  <si>
    <t>2020/13</t>
  </si>
  <si>
    <t>Helyi közl. 2018.évi utólagos tám.</t>
  </si>
  <si>
    <t>47.</t>
  </si>
  <si>
    <t>2020/15</t>
  </si>
  <si>
    <t>Ing.értékesítés, infr.fejl.pe átvétel AFA sorba helyezése</t>
  </si>
  <si>
    <t>48.</t>
  </si>
  <si>
    <t>2020/16</t>
  </si>
  <si>
    <t>2018.évi MÁK felülvizsg. Miatti visszafiz, TKT átvétele</t>
  </si>
  <si>
    <t>49.</t>
  </si>
  <si>
    <t>2020/17</t>
  </si>
  <si>
    <t>Bérkomp, szoc.ág pótlék, kult.pótlék, norm.mód rendezése</t>
  </si>
  <si>
    <t>2020/18</t>
  </si>
  <si>
    <t>Szoc.tüzifa kiszáll.díja szoc.keret terhére</t>
  </si>
  <si>
    <t>50.</t>
  </si>
  <si>
    <t>51.</t>
  </si>
  <si>
    <t>2020/19</t>
  </si>
  <si>
    <t>AFA sor terhére Egészségház eszközbesz.</t>
  </si>
  <si>
    <t>Ingatlan értékesítés</t>
  </si>
  <si>
    <t>Helyi közlekedés 2018.évi támogatása</t>
  </si>
  <si>
    <t>Infrastruktura fejlesztésre pe.átvétel</t>
  </si>
  <si>
    <t>K337 - Egyéb szolgáltatások</t>
  </si>
  <si>
    <t>Lenovo Ideapad laptop beszerzése</t>
  </si>
  <si>
    <t>Deák Ferenc utca felújításához kiviteli terv</t>
  </si>
  <si>
    <t>Kerítés építése</t>
  </si>
  <si>
    <t>Védőnői eszközbeszerzés</t>
  </si>
  <si>
    <t>Rendőrség részére laptop beszerzése</t>
  </si>
  <si>
    <t>Deák F. utca és Sz.László út között járda építése</t>
  </si>
  <si>
    <t>Egészségház zöldfelület rendezése</t>
  </si>
  <si>
    <t>Vadkamera beszerzése mezőőri szolgálatnak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</si>
</sst>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7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7" borderId="0" applyNumberFormat="0" applyBorder="0" applyAlignment="0" applyProtection="0"/>
    <xf numFmtId="0" fontId="41" fillId="10" borderId="0" applyNumberFormat="0" applyBorder="0" applyAlignment="0" applyProtection="0"/>
    <xf numFmtId="0" fontId="41" fillId="9" borderId="0" applyNumberFormat="0" applyBorder="0" applyAlignment="0" applyProtection="0"/>
    <xf numFmtId="0" fontId="41" fillId="11" borderId="0" applyNumberFormat="0" applyBorder="0" applyAlignment="0" applyProtection="0"/>
    <xf numFmtId="0" fontId="41" fillId="8" borderId="0" applyNumberFormat="0" applyBorder="0" applyAlignment="0" applyProtection="0"/>
    <xf numFmtId="0" fontId="41" fillId="12" borderId="0" applyNumberFormat="0" applyBorder="0" applyAlignment="0" applyProtection="0"/>
    <xf numFmtId="0" fontId="41" fillId="11" borderId="0" applyNumberFormat="0" applyBorder="0" applyAlignment="0" applyProtection="0"/>
    <xf numFmtId="0" fontId="41" fillId="13" borderId="0" applyNumberFormat="0" applyBorder="0" applyAlignment="0" applyProtection="0"/>
    <xf numFmtId="0" fontId="41" fillId="12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2" fillId="12" borderId="0" applyNumberFormat="0" applyBorder="0" applyAlignment="0" applyProtection="0"/>
    <xf numFmtId="0" fontId="42" fillId="11" borderId="0" applyNumberFormat="0" applyBorder="0" applyAlignment="0" applyProtection="0"/>
    <xf numFmtId="0" fontId="42" fillId="14" borderId="0" applyNumberFormat="0" applyBorder="0" applyAlignment="0" applyProtection="0"/>
    <xf numFmtId="0" fontId="42" fillId="8" borderId="0" applyNumberFormat="0" applyBorder="0" applyAlignment="0" applyProtection="0"/>
    <xf numFmtId="0" fontId="43" fillId="12" borderId="63" applyNumberFormat="0" applyAlignment="0" applyProtection="0"/>
    <xf numFmtId="0" fontId="44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46" fillId="0" borderId="65" applyNumberFormat="0" applyFill="0" applyAlignment="0" applyProtection="0"/>
    <xf numFmtId="0" fontId="47" fillId="0" borderId="66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67" applyNumberFormat="0" applyAlignment="0" applyProtection="0"/>
    <xf numFmtId="0" fontId="49" fillId="0" borderId="0" applyNumberFormat="0" applyFill="0" applyBorder="0" applyAlignment="0" applyProtection="0"/>
    <xf numFmtId="0" fontId="50" fillId="0" borderId="68" applyNumberFormat="0" applyFill="0" applyAlignment="0" applyProtection="0"/>
    <xf numFmtId="0" fontId="16" fillId="9" borderId="69" applyNumberFormat="0" applyFont="0" applyAlignment="0" applyProtection="0"/>
    <xf numFmtId="0" fontId="42" fillId="14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1" fillId="20" borderId="0" applyNumberFormat="0" applyBorder="0" applyAlignment="0" applyProtection="0"/>
    <xf numFmtId="0" fontId="52" fillId="21" borderId="70" applyNumberFormat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41" fillId="0" borderId="0"/>
    <xf numFmtId="0" fontId="55" fillId="0" borderId="0"/>
    <xf numFmtId="0" fontId="16" fillId="0" borderId="0"/>
    <xf numFmtId="0" fontId="55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55" fillId="0" borderId="0"/>
    <xf numFmtId="0" fontId="56" fillId="0" borderId="71" applyNumberFormat="0" applyFill="0" applyAlignment="0" applyProtection="0"/>
    <xf numFmtId="0" fontId="57" fillId="22" borderId="0" applyNumberFormat="0" applyBorder="0" applyAlignment="0" applyProtection="0"/>
    <xf numFmtId="0" fontId="58" fillId="12" borderId="0" applyNumberFormat="0" applyBorder="0" applyAlignment="0" applyProtection="0"/>
    <xf numFmtId="0" fontId="59" fillId="21" borderId="63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41" fillId="23" borderId="0" applyNumberFormat="0" applyBorder="0" applyAlignment="0" applyProtection="0"/>
    <xf numFmtId="0" fontId="41" fillId="22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10" borderId="0" applyNumberFormat="0" applyBorder="0" applyAlignment="0" applyProtection="0"/>
    <xf numFmtId="0" fontId="41" fillId="7" borderId="0" applyNumberFormat="0" applyBorder="0" applyAlignment="0" applyProtection="0"/>
    <xf numFmtId="0" fontId="41" fillId="13" borderId="0" applyNumberFormat="0" applyBorder="0" applyAlignment="0" applyProtection="0"/>
    <xf numFmtId="0" fontId="41" fillId="8" borderId="0" applyNumberFormat="0" applyBorder="0" applyAlignment="0" applyProtection="0"/>
    <xf numFmtId="0" fontId="41" fillId="25" borderId="0" applyNumberFormat="0" applyBorder="0" applyAlignment="0" applyProtection="0"/>
    <xf numFmtId="0" fontId="41" fillId="24" borderId="0" applyNumberFormat="0" applyBorder="0" applyAlignment="0" applyProtection="0"/>
    <xf numFmtId="0" fontId="41" fillId="13" borderId="0" applyNumberFormat="0" applyBorder="0" applyAlignment="0" applyProtection="0"/>
    <xf numFmtId="0" fontId="41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28" borderId="0" applyNumberFormat="0" applyBorder="0" applyAlignment="0" applyProtection="0"/>
    <xf numFmtId="0" fontId="42" fillId="14" borderId="0" applyNumberFormat="0" applyBorder="0" applyAlignment="0" applyProtection="0"/>
    <xf numFmtId="0" fontId="42" fillId="19" borderId="0" applyNumberFormat="0" applyBorder="0" applyAlignment="0" applyProtection="0"/>
    <xf numFmtId="0" fontId="57" fillId="22" borderId="0" applyNumberFormat="0" applyBorder="0" applyAlignment="0" applyProtection="0"/>
    <xf numFmtId="0" fontId="59" fillId="11" borderId="63" applyNumberFormat="0" applyAlignment="0" applyProtection="0"/>
    <xf numFmtId="0" fontId="48" fillId="15" borderId="67" applyNumberFormat="0" applyAlignment="0" applyProtection="0"/>
    <xf numFmtId="0" fontId="53" fillId="0" borderId="0" applyNumberFormat="0" applyFill="0" applyBorder="0" applyAlignment="0" applyProtection="0"/>
    <xf numFmtId="0" fontId="51" fillId="20" borderId="0" applyNumberFormat="0" applyBorder="0" applyAlignment="0" applyProtection="0"/>
    <xf numFmtId="0" fontId="60" fillId="0" borderId="83" applyNumberFormat="0" applyFill="0" applyAlignment="0" applyProtection="0"/>
    <xf numFmtId="0" fontId="61" fillId="0" borderId="65" applyNumberFormat="0" applyFill="0" applyAlignment="0" applyProtection="0"/>
    <xf numFmtId="0" fontId="62" fillId="0" borderId="84" applyNumberFormat="0" applyFill="0" applyAlignment="0" applyProtection="0"/>
    <xf numFmtId="0" fontId="62" fillId="0" borderId="0" applyNumberFormat="0" applyFill="0" applyBorder="0" applyAlignment="0" applyProtection="0"/>
    <xf numFmtId="0" fontId="43" fillId="7" borderId="63" applyNumberFormat="0" applyAlignment="0" applyProtection="0"/>
    <xf numFmtId="0" fontId="50" fillId="0" borderId="68" applyNumberFormat="0" applyFill="0" applyAlignment="0" applyProtection="0"/>
    <xf numFmtId="0" fontId="58" fillId="12" borderId="0" applyNumberFormat="0" applyBorder="0" applyAlignment="0" applyProtection="0"/>
    <xf numFmtId="0" fontId="55" fillId="9" borderId="69" applyNumberFormat="0" applyFont="0" applyAlignment="0" applyProtection="0"/>
    <xf numFmtId="0" fontId="52" fillId="11" borderId="70" applyNumberFormat="0" applyAlignment="0" applyProtection="0"/>
    <xf numFmtId="0" fontId="63" fillId="0" borderId="0" applyNumberFormat="0" applyFill="0" applyBorder="0" applyAlignment="0" applyProtection="0"/>
    <xf numFmtId="0" fontId="56" fillId="0" borderId="85" applyNumberFormat="0" applyFill="0" applyAlignment="0" applyProtection="0"/>
    <xf numFmtId="0" fontId="49" fillId="0" borderId="0" applyNumberFormat="0" applyFill="0" applyBorder="0" applyAlignment="0" applyProtection="0"/>
    <xf numFmtId="43" fontId="40" fillId="0" borderId="0" applyFont="0" applyFill="0" applyBorder="0" applyAlignment="0" applyProtection="0"/>
  </cellStyleXfs>
  <cellXfs count="1426">
    <xf numFmtId="0" fontId="0" fillId="0" borderId="0" xfId="0"/>
    <xf numFmtId="0" fontId="0" fillId="0" borderId="0" xfId="0" applyBorder="1"/>
    <xf numFmtId="0" fontId="28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/>
    <xf numFmtId="0" fontId="30" fillId="0" borderId="1" xfId="0" applyFont="1" applyBorder="1"/>
    <xf numFmtId="0" fontId="30" fillId="0" borderId="4" xfId="0" applyFont="1" applyBorder="1"/>
    <xf numFmtId="0" fontId="30" fillId="0" borderId="8" xfId="0" applyFont="1" applyBorder="1"/>
    <xf numFmtId="0" fontId="30" fillId="0" borderId="5" xfId="0" applyFont="1" applyBorder="1"/>
    <xf numFmtId="0" fontId="30" fillId="0" borderId="9" xfId="0" applyFont="1" applyBorder="1"/>
    <xf numFmtId="0" fontId="30" fillId="0" borderId="6" xfId="0" applyFont="1" applyBorder="1" applyAlignment="1">
      <alignment horizontal="lef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0" fillId="0" borderId="1" xfId="0" applyNumberFormat="1" applyFont="1" applyBorder="1"/>
    <xf numFmtId="3" fontId="30" fillId="0" borderId="4" xfId="0" applyNumberFormat="1" applyFont="1" applyBorder="1"/>
    <xf numFmtId="3" fontId="30" fillId="0" borderId="8" xfId="0" applyNumberFormat="1" applyFont="1" applyBorder="1"/>
    <xf numFmtId="3" fontId="30" fillId="0" borderId="5" xfId="0" applyNumberFormat="1" applyFont="1" applyBorder="1"/>
    <xf numFmtId="49" fontId="30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31" fillId="0" borderId="3" xfId="0" applyFont="1" applyBorder="1" applyAlignment="1">
      <alignment horizontal="left"/>
    </xf>
    <xf numFmtId="0" fontId="31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29" fillId="0" borderId="2" xfId="0" applyFont="1" applyBorder="1"/>
    <xf numFmtId="0" fontId="29" fillId="0" borderId="0" xfId="0" applyFont="1" applyBorder="1"/>
    <xf numFmtId="0" fontId="29" fillId="0" borderId="1" xfId="0" applyFont="1" applyBorder="1"/>
    <xf numFmtId="0" fontId="28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right" vertical="center" wrapText="1"/>
    </xf>
    <xf numFmtId="3" fontId="31" fillId="0" borderId="1" xfId="0" applyNumberFormat="1" applyFont="1" applyBorder="1"/>
    <xf numFmtId="3" fontId="29" fillId="0" borderId="7" xfId="0" applyNumberFormat="1" applyFont="1" applyBorder="1"/>
    <xf numFmtId="3" fontId="29" fillId="0" borderId="5" xfId="0" applyNumberFormat="1" applyFont="1" applyBorder="1"/>
    <xf numFmtId="3" fontId="29" fillId="0" borderId="2" xfId="0" applyNumberFormat="1" applyFont="1" applyBorder="1"/>
    <xf numFmtId="3" fontId="31" fillId="0" borderId="8" xfId="0" applyNumberFormat="1" applyFont="1" applyBorder="1"/>
    <xf numFmtId="3" fontId="29" fillId="0" borderId="1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0" fillId="0" borderId="0" xfId="0" applyNumberFormat="1" applyFont="1" applyBorder="1"/>
    <xf numFmtId="3" fontId="29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0" fillId="0" borderId="0" xfId="0" applyFont="1" applyBorder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right" vertical="center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>
      <alignment vertical="center" wrapText="1"/>
    </xf>
    <xf numFmtId="0" fontId="4" fillId="0" borderId="25" xfId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right"/>
    </xf>
    <xf numFmtId="49" fontId="15" fillId="0" borderId="0" xfId="2" applyNumberFormat="1" applyFont="1" applyFill="1" applyBorder="1" applyAlignment="1" applyProtection="1">
      <alignment horizontal="left" vertical="center" wrapText="1" indent="1"/>
    </xf>
    <xf numFmtId="0" fontId="4" fillId="0" borderId="35" xfId="1" applyFont="1" applyFill="1" applyBorder="1" applyAlignment="1">
      <alignment horizontal="right" vertical="center"/>
    </xf>
    <xf numFmtId="3" fontId="30" fillId="0" borderId="6" xfId="0" applyNumberFormat="1" applyFont="1" applyBorder="1"/>
    <xf numFmtId="3" fontId="30" fillId="0" borderId="36" xfId="0" applyNumberFormat="1" applyFont="1" applyBorder="1"/>
    <xf numFmtId="165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0" fontId="2" fillId="0" borderId="1" xfId="1" applyFont="1" applyFill="1" applyBorder="1" applyAlignment="1">
      <alignment vertical="center" wrapText="1"/>
    </xf>
    <xf numFmtId="0" fontId="3" fillId="0" borderId="1" xfId="0" applyFont="1" applyFill="1" applyBorder="1"/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0" xfId="0" applyNumberFormat="1" applyFont="1" applyFill="1" applyAlignment="1">
      <alignment vertical="center" wrapText="1"/>
    </xf>
    <xf numFmtId="165" fontId="30" fillId="0" borderId="0" xfId="0" applyNumberFormat="1" applyFont="1" applyFill="1" applyAlignment="1">
      <alignment horizontal="center" vertical="center" wrapText="1"/>
    </xf>
    <xf numFmtId="165" fontId="30" fillId="0" borderId="0" xfId="0" applyNumberFormat="1" applyFont="1" applyFill="1" applyAlignment="1">
      <alignment horizontal="right" vertical="center" wrapText="1"/>
    </xf>
    <xf numFmtId="165" fontId="29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0" xfId="0" applyNumberFormat="1" applyFont="1" applyFill="1" applyAlignment="1">
      <alignment vertical="center" wrapText="1"/>
    </xf>
    <xf numFmtId="3" fontId="30" fillId="0" borderId="0" xfId="0" applyNumberFormat="1" applyFont="1" applyFill="1" applyAlignment="1">
      <alignment horizontal="right" vertical="center" wrapText="1"/>
    </xf>
    <xf numFmtId="0" fontId="33" fillId="0" borderId="0" xfId="0" applyFont="1"/>
    <xf numFmtId="0" fontId="0" fillId="0" borderId="0" xfId="0" applyAlignment="1">
      <alignment wrapText="1"/>
    </xf>
    <xf numFmtId="0" fontId="36" fillId="0" borderId="0" xfId="0" applyFont="1"/>
    <xf numFmtId="3" fontId="38" fillId="0" borderId="37" xfId="0" applyNumberFormat="1" applyFont="1" applyBorder="1" applyAlignment="1">
      <alignment horizontal="center"/>
    </xf>
    <xf numFmtId="3" fontId="39" fillId="0" borderId="37" xfId="0" applyNumberFormat="1" applyFont="1" applyBorder="1" applyAlignment="1">
      <alignment horizontal="right"/>
    </xf>
    <xf numFmtId="0" fontId="34" fillId="0" borderId="34" xfId="0" applyFont="1" applyBorder="1" applyAlignment="1">
      <alignment horizontal="center" vertical="center"/>
    </xf>
    <xf numFmtId="0" fontId="33" fillId="0" borderId="25" xfId="0" applyFont="1" applyBorder="1"/>
    <xf numFmtId="0" fontId="34" fillId="0" borderId="39" xfId="0" applyFont="1" applyBorder="1" applyAlignment="1">
      <alignment horizontal="left" vertical="center"/>
    </xf>
    <xf numFmtId="0" fontId="36" fillId="0" borderId="40" xfId="0" applyFont="1" applyBorder="1"/>
    <xf numFmtId="3" fontId="36" fillId="0" borderId="40" xfId="0" applyNumberFormat="1" applyFont="1" applyBorder="1"/>
    <xf numFmtId="9" fontId="36" fillId="0" borderId="40" xfId="0" applyNumberFormat="1" applyFont="1" applyBorder="1"/>
    <xf numFmtId="3" fontId="36" fillId="0" borderId="40" xfId="0" applyNumberFormat="1" applyFont="1" applyBorder="1" applyAlignment="1">
      <alignment wrapText="1"/>
    </xf>
    <xf numFmtId="0" fontId="34" fillId="0" borderId="40" xfId="0" applyFont="1" applyBorder="1" applyAlignment="1">
      <alignment horizontal="left" vertical="center"/>
    </xf>
    <xf numFmtId="3" fontId="34" fillId="4" borderId="40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0" fontId="36" fillId="4" borderId="33" xfId="0" applyFont="1" applyFill="1" applyBorder="1"/>
    <xf numFmtId="3" fontId="36" fillId="4" borderId="33" xfId="0" applyNumberFormat="1" applyFont="1" applyFill="1" applyBorder="1"/>
    <xf numFmtId="0" fontId="36" fillId="4" borderId="0" xfId="0" applyFont="1" applyFill="1"/>
    <xf numFmtId="0" fontId="34" fillId="0" borderId="34" xfId="0" applyFont="1" applyBorder="1" applyAlignment="1">
      <alignment vertical="center"/>
    </xf>
    <xf numFmtId="3" fontId="34" fillId="0" borderId="34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3" fontId="34" fillId="0" borderId="41" xfId="0" applyNumberFormat="1" applyFont="1" applyBorder="1"/>
    <xf numFmtId="9" fontId="36" fillId="0" borderId="41" xfId="0" applyNumberFormat="1" applyFont="1" applyBorder="1"/>
    <xf numFmtId="0" fontId="36" fillId="0" borderId="41" xfId="0" applyFont="1" applyBorder="1"/>
    <xf numFmtId="0" fontId="33" fillId="0" borderId="37" xfId="0" applyFont="1" applyBorder="1"/>
    <xf numFmtId="9" fontId="36" fillId="0" borderId="37" xfId="0" applyNumberFormat="1" applyFont="1" applyBorder="1"/>
    <xf numFmtId="166" fontId="36" fillId="0" borderId="40" xfId="0" applyNumberFormat="1" applyFont="1" applyBorder="1"/>
    <xf numFmtId="166" fontId="36" fillId="0" borderId="0" xfId="0" applyNumberFormat="1" applyFont="1"/>
    <xf numFmtId="166" fontId="36" fillId="0" borderId="40" xfId="0" applyNumberFormat="1" applyFont="1" applyBorder="1" applyAlignment="1">
      <alignment horizontal="right"/>
    </xf>
    <xf numFmtId="166" fontId="34" fillId="0" borderId="40" xfId="0" applyNumberFormat="1" applyFont="1" applyBorder="1" applyAlignment="1">
      <alignment horizontal="center"/>
    </xf>
    <xf numFmtId="0" fontId="33" fillId="0" borderId="41" xfId="0" applyFont="1" applyBorder="1"/>
    <xf numFmtId="3" fontId="36" fillId="0" borderId="41" xfId="0" applyNumberFormat="1" applyFont="1" applyBorder="1"/>
    <xf numFmtId="3" fontId="36" fillId="0" borderId="0" xfId="0" applyNumberFormat="1" applyFont="1"/>
    <xf numFmtId="0" fontId="35" fillId="0" borderId="0" xfId="0" applyFont="1"/>
    <xf numFmtId="0" fontId="36" fillId="0" borderId="40" xfId="0" applyFont="1" applyBorder="1"/>
    <xf numFmtId="3" fontId="37" fillId="0" borderId="40" xfId="0" applyNumberFormat="1" applyFont="1" applyBorder="1"/>
    <xf numFmtId="3" fontId="36" fillId="0" borderId="40" xfId="0" applyNumberFormat="1" applyFont="1" applyBorder="1"/>
    <xf numFmtId="0" fontId="34" fillId="0" borderId="27" xfId="0" applyFont="1" applyBorder="1" applyAlignment="1">
      <alignment horizontal="center" vertical="center"/>
    </xf>
    <xf numFmtId="0" fontId="34" fillId="0" borderId="47" xfId="0" applyFont="1" applyBorder="1" applyAlignment="1">
      <alignment horizontal="left" vertical="center"/>
    </xf>
    <xf numFmtId="0" fontId="36" fillId="0" borderId="47" xfId="0" applyFont="1" applyBorder="1"/>
    <xf numFmtId="0" fontId="34" fillId="0" borderId="44" xfId="0" applyFont="1" applyBorder="1" applyAlignment="1">
      <alignment horizontal="left" vertical="center"/>
    </xf>
    <xf numFmtId="0" fontId="33" fillId="0" borderId="0" xfId="0" applyFont="1" applyBorder="1"/>
    <xf numFmtId="3" fontId="29" fillId="0" borderId="0" xfId="0" applyNumberFormat="1" applyFont="1" applyBorder="1"/>
    <xf numFmtId="3" fontId="30" fillId="0" borderId="11" xfId="0" applyNumberFormat="1" applyFont="1" applyBorder="1"/>
    <xf numFmtId="3" fontId="31" fillId="0" borderId="11" xfId="0" applyNumberFormat="1" applyFont="1" applyBorder="1"/>
    <xf numFmtId="0" fontId="31" fillId="0" borderId="11" xfId="0" applyFont="1" applyBorder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20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>
      <alignment vertical="center"/>
    </xf>
    <xf numFmtId="3" fontId="23" fillId="0" borderId="0" xfId="0" applyNumberFormat="1" applyFont="1" applyFill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43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 vertical="center" wrapText="1"/>
    </xf>
    <xf numFmtId="3" fontId="22" fillId="0" borderId="46" xfId="0" applyNumberFormat="1" applyFont="1" applyFill="1" applyBorder="1" applyAlignment="1">
      <alignment horizontal="center" vertical="center" wrapText="1"/>
    </xf>
    <xf numFmtId="3" fontId="22" fillId="0" borderId="52" xfId="0" applyNumberFormat="1" applyFont="1" applyFill="1" applyBorder="1" applyAlignment="1">
      <alignment horizontal="center" vertical="center" wrapText="1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3" fontId="22" fillId="0" borderId="35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0" xfId="0" applyNumberFormat="1" applyFont="1" applyFill="1" applyBorder="1" applyAlignment="1" applyProtection="1">
      <alignment horizontal="left" vertical="center" wrapText="1" indent="2"/>
    </xf>
    <xf numFmtId="3" fontId="15" fillId="0" borderId="40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0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4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5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4" fillId="0" borderId="40" xfId="0" applyNumberFormat="1" applyFont="1" applyFill="1" applyBorder="1" applyAlignment="1" applyProtection="1">
      <alignment vertical="center" wrapText="1"/>
      <protection locked="0"/>
    </xf>
    <xf numFmtId="3" fontId="24" fillId="0" borderId="8" xfId="0" applyNumberFormat="1" applyFont="1" applyFill="1" applyBorder="1" applyAlignment="1" applyProtection="1">
      <alignment vertical="center" wrapText="1"/>
      <protection locked="0"/>
    </xf>
    <xf numFmtId="3" fontId="24" fillId="0" borderId="1" xfId="0" applyNumberFormat="1" applyFont="1" applyFill="1" applyBorder="1" applyAlignment="1" applyProtection="1">
      <alignment vertical="center" wrapText="1"/>
      <protection locked="0"/>
    </xf>
    <xf numFmtId="3" fontId="24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5" fillId="2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0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8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0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0" xfId="0" applyNumberFormat="1" applyFont="1" applyFill="1" applyBorder="1" applyAlignment="1" applyProtection="1">
      <alignment vertical="center" wrapText="1"/>
      <protection locked="0"/>
    </xf>
    <xf numFmtId="3" fontId="0" fillId="0" borderId="40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0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7" fillId="0" borderId="0" xfId="0" applyNumberFormat="1" applyFont="1" applyFill="1" applyAlignment="1">
      <alignment vertical="center" wrapText="1"/>
    </xf>
    <xf numFmtId="3" fontId="15" fillId="0" borderId="49" xfId="0" applyNumberFormat="1" applyFont="1" applyFill="1" applyBorder="1" applyAlignment="1">
      <alignment horizontal="center" vertical="center" wrapText="1"/>
    </xf>
    <xf numFmtId="3" fontId="24" fillId="0" borderId="49" xfId="0" applyNumberFormat="1" applyFont="1" applyFill="1" applyBorder="1" applyAlignment="1" applyProtection="1">
      <alignment vertical="center" wrapText="1"/>
      <protection locked="0"/>
    </xf>
    <xf numFmtId="3" fontId="24" fillId="0" borderId="9" xfId="0" applyNumberFormat="1" applyFont="1" applyFill="1" applyBorder="1" applyAlignment="1" applyProtection="1">
      <alignment vertical="center" wrapText="1"/>
      <protection locked="0"/>
    </xf>
    <xf numFmtId="3" fontId="24" fillId="0" borderId="2" xfId="0" applyNumberFormat="1" applyFont="1" applyFill="1" applyBorder="1" applyAlignment="1" applyProtection="1">
      <alignment vertical="center" wrapText="1"/>
      <protection locked="0"/>
    </xf>
    <xf numFmtId="3" fontId="24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7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2" xfId="0" applyNumberFormat="1" applyFont="1" applyFill="1" applyBorder="1" applyAlignment="1" applyProtection="1">
      <alignment vertical="center" wrapText="1"/>
    </xf>
    <xf numFmtId="3" fontId="30" fillId="0" borderId="9" xfId="0" applyNumberFormat="1" applyFont="1" applyBorder="1"/>
    <xf numFmtId="9" fontId="36" fillId="0" borderId="47" xfId="0" applyNumberFormat="1" applyFont="1" applyBorder="1"/>
    <xf numFmtId="9" fontId="36" fillId="0" borderId="51" xfId="0" applyNumberFormat="1" applyFont="1" applyBorder="1"/>
    <xf numFmtId="0" fontId="7" fillId="0" borderId="0" xfId="0" applyFont="1" applyFill="1" applyAlignment="1">
      <alignment horizontal="center"/>
    </xf>
    <xf numFmtId="0" fontId="30" fillId="0" borderId="0" xfId="0" applyFont="1"/>
    <xf numFmtId="49" fontId="30" fillId="0" borderId="0" xfId="0" applyNumberFormat="1" applyFont="1"/>
    <xf numFmtId="49" fontId="30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3" fontId="0" fillId="0" borderId="0" xfId="0" applyNumberFormat="1" applyBorder="1"/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0" fillId="0" borderId="36" xfId="0" applyFont="1" applyBorder="1"/>
    <xf numFmtId="3" fontId="30" fillId="0" borderId="1" xfId="0" applyNumberFormat="1" applyFont="1" applyBorder="1" applyAlignment="1">
      <alignment vertical="center" wrapText="1"/>
    </xf>
    <xf numFmtId="3" fontId="5" fillId="0" borderId="40" xfId="0" applyNumberFormat="1" applyFont="1" applyBorder="1"/>
    <xf numFmtId="3" fontId="29" fillId="0" borderId="1" xfId="0" applyNumberFormat="1" applyFont="1" applyBorder="1" applyAlignment="1">
      <alignment vertical="center"/>
    </xf>
    <xf numFmtId="167" fontId="29" fillId="0" borderId="1" xfId="98" applyNumberFormat="1" applyFont="1" applyBorder="1"/>
    <xf numFmtId="167" fontId="29" fillId="0" borderId="2" xfId="98" applyNumberFormat="1" applyFont="1" applyBorder="1"/>
    <xf numFmtId="167" fontId="29" fillId="0" borderId="1" xfId="98" applyNumberFormat="1" applyFont="1" applyBorder="1" applyAlignment="1">
      <alignment horizontal="right"/>
    </xf>
    <xf numFmtId="167" fontId="29" fillId="0" borderId="2" xfId="98" applyNumberFormat="1" applyFont="1" applyBorder="1" applyAlignment="1">
      <alignment horizontal="right"/>
    </xf>
    <xf numFmtId="167" fontId="30" fillId="0" borderId="6" xfId="98" applyNumberFormat="1" applyFont="1" applyBorder="1"/>
    <xf numFmtId="167" fontId="30" fillId="0" borderId="5" xfId="98" applyNumberFormat="1" applyFont="1" applyBorder="1"/>
    <xf numFmtId="167" fontId="30" fillId="0" borderId="1" xfId="98" applyNumberFormat="1" applyFont="1" applyBorder="1"/>
    <xf numFmtId="167" fontId="30" fillId="0" borderId="4" xfId="98" applyNumberFormat="1" applyFont="1" applyBorder="1"/>
    <xf numFmtId="167" fontId="30" fillId="0" borderId="11" xfId="98" applyNumberFormat="1" applyFont="1" applyBorder="1"/>
    <xf numFmtId="167" fontId="29" fillId="0" borderId="13" xfId="98" applyNumberFormat="1" applyFont="1" applyBorder="1"/>
    <xf numFmtId="167" fontId="5" fillId="0" borderId="1" xfId="98" applyNumberFormat="1" applyFont="1" applyFill="1" applyBorder="1" applyAlignment="1">
      <alignment vertical="center"/>
    </xf>
    <xf numFmtId="167" fontId="5" fillId="0" borderId="1" xfId="98" quotePrefix="1" applyNumberFormat="1" applyFont="1" applyFill="1" applyBorder="1" applyAlignment="1">
      <alignment vertical="center"/>
    </xf>
    <xf numFmtId="167" fontId="3" fillId="0" borderId="1" xfId="98" applyNumberFormat="1" applyFont="1" applyFill="1" applyBorder="1" applyAlignment="1">
      <alignment vertical="center"/>
    </xf>
    <xf numFmtId="167" fontId="7" fillId="0" borderId="1" xfId="98" applyNumberFormat="1" applyFont="1" applyFill="1" applyBorder="1" applyAlignment="1">
      <alignment vertical="center"/>
    </xf>
    <xf numFmtId="167" fontId="5" fillId="0" borderId="1" xfId="98" applyNumberFormat="1" applyFont="1" applyFill="1" applyBorder="1"/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3" xfId="0" applyFont="1" applyBorder="1" applyAlignment="1">
      <alignment vertical="center"/>
    </xf>
    <xf numFmtId="3" fontId="5" fillId="0" borderId="74" xfId="0" applyNumberFormat="1" applyFont="1" applyBorder="1" applyAlignment="1">
      <alignment horizontal="right" vertical="center" wrapText="1"/>
    </xf>
    <xf numFmtId="3" fontId="5" fillId="0" borderId="87" xfId="0" applyNumberFormat="1" applyFont="1" applyBorder="1" applyAlignment="1">
      <alignment horizontal="right" vertical="center" wrapText="1"/>
    </xf>
    <xf numFmtId="0" fontId="5" fillId="0" borderId="75" xfId="0" applyFont="1" applyBorder="1" applyAlignment="1">
      <alignment vertical="center"/>
    </xf>
    <xf numFmtId="3" fontId="5" fillId="0" borderId="76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7" xfId="0" applyFont="1" applyBorder="1" applyAlignment="1">
      <alignment vertical="center"/>
    </xf>
    <xf numFmtId="3" fontId="5" fillId="0" borderId="78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17" fontId="5" fillId="0" borderId="77" xfId="0" applyNumberFormat="1" applyFont="1" applyFill="1" applyBorder="1" applyAlignment="1">
      <alignment vertical="center"/>
    </xf>
    <xf numFmtId="0" fontId="5" fillId="0" borderId="79" xfId="0" applyFont="1" applyFill="1" applyBorder="1" applyAlignment="1">
      <alignment vertical="center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72" xfId="0" applyFont="1" applyFill="1" applyBorder="1" applyAlignment="1">
      <alignment vertical="center"/>
    </xf>
    <xf numFmtId="3" fontId="5" fillId="0" borderId="9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0" fontId="5" fillId="0" borderId="73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5" fillId="0" borderId="75" xfId="0" applyFont="1" applyFill="1" applyBorder="1" applyAlignment="1">
      <alignment vertical="center"/>
    </xf>
    <xf numFmtId="3" fontId="5" fillId="0" borderId="76" xfId="0" applyNumberFormat="1" applyFont="1" applyFill="1" applyBorder="1" applyAlignment="1">
      <alignment horizontal="right" vertical="center" wrapText="1"/>
    </xf>
    <xf numFmtId="3" fontId="5" fillId="0" borderId="88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167" fontId="34" fillId="4" borderId="39" xfId="98" applyNumberFormat="1" applyFont="1" applyFill="1" applyBorder="1" applyAlignment="1">
      <alignment horizontal="center" vertical="center" wrapText="1"/>
    </xf>
    <xf numFmtId="167" fontId="34" fillId="4" borderId="40" xfId="98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 applyProtection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3" fontId="31" fillId="0" borderId="1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3" fontId="31" fillId="0" borderId="2" xfId="0" applyNumberFormat="1" applyFont="1" applyBorder="1" applyAlignment="1">
      <alignment vertical="center" wrapText="1"/>
    </xf>
    <xf numFmtId="3" fontId="29" fillId="0" borderId="13" xfId="0" applyNumberFormat="1" applyFont="1" applyBorder="1" applyAlignment="1">
      <alignment vertical="center" wrapText="1"/>
    </xf>
    <xf numFmtId="0" fontId="64" fillId="0" borderId="0" xfId="42" applyFont="1"/>
    <xf numFmtId="0" fontId="4" fillId="0" borderId="18" xfId="42" applyFont="1" applyBorder="1"/>
    <xf numFmtId="3" fontId="4" fillId="0" borderId="8" xfId="42" applyNumberFormat="1" applyFont="1" applyBorder="1"/>
    <xf numFmtId="3" fontId="4" fillId="0" borderId="1" xfId="42" applyNumberFormat="1" applyFont="1" applyBorder="1"/>
    <xf numFmtId="3" fontId="4" fillId="0" borderId="19" xfId="42" applyNumberFormat="1" applyFont="1" applyBorder="1"/>
    <xf numFmtId="0" fontId="2" fillId="0" borderId="20" xfId="42" applyFont="1" applyBorder="1"/>
    <xf numFmtId="3" fontId="2" fillId="0" borderId="38" xfId="42" applyNumberFormat="1" applyFont="1" applyBorder="1"/>
    <xf numFmtId="0" fontId="2" fillId="0" borderId="0" xfId="42" applyFont="1" applyBorder="1"/>
    <xf numFmtId="3" fontId="2" fillId="0" borderId="0" xfId="42" applyNumberFormat="1" applyFont="1" applyBorder="1"/>
    <xf numFmtId="0" fontId="4" fillId="0" borderId="0" xfId="42" applyFont="1"/>
    <xf numFmtId="3" fontId="4" fillId="0" borderId="0" xfId="42" applyNumberFormat="1" applyFont="1"/>
    <xf numFmtId="0" fontId="4" fillId="0" borderId="0" xfId="42" applyFont="1" applyBorder="1"/>
    <xf numFmtId="3" fontId="4" fillId="0" borderId="0" xfId="42" applyNumberFormat="1" applyFont="1" applyBorder="1"/>
    <xf numFmtId="0" fontId="4" fillId="0" borderId="18" xfId="42" applyFont="1" applyBorder="1" applyAlignment="1">
      <alignment horizontal="left"/>
    </xf>
    <xf numFmtId="3" fontId="4" fillId="0" borderId="8" xfId="42" applyNumberFormat="1" applyFont="1" applyBorder="1" applyAlignment="1">
      <alignment horizontal="right"/>
    </xf>
    <xf numFmtId="3" fontId="4" fillId="0" borderId="1" xfId="42" applyNumberFormat="1" applyFont="1" applyBorder="1" applyAlignment="1">
      <alignment horizontal="right"/>
    </xf>
    <xf numFmtId="3" fontId="2" fillId="0" borderId="38" xfId="42" applyNumberFormat="1" applyFont="1" applyBorder="1" applyAlignment="1">
      <alignment horizontal="right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Fill="1" applyBorder="1"/>
    <xf numFmtId="3" fontId="5" fillId="0" borderId="1" xfId="50" applyNumberFormat="1" applyFont="1" applyBorder="1"/>
    <xf numFmtId="0" fontId="5" fillId="0" borderId="8" xfId="50" applyFont="1" applyBorder="1"/>
    <xf numFmtId="0" fontId="3" fillId="0" borderId="20" xfId="50" applyFont="1" applyBorder="1"/>
    <xf numFmtId="3" fontId="3" fillId="0" borderId="38" xfId="50" applyNumberFormat="1" applyFont="1" applyBorder="1"/>
    <xf numFmtId="0" fontId="5" fillId="0" borderId="23" xfId="50" applyFont="1" applyBorder="1"/>
    <xf numFmtId="3" fontId="5" fillId="0" borderId="2" xfId="50" applyNumberFormat="1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5" fillId="0" borderId="0" xfId="0" applyFont="1" applyFill="1"/>
    <xf numFmtId="0" fontId="64" fillId="0" borderId="0" xfId="42" applyFont="1" applyAlignment="1">
      <alignment wrapText="1"/>
    </xf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4" xfId="1" applyFont="1" applyFill="1" applyBorder="1" applyAlignment="1">
      <alignment horizontal="right" vertical="center"/>
    </xf>
    <xf numFmtId="0" fontId="4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/>
    </xf>
    <xf numFmtId="0" fontId="2" fillId="0" borderId="47" xfId="1" applyFont="1" applyFill="1" applyBorder="1" applyAlignment="1">
      <alignment horizontal="right" vertical="center" wrapText="1"/>
    </xf>
    <xf numFmtId="0" fontId="2" fillId="0" borderId="51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3" fillId="0" borderId="33" xfId="98" applyNumberFormat="1" applyFont="1" applyFill="1" applyBorder="1" applyAlignment="1">
      <alignment horizontal="center" vertical="center" wrapText="1"/>
    </xf>
    <xf numFmtId="0" fontId="19" fillId="0" borderId="37" xfId="50" applyFont="1" applyBorder="1" applyAlignment="1">
      <alignment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7" fontId="29" fillId="0" borderId="1" xfId="98" applyNumberFormat="1" applyFont="1" applyFill="1" applyBorder="1" applyAlignment="1">
      <alignment horizontal="right"/>
    </xf>
    <xf numFmtId="3" fontId="30" fillId="0" borderId="1" xfId="0" applyNumberFormat="1" applyFont="1" applyFill="1" applyBorder="1"/>
    <xf numFmtId="0" fontId="36" fillId="0" borderId="0" xfId="0" applyFont="1" applyBorder="1"/>
    <xf numFmtId="3" fontId="36" fillId="0" borderId="0" xfId="0" applyNumberFormat="1" applyFont="1" applyBorder="1"/>
    <xf numFmtId="0" fontId="34" fillId="0" borderId="48" xfId="0" applyFont="1" applyBorder="1" applyAlignment="1">
      <alignment vertical="center"/>
    </xf>
    <xf numFmtId="167" fontId="34" fillId="4" borderId="49" xfId="98" applyNumberFormat="1" applyFont="1" applyFill="1" applyBorder="1" applyAlignment="1">
      <alignment horizontal="center" vertical="center" wrapText="1"/>
    </xf>
    <xf numFmtId="3" fontId="34" fillId="4" borderId="27" xfId="0" applyNumberFormat="1" applyFont="1" applyFill="1" applyBorder="1" applyAlignment="1">
      <alignment horizontal="center" vertical="center"/>
    </xf>
    <xf numFmtId="3" fontId="34" fillId="4" borderId="34" xfId="0" applyNumberFormat="1" applyFont="1" applyFill="1" applyBorder="1" applyAlignment="1">
      <alignment vertical="center"/>
    </xf>
    <xf numFmtId="0" fontId="37" fillId="0" borderId="47" xfId="0" applyFont="1" applyBorder="1"/>
    <xf numFmtId="0" fontId="34" fillId="0" borderId="27" xfId="0" applyFont="1" applyBorder="1" applyAlignment="1">
      <alignment vertical="center"/>
    </xf>
    <xf numFmtId="0" fontId="36" fillId="0" borderId="44" xfId="0" applyFont="1" applyBorder="1"/>
    <xf numFmtId="3" fontId="36" fillId="0" borderId="46" xfId="0" applyNumberFormat="1" applyFont="1" applyBorder="1"/>
    <xf numFmtId="3" fontId="5" fillId="0" borderId="8" xfId="50" applyNumberFormat="1" applyFont="1" applyFill="1" applyBorder="1"/>
    <xf numFmtId="0" fontId="30" fillId="0" borderId="0" xfId="0" applyFont="1" applyAlignment="1">
      <alignment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vertical="center" wrapText="1"/>
    </xf>
    <xf numFmtId="3" fontId="3" fillId="0" borderId="94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82" xfId="0" applyFont="1" applyBorder="1" applyAlignment="1">
      <alignment vertical="center"/>
    </xf>
    <xf numFmtId="49" fontId="29" fillId="0" borderId="0" xfId="0" applyNumberFormat="1" applyFont="1" applyBorder="1" applyAlignment="1">
      <alignment horizontal="center" vertical="center"/>
    </xf>
    <xf numFmtId="3" fontId="29" fillId="0" borderId="0" xfId="0" applyNumberFormat="1" applyFont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 wrapText="1"/>
    </xf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2" xfId="0" applyFont="1" applyFill="1" applyBorder="1" applyAlignment="1">
      <alignment vertical="center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3" fontId="7" fillId="0" borderId="76" xfId="0" applyNumberFormat="1" applyFont="1" applyBorder="1" applyAlignment="1">
      <alignment horizontal="right" vertical="center" wrapText="1"/>
    </xf>
    <xf numFmtId="3" fontId="7" fillId="0" borderId="88" xfId="0" applyNumberFormat="1" applyFont="1" applyBorder="1" applyAlignment="1">
      <alignment horizontal="right" vertical="center" wrapText="1"/>
    </xf>
    <xf numFmtId="3" fontId="5" fillId="0" borderId="1" xfId="42" applyNumberFormat="1" applyFont="1" applyBorder="1"/>
    <xf numFmtId="3" fontId="5" fillId="0" borderId="19" xfId="42" applyNumberFormat="1" applyFont="1" applyBorder="1"/>
    <xf numFmtId="0" fontId="5" fillId="0" borderId="23" xfId="42" applyFont="1" applyBorder="1"/>
    <xf numFmtId="3" fontId="5" fillId="0" borderId="9" xfId="42" applyNumberFormat="1" applyFont="1" applyBorder="1"/>
    <xf numFmtId="3" fontId="5" fillId="0" borderId="2" xfId="42" applyNumberFormat="1" applyFont="1" applyBorder="1"/>
    <xf numFmtId="3" fontId="5" fillId="0" borderId="24" xfId="42" applyNumberFormat="1" applyFont="1" applyBorder="1"/>
    <xf numFmtId="0" fontId="3" fillId="0" borderId="20" xfId="42" applyFont="1" applyBorder="1"/>
    <xf numFmtId="3" fontId="3" fillId="0" borderId="38" xfId="42" applyNumberFormat="1" applyFont="1" applyBorder="1"/>
    <xf numFmtId="0" fontId="4" fillId="0" borderId="23" xfId="42" applyFont="1" applyBorder="1"/>
    <xf numFmtId="3" fontId="4" fillId="0" borderId="9" xfId="42" applyNumberFormat="1" applyFont="1" applyBorder="1"/>
    <xf numFmtId="165" fontId="30" fillId="0" borderId="18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right" vertical="center"/>
    </xf>
    <xf numFmtId="3" fontId="29" fillId="0" borderId="19" xfId="0" applyNumberFormat="1" applyFont="1" applyBorder="1"/>
    <xf numFmtId="0" fontId="2" fillId="0" borderId="25" xfId="1" applyFont="1" applyFill="1" applyBorder="1" applyAlignment="1">
      <alignment horizontal="right" vertical="center"/>
    </xf>
    <xf numFmtId="0" fontId="4" fillId="0" borderId="18" xfId="1" applyFont="1" applyFill="1" applyBorder="1" applyAlignment="1">
      <alignment horizontal="right" vertical="center"/>
    </xf>
    <xf numFmtId="3" fontId="30" fillId="0" borderId="19" xfId="0" applyNumberFormat="1" applyFont="1" applyBorder="1"/>
    <xf numFmtId="3" fontId="5" fillId="0" borderId="1" xfId="0" applyNumberFormat="1" applyFont="1" applyFill="1" applyBorder="1" applyAlignment="1">
      <alignment vertical="center" wrapText="1"/>
    </xf>
    <xf numFmtId="3" fontId="30" fillId="0" borderId="1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 applyProtection="1">
      <alignment vertical="center" wrapText="1"/>
      <protection locked="0"/>
    </xf>
    <xf numFmtId="165" fontId="30" fillId="0" borderId="23" xfId="0" applyNumberFormat="1" applyFont="1" applyFill="1" applyBorder="1" applyAlignment="1">
      <alignment horizontal="center" vertical="center" wrapText="1"/>
    </xf>
    <xf numFmtId="165" fontId="30" fillId="0" borderId="31" xfId="0" applyNumberFormat="1" applyFont="1" applyFill="1" applyBorder="1" applyAlignment="1">
      <alignment horizontal="center" vertical="center" wrapText="1"/>
    </xf>
    <xf numFmtId="165" fontId="30" fillId="0" borderId="12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 applyProtection="1">
      <alignment vertical="center" wrapText="1"/>
      <protection locked="0"/>
    </xf>
    <xf numFmtId="3" fontId="3" fillId="0" borderId="7" xfId="0" applyNumberFormat="1" applyFont="1" applyFill="1" applyBorder="1" applyAlignment="1" applyProtection="1">
      <alignment vertical="center" wrapText="1"/>
      <protection locked="0"/>
    </xf>
    <xf numFmtId="165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3" fontId="31" fillId="0" borderId="4" xfId="0" applyNumberFormat="1" applyFont="1" applyBorder="1"/>
    <xf numFmtId="165" fontId="3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165" fontId="30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vertical="center" wrapText="1"/>
      <protection locked="0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165" fontId="30" fillId="0" borderId="15" xfId="0" applyNumberFormat="1" applyFont="1" applyFill="1" applyBorder="1" applyAlignment="1">
      <alignment horizontal="center" vertical="center" wrapText="1"/>
    </xf>
    <xf numFmtId="165" fontId="8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vertical="center" wrapTex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20" xfId="0" applyNumberFormat="1" applyFont="1" applyFill="1" applyBorder="1" applyAlignment="1">
      <alignment horizontal="center" vertical="center" wrapText="1"/>
    </xf>
    <xf numFmtId="165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vertical="center" wrapText="1"/>
      <protection locked="0"/>
    </xf>
    <xf numFmtId="3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82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vertical="center" wrapText="1"/>
      <protection locked="0"/>
    </xf>
    <xf numFmtId="165" fontId="3" fillId="0" borderId="16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vertical="center" wrapText="1"/>
      <protection locked="0"/>
    </xf>
    <xf numFmtId="165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92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Fill="1" applyBorder="1" applyAlignment="1">
      <alignment horizontal="center" vertical="center" wrapText="1"/>
    </xf>
    <xf numFmtId="165" fontId="30" fillId="0" borderId="16" xfId="0" applyNumberFormat="1" applyFont="1" applyFill="1" applyBorder="1" applyAlignment="1" applyProtection="1">
      <alignment vertical="center" wrapText="1"/>
      <protection locked="0"/>
    </xf>
    <xf numFmtId="3" fontId="5" fillId="0" borderId="21" xfId="0" applyNumberFormat="1" applyFont="1" applyFill="1" applyBorder="1" applyAlignment="1" applyProtection="1">
      <alignment vertical="center" wrapText="1"/>
      <protection locked="0"/>
    </xf>
    <xf numFmtId="165" fontId="30" fillId="0" borderId="5" xfId="0" applyNumberFormat="1" applyFont="1" applyFill="1" applyBorder="1" applyAlignment="1">
      <alignment vertical="center" wrapText="1"/>
    </xf>
    <xf numFmtId="165" fontId="30" fillId="0" borderId="5" xfId="0" applyNumberFormat="1" applyFont="1" applyFill="1" applyBorder="1" applyAlignment="1">
      <alignment horizontal="right" vertical="center" wrapText="1"/>
    </xf>
    <xf numFmtId="165" fontId="5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42" applyFont="1" applyBorder="1" applyAlignment="1">
      <alignment horizontal="center" wrapText="1"/>
    </xf>
    <xf numFmtId="0" fontId="2" fillId="0" borderId="31" xfId="42" applyFont="1" applyBorder="1" applyAlignment="1">
      <alignment horizontal="center" wrapText="1"/>
    </xf>
    <xf numFmtId="0" fontId="4" fillId="0" borderId="20" xfId="42" applyFont="1" applyBorder="1"/>
    <xf numFmtId="0" fontId="4" fillId="0" borderId="38" xfId="42" applyFont="1" applyBorder="1"/>
    <xf numFmtId="0" fontId="4" fillId="0" borderId="21" xfId="42" applyFont="1" applyBorder="1"/>
    <xf numFmtId="0" fontId="4" fillId="0" borderId="22" xfId="42" applyFont="1" applyBorder="1"/>
    <xf numFmtId="0" fontId="2" fillId="0" borderId="96" xfId="42" applyFont="1" applyBorder="1" applyAlignment="1">
      <alignment horizontal="center"/>
    </xf>
    <xf numFmtId="0" fontId="2" fillId="0" borderId="37" xfId="42" applyFont="1" applyBorder="1" applyAlignment="1">
      <alignment horizontal="center"/>
    </xf>
    <xf numFmtId="0" fontId="2" fillId="0" borderId="97" xfId="42" applyFont="1" applyBorder="1" applyAlignment="1">
      <alignment horizontal="center"/>
    </xf>
    <xf numFmtId="0" fontId="5" fillId="0" borderId="18" xfId="42" applyFont="1" applyBorder="1"/>
    <xf numFmtId="0" fontId="5" fillId="0" borderId="15" xfId="50" applyFont="1" applyBorder="1"/>
    <xf numFmtId="3" fontId="5" fillId="0" borderId="16" xfId="50" applyNumberFormat="1" applyFont="1" applyBorder="1"/>
    <xf numFmtId="0" fontId="3" fillId="0" borderId="39" xfId="50" applyFont="1" applyBorder="1" applyAlignment="1">
      <alignment horizontal="center" vertical="center" wrapText="1"/>
    </xf>
    <xf numFmtId="0" fontId="5" fillId="0" borderId="40" xfId="50" applyFont="1" applyBorder="1"/>
    <xf numFmtId="0" fontId="3" fillId="0" borderId="40" xfId="50" applyFont="1" applyBorder="1"/>
    <xf numFmtId="0" fontId="3" fillId="0" borderId="33" xfId="50" applyFont="1" applyBorder="1"/>
    <xf numFmtId="3" fontId="29" fillId="0" borderId="8" xfId="0" applyNumberFormat="1" applyFont="1" applyBorder="1"/>
    <xf numFmtId="3" fontId="29" fillId="0" borderId="26" xfId="0" applyNumberFormat="1" applyFont="1" applyBorder="1"/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0" fontId="33" fillId="0" borderId="6" xfId="0" applyFont="1" applyFill="1" applyBorder="1" applyAlignment="1">
      <alignment horizontal="right"/>
    </xf>
    <xf numFmtId="0" fontId="33" fillId="0" borderId="6" xfId="0" applyFont="1" applyFill="1" applyBorder="1" applyAlignment="1">
      <alignment horizontal="left"/>
    </xf>
    <xf numFmtId="0" fontId="33" fillId="0" borderId="6" xfId="0" applyFont="1" applyFill="1" applyBorder="1"/>
    <xf numFmtId="0" fontId="0" fillId="0" borderId="0" xfId="0" applyFill="1" applyAlignment="1">
      <alignment wrapText="1"/>
    </xf>
    <xf numFmtId="0" fontId="35" fillId="0" borderId="0" xfId="0" applyFont="1" applyFill="1" applyAlignment="1">
      <alignment horizontal="center" vertical="center" wrapText="1"/>
    </xf>
    <xf numFmtId="0" fontId="36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8" fillId="0" borderId="0" xfId="0" applyFont="1" applyFill="1" applyAlignment="1">
      <alignment wrapText="1"/>
    </xf>
    <xf numFmtId="0" fontId="35" fillId="0" borderId="0" xfId="0" applyFont="1" applyFill="1"/>
    <xf numFmtId="0" fontId="34" fillId="0" borderId="3" xfId="0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7" fillId="0" borderId="3" xfId="0" applyFont="1" applyFill="1" applyBorder="1" applyAlignment="1">
      <alignment horizontal="left"/>
    </xf>
    <xf numFmtId="1" fontId="37" fillId="0" borderId="8" xfId="0" applyNumberFormat="1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/>
    </xf>
    <xf numFmtId="1" fontId="37" fillId="0" borderId="1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7" fillId="0" borderId="8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3" fontId="34" fillId="0" borderId="13" xfId="98" applyNumberFormat="1" applyFont="1" applyFill="1" applyBorder="1" applyAlignment="1">
      <alignment horizontal="right" vertical="center"/>
    </xf>
    <xf numFmtId="3" fontId="34" fillId="0" borderId="14" xfId="98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36" fillId="0" borderId="0" xfId="0" applyFont="1" applyFill="1" applyAlignment="1">
      <alignment horizontal="right"/>
    </xf>
    <xf numFmtId="0" fontId="36" fillId="0" borderId="0" xfId="0" applyFont="1" applyFill="1" applyAlignment="1">
      <alignment horizontal="left"/>
    </xf>
    <xf numFmtId="0" fontId="36" fillId="0" borderId="0" xfId="0" applyFont="1" applyFill="1"/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1" fillId="0" borderId="18" xfId="0" applyNumberFormat="1" applyFont="1" applyBorder="1" applyAlignment="1">
      <alignment vertical="center" wrapText="1"/>
    </xf>
    <xf numFmtId="49" fontId="31" fillId="0" borderId="23" xfId="0" applyNumberFormat="1" applyFont="1" applyBorder="1" applyAlignment="1">
      <alignment vertical="center" wrapText="1"/>
    </xf>
    <xf numFmtId="3" fontId="30" fillId="0" borderId="0" xfId="0" applyNumberFormat="1" applyFont="1" applyFill="1" applyBorder="1"/>
    <xf numFmtId="0" fontId="6" fillId="0" borderId="2" xfId="1" applyFont="1" applyFill="1" applyBorder="1" applyAlignment="1">
      <alignment horizontal="left" vertical="center" wrapText="1" indent="2"/>
    </xf>
    <xf numFmtId="9" fontId="36" fillId="0" borderId="0" xfId="0" applyNumberFormat="1" applyFont="1" applyBorder="1"/>
    <xf numFmtId="167" fontId="34" fillId="4" borderId="46" xfId="98" applyNumberFormat="1" applyFont="1" applyFill="1" applyBorder="1" applyAlignment="1">
      <alignment horizontal="center" vertical="center" wrapText="1"/>
    </xf>
    <xf numFmtId="3" fontId="33" fillId="0" borderId="0" xfId="0" applyNumberFormat="1" applyFont="1"/>
    <xf numFmtId="166" fontId="33" fillId="0" borderId="0" xfId="0" applyNumberFormat="1" applyFont="1"/>
    <xf numFmtId="3" fontId="5" fillId="0" borderId="87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5" fillId="0" borderId="74" xfId="0" applyNumberFormat="1" applyFont="1" applyFill="1" applyBorder="1" applyAlignment="1">
      <alignment horizontal="right" vertical="center" wrapText="1"/>
    </xf>
    <xf numFmtId="3" fontId="5" fillId="0" borderId="78" xfId="0" applyNumberFormat="1" applyFont="1" applyFill="1" applyBorder="1" applyAlignment="1">
      <alignment horizontal="right" vertical="center" wrapText="1"/>
    </xf>
    <xf numFmtId="3" fontId="5" fillId="0" borderId="80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3" fontId="5" fillId="0" borderId="81" xfId="0" applyNumberFormat="1" applyFont="1" applyFill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3" fontId="5" fillId="0" borderId="21" xfId="0" applyNumberFormat="1" applyFont="1" applyBorder="1" applyAlignment="1">
      <alignment horizontal="right" vertical="center" wrapText="1"/>
    </xf>
    <xf numFmtId="0" fontId="30" fillId="0" borderId="0" xfId="0" applyFont="1" applyFill="1" applyBorder="1"/>
    <xf numFmtId="0" fontId="69" fillId="0" borderId="0" xfId="0" applyFont="1"/>
    <xf numFmtId="49" fontId="3" fillId="0" borderId="1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/>
    </xf>
    <xf numFmtId="0" fontId="69" fillId="0" borderId="1" xfId="0" applyFont="1" applyFill="1" applyBorder="1"/>
    <xf numFmtId="0" fontId="3" fillId="0" borderId="20" xfId="0" applyNumberFormat="1" applyFont="1" applyFill="1" applyBorder="1" applyAlignment="1">
      <alignment horizontal="center"/>
    </xf>
    <xf numFmtId="0" fontId="3" fillId="0" borderId="32" xfId="0" applyFont="1" applyFill="1" applyBorder="1"/>
    <xf numFmtId="3" fontId="5" fillId="0" borderId="1" xfId="0" applyNumberFormat="1" applyFont="1" applyBorder="1" applyAlignment="1">
      <alignment vertical="center" wrapText="1"/>
    </xf>
    <xf numFmtId="0" fontId="3" fillId="0" borderId="3" xfId="0" applyFont="1" applyFill="1" applyBorder="1" applyAlignment="1">
      <alignment horizontal="center"/>
    </xf>
    <xf numFmtId="3" fontId="8" fillId="0" borderId="1" xfId="0" applyNumberFormat="1" applyFont="1" applyFill="1" applyBorder="1" applyAlignment="1" applyProtection="1">
      <alignment vertical="center" wrapText="1"/>
      <protection locked="0"/>
    </xf>
    <xf numFmtId="3" fontId="70" fillId="0" borderId="1" xfId="0" applyNumberFormat="1" applyFont="1" applyFill="1" applyBorder="1" applyAlignment="1" applyProtection="1">
      <alignment vertical="center" wrapText="1"/>
      <protection locked="0"/>
    </xf>
    <xf numFmtId="3" fontId="3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" xfId="3" applyNumberFormat="1" applyFont="1" applyFill="1" applyBorder="1" applyAlignment="1" applyProtection="1">
      <alignment vertical="center"/>
    </xf>
    <xf numFmtId="165" fontId="31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0" fontId="69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32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 vertical="center" wrapText="1"/>
    </xf>
    <xf numFmtId="0" fontId="3" fillId="0" borderId="40" xfId="0" applyFont="1" applyFill="1" applyBorder="1"/>
    <xf numFmtId="0" fontId="69" fillId="0" borderId="40" xfId="0" applyFont="1" applyFill="1" applyBorder="1"/>
    <xf numFmtId="0" fontId="3" fillId="0" borderId="40" xfId="0" applyFont="1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right"/>
    </xf>
    <xf numFmtId="0" fontId="64" fillId="0" borderId="37" xfId="42" applyFont="1" applyBorder="1" applyAlignment="1">
      <alignment horizontal="right"/>
    </xf>
    <xf numFmtId="0" fontId="5" fillId="0" borderId="0" xfId="50" applyFont="1" applyBorder="1" applyAlignment="1">
      <alignment horizontal="right"/>
    </xf>
    <xf numFmtId="3" fontId="2" fillId="0" borderId="53" xfId="42" applyNumberFormat="1" applyFont="1" applyBorder="1"/>
    <xf numFmtId="3" fontId="4" fillId="0" borderId="19" xfId="42" applyNumberFormat="1" applyFont="1" applyBorder="1" applyAlignment="1">
      <alignment horizontal="right"/>
    </xf>
    <xf numFmtId="3" fontId="2" fillId="0" borderId="53" xfId="42" applyNumberFormat="1" applyFont="1" applyBorder="1" applyAlignment="1">
      <alignment horizontal="right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29" fillId="0" borderId="18" xfId="98" applyNumberFormat="1" applyFont="1" applyFill="1" applyBorder="1"/>
    <xf numFmtId="3" fontId="29" fillId="0" borderId="1" xfId="98" applyNumberFormat="1" applyFont="1" applyFill="1" applyBorder="1"/>
    <xf numFmtId="3" fontId="29" fillId="0" borderId="19" xfId="98" applyNumberFormat="1" applyFont="1" applyFill="1" applyBorder="1"/>
    <xf numFmtId="3" fontId="29" fillId="0" borderId="8" xfId="98" applyNumberFormat="1" applyFont="1" applyFill="1" applyBorder="1"/>
    <xf numFmtId="3" fontId="30" fillId="0" borderId="25" xfId="98" applyNumberFormat="1" applyFont="1" applyFill="1" applyBorder="1"/>
    <xf numFmtId="3" fontId="30" fillId="0" borderId="0" xfId="98" applyNumberFormat="1" applyFont="1" applyFill="1" applyBorder="1"/>
    <xf numFmtId="3" fontId="30" fillId="0" borderId="26" xfId="98" applyNumberFormat="1" applyFont="1" applyFill="1" applyBorder="1"/>
    <xf numFmtId="3" fontId="30" fillId="0" borderId="18" xfId="98" applyNumberFormat="1" applyFont="1" applyFill="1" applyBorder="1"/>
    <xf numFmtId="3" fontId="30" fillId="0" borderId="1" xfId="98" applyNumberFormat="1" applyFont="1" applyFill="1" applyBorder="1"/>
    <xf numFmtId="3" fontId="30" fillId="0" borderId="19" xfId="98" applyNumberFormat="1" applyFont="1" applyFill="1" applyBorder="1"/>
    <xf numFmtId="3" fontId="30" fillId="0" borderId="8" xfId="98" applyNumberFormat="1" applyFont="1" applyFill="1" applyBorder="1"/>
    <xf numFmtId="167" fontId="34" fillId="0" borderId="1" xfId="98" applyNumberFormat="1" applyFont="1" applyFill="1" applyBorder="1" applyAlignment="1">
      <alignment horizontal="right" vertical="center"/>
    </xf>
    <xf numFmtId="167" fontId="28" fillId="0" borderId="0" xfId="98" applyNumberFormat="1" applyFont="1" applyFill="1" applyAlignment="1">
      <alignment wrapText="1"/>
    </xf>
    <xf numFmtId="167" fontId="30" fillId="0" borderId="0" xfId="98" applyNumberFormat="1" applyFont="1" applyBorder="1"/>
    <xf numFmtId="0" fontId="5" fillId="0" borderId="0" xfId="43" applyFont="1" applyFill="1"/>
    <xf numFmtId="0" fontId="5" fillId="0" borderId="0" xfId="43" applyFont="1"/>
    <xf numFmtId="0" fontId="73" fillId="0" borderId="0" xfId="43" applyFont="1"/>
    <xf numFmtId="0" fontId="5" fillId="0" borderId="1" xfId="43" applyFont="1" applyFill="1" applyBorder="1" applyAlignment="1">
      <alignment horizontal="right" wrapText="1"/>
    </xf>
    <xf numFmtId="167" fontId="5" fillId="0" borderId="1" xfId="98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 wrapText="1"/>
    </xf>
    <xf numFmtId="3" fontId="3" fillId="0" borderId="1" xfId="43" applyNumberFormat="1" applyFont="1" applyFill="1" applyBorder="1" applyAlignment="1">
      <alignment horizontal="right" wrapText="1"/>
    </xf>
    <xf numFmtId="0" fontId="30" fillId="21" borderId="1" xfId="0" applyFont="1" applyFill="1" applyBorder="1" applyAlignment="1" applyProtection="1"/>
    <xf numFmtId="0" fontId="30" fillId="21" borderId="1" xfId="0" applyFont="1" applyFill="1" applyBorder="1" applyAlignment="1" applyProtection="1">
      <alignment wrapText="1"/>
    </xf>
    <xf numFmtId="3" fontId="5" fillId="0" borderId="1" xfId="43" applyNumberFormat="1" applyFont="1" applyBorder="1" applyAlignment="1">
      <alignment horizontal="right"/>
    </xf>
    <xf numFmtId="0" fontId="3" fillId="0" borderId="21" xfId="43" applyFont="1" applyFill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0" fontId="5" fillId="0" borderId="0" xfId="43" applyFont="1" applyAlignment="1">
      <alignment horizontal="center" vertical="center"/>
    </xf>
    <xf numFmtId="0" fontId="73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2" borderId="1" xfId="43" applyNumberFormat="1" applyFont="1" applyFill="1" applyBorder="1"/>
    <xf numFmtId="3" fontId="5" fillId="0" borderId="1" xfId="43" applyNumberFormat="1" applyFont="1" applyFill="1" applyBorder="1"/>
    <xf numFmtId="3" fontId="3" fillId="33" borderId="19" xfId="43" applyNumberFormat="1" applyFont="1" applyFill="1" applyBorder="1"/>
    <xf numFmtId="0" fontId="5" fillId="0" borderId="20" xfId="43" applyFont="1" applyBorder="1"/>
    <xf numFmtId="0" fontId="29" fillId="21" borderId="21" xfId="0" applyFont="1" applyFill="1" applyBorder="1" applyAlignment="1" applyProtection="1"/>
    <xf numFmtId="3" fontId="3" fillId="0" borderId="21" xfId="43" applyNumberFormat="1" applyFont="1" applyBorder="1"/>
    <xf numFmtId="3" fontId="3" fillId="32" borderId="21" xfId="43" applyNumberFormat="1" applyFont="1" applyFill="1" applyBorder="1"/>
    <xf numFmtId="3" fontId="3" fillId="33" borderId="22" xfId="43" applyNumberFormat="1" applyFont="1" applyFill="1" applyBorder="1"/>
    <xf numFmtId="0" fontId="3" fillId="0" borderId="1" xfId="43" applyFont="1" applyBorder="1"/>
    <xf numFmtId="3" fontId="3" fillId="0" borderId="1" xfId="43" applyNumberFormat="1" applyFont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3" fillId="34" borderId="21" xfId="43" applyFont="1" applyFill="1" applyBorder="1"/>
    <xf numFmtId="3" fontId="3" fillId="34" borderId="21" xfId="43" applyNumberFormat="1" applyFont="1" applyFill="1" applyBorder="1"/>
    <xf numFmtId="3" fontId="3" fillId="34" borderId="22" xfId="43" applyNumberFormat="1" applyFont="1" applyFill="1" applyBorder="1"/>
    <xf numFmtId="49" fontId="5" fillId="0" borderId="0" xfId="43" applyNumberFormat="1" applyFont="1"/>
    <xf numFmtId="0" fontId="30" fillId="21" borderId="1" xfId="0" applyFont="1" applyFill="1" applyBorder="1" applyAlignment="1" applyProtection="1">
      <alignment vertical="center" wrapText="1"/>
    </xf>
    <xf numFmtId="0" fontId="5" fillId="0" borderId="1" xfId="43" applyFont="1" applyBorder="1" applyAlignment="1">
      <alignment vertical="center"/>
    </xf>
    <xf numFmtId="3" fontId="5" fillId="0" borderId="1" xfId="43" applyNumberFormat="1" applyFont="1" applyBorder="1" applyAlignment="1">
      <alignment vertical="center"/>
    </xf>
    <xf numFmtId="3" fontId="3" fillId="32" borderId="1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vertical="center"/>
    </xf>
    <xf numFmtId="3" fontId="3" fillId="33" borderId="19" xfId="43" applyNumberFormat="1" applyFont="1" applyFill="1" applyBorder="1" applyAlignment="1">
      <alignment vertical="center"/>
    </xf>
    <xf numFmtId="0" fontId="5" fillId="0" borderId="0" xfId="43" applyFont="1" applyAlignment="1">
      <alignment vertical="center"/>
    </xf>
    <xf numFmtId="0" fontId="30" fillId="21" borderId="1" xfId="0" applyFont="1" applyFill="1" applyBorder="1" applyAlignment="1" applyProtection="1">
      <alignment vertical="center"/>
    </xf>
    <xf numFmtId="3" fontId="5" fillId="0" borderId="1" xfId="43" applyNumberFormat="1" applyFont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right" vertical="center"/>
    </xf>
    <xf numFmtId="49" fontId="5" fillId="0" borderId="8" xfId="43" applyNumberFormat="1" applyFont="1" applyFill="1" applyBorder="1" applyAlignment="1">
      <alignment vertical="center"/>
    </xf>
    <xf numFmtId="3" fontId="5" fillId="0" borderId="1" xfId="43" applyNumberFormat="1" applyFont="1" applyFill="1" applyBorder="1" applyAlignment="1">
      <alignment horizontal="righ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73" fillId="0" borderId="1" xfId="43" applyFont="1" applyBorder="1" applyAlignment="1">
      <alignment horizontal="center" vertical="center" wrapText="1"/>
    </xf>
    <xf numFmtId="167" fontId="30" fillId="0" borderId="1" xfId="0" applyNumberFormat="1" applyFont="1" applyBorder="1"/>
    <xf numFmtId="167" fontId="29" fillId="0" borderId="1" xfId="0" applyNumberFormat="1" applyFont="1" applyBorder="1"/>
    <xf numFmtId="167" fontId="30" fillId="0" borderId="5" xfId="0" applyNumberFormat="1" applyFont="1" applyBorder="1"/>
    <xf numFmtId="3" fontId="29" fillId="0" borderId="42" xfId="0" applyNumberFormat="1" applyFont="1" applyBorder="1"/>
    <xf numFmtId="3" fontId="29" fillId="0" borderId="1" xfId="0" applyNumberFormat="1" applyFont="1" applyFill="1" applyBorder="1"/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Fill="1" applyBorder="1" applyAlignment="1">
      <alignment horizontal="right" vertical="center" wrapText="1"/>
    </xf>
    <xf numFmtId="3" fontId="29" fillId="0" borderId="21" xfId="0" applyNumberFormat="1" applyFont="1" applyBorder="1"/>
    <xf numFmtId="3" fontId="29" fillId="0" borderId="21" xfId="0" applyNumberFormat="1" applyFont="1" applyFill="1" applyBorder="1"/>
    <xf numFmtId="3" fontId="29" fillId="0" borderId="22" xfId="0" applyNumberFormat="1" applyFont="1" applyBorder="1"/>
    <xf numFmtId="0" fontId="3" fillId="0" borderId="8" xfId="1" applyFont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30" fillId="0" borderId="26" xfId="0" applyFont="1" applyBorder="1" applyAlignment="1">
      <alignment horizontal="left"/>
    </xf>
    <xf numFmtId="3" fontId="29" fillId="0" borderId="38" xfId="0" applyNumberFormat="1" applyFont="1" applyBorder="1"/>
    <xf numFmtId="3" fontId="30" fillId="0" borderId="1" xfId="0" applyNumberFormat="1" applyFont="1" applyBorder="1" applyAlignment="1">
      <alignment horizontal="right" wrapText="1"/>
    </xf>
    <xf numFmtId="3" fontId="30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 vertical="center"/>
    </xf>
    <xf numFmtId="3" fontId="29" fillId="0" borderId="9" xfId="0" applyNumberFormat="1" applyFont="1" applyBorder="1"/>
    <xf numFmtId="3" fontId="29" fillId="0" borderId="36" xfId="0" applyNumberFormat="1" applyFont="1" applyBorder="1"/>
    <xf numFmtId="3" fontId="29" fillId="0" borderId="61" xfId="0" applyNumberFormat="1" applyFont="1" applyBorder="1"/>
    <xf numFmtId="0" fontId="2" fillId="0" borderId="23" xfId="1" applyFont="1" applyFill="1" applyBorder="1" applyAlignment="1">
      <alignment horizontal="right" vertical="center"/>
    </xf>
    <xf numFmtId="3" fontId="29" fillId="0" borderId="24" xfId="0" applyNumberFormat="1" applyFont="1" applyBorder="1"/>
    <xf numFmtId="3" fontId="30" fillId="0" borderId="28" xfId="0" applyNumberFormat="1" applyFont="1" applyBorder="1"/>
    <xf numFmtId="0" fontId="2" fillId="0" borderId="31" xfId="1" applyFont="1" applyFill="1" applyBorder="1" applyAlignment="1">
      <alignment horizontal="right" vertical="center"/>
    </xf>
    <xf numFmtId="3" fontId="29" fillId="0" borderId="30" xfId="0" applyNumberFormat="1" applyFont="1" applyBorder="1"/>
    <xf numFmtId="0" fontId="6" fillId="0" borderId="48" xfId="1" applyFont="1" applyFill="1" applyBorder="1" applyAlignment="1">
      <alignment horizontal="right" vertical="center"/>
    </xf>
    <xf numFmtId="3" fontId="31" fillId="0" borderId="56" xfId="0" applyNumberFormat="1" applyFont="1" applyBorder="1"/>
    <xf numFmtId="0" fontId="4" fillId="0" borderId="31" xfId="1" applyFont="1" applyFill="1" applyBorder="1" applyAlignment="1">
      <alignment horizontal="right" vertical="center"/>
    </xf>
    <xf numFmtId="3" fontId="30" fillId="0" borderId="30" xfId="0" applyNumberFormat="1" applyFont="1" applyBorder="1"/>
    <xf numFmtId="0" fontId="6" fillId="0" borderId="18" xfId="1" applyFont="1" applyFill="1" applyBorder="1" applyAlignment="1">
      <alignment horizontal="right" vertical="center"/>
    </xf>
    <xf numFmtId="3" fontId="31" fillId="0" borderId="19" xfId="0" applyNumberFormat="1" applyFont="1" applyBorder="1"/>
    <xf numFmtId="3" fontId="30" fillId="0" borderId="52" xfId="0" applyNumberFormat="1" applyFont="1" applyBorder="1"/>
    <xf numFmtId="0" fontId="2" fillId="0" borderId="82" xfId="1" applyFont="1" applyFill="1" applyBorder="1" applyAlignment="1">
      <alignment horizontal="right" vertical="center"/>
    </xf>
    <xf numFmtId="3" fontId="29" fillId="0" borderId="98" xfId="0" applyNumberFormat="1" applyFont="1" applyBorder="1"/>
    <xf numFmtId="0" fontId="2" fillId="0" borderId="99" xfId="1" applyFont="1" applyFill="1" applyBorder="1" applyAlignment="1">
      <alignment horizontal="right" vertical="center" wrapText="1"/>
    </xf>
    <xf numFmtId="3" fontId="29" fillId="0" borderId="54" xfId="0" applyNumberFormat="1" applyFont="1" applyBorder="1"/>
    <xf numFmtId="3" fontId="29" fillId="0" borderId="100" xfId="0" applyNumberFormat="1" applyFont="1" applyBorder="1"/>
    <xf numFmtId="3" fontId="29" fillId="0" borderId="55" xfId="0" applyNumberFormat="1" applyFont="1" applyBorder="1"/>
    <xf numFmtId="0" fontId="4" fillId="0" borderId="28" xfId="1" applyFont="1" applyFill="1" applyBorder="1" applyAlignment="1">
      <alignment horizontal="left" vertical="center" wrapText="1"/>
    </xf>
    <xf numFmtId="164" fontId="6" fillId="0" borderId="56" xfId="1" applyNumberFormat="1" applyFont="1" applyFill="1" applyBorder="1" applyAlignment="1">
      <alignment horizontal="left" vertical="center" wrapText="1"/>
    </xf>
    <xf numFmtId="0" fontId="6" fillId="0" borderId="28" xfId="1" applyFont="1" applyFill="1" applyBorder="1" applyAlignment="1">
      <alignment horizontal="left" vertical="center" wrapText="1"/>
    </xf>
    <xf numFmtId="0" fontId="2" fillId="0" borderId="28" xfId="1" applyFont="1" applyFill="1" applyBorder="1" applyAlignment="1">
      <alignment horizontal="left" vertical="center" wrapText="1"/>
    </xf>
    <xf numFmtId="3" fontId="29" fillId="0" borderId="14" xfId="0" applyNumberFormat="1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3" fontId="30" fillId="0" borderId="19" xfId="0" applyNumberFormat="1" applyFont="1" applyBorder="1" applyAlignment="1">
      <alignment vertical="center" wrapText="1"/>
    </xf>
    <xf numFmtId="3" fontId="31" fillId="0" borderId="19" xfId="0" applyNumberFormat="1" applyFont="1" applyBorder="1" applyAlignment="1">
      <alignment vertical="center" wrapText="1"/>
    </xf>
    <xf numFmtId="49" fontId="30" fillId="0" borderId="20" xfId="0" applyNumberFormat="1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3" fontId="30" fillId="0" borderId="21" xfId="0" applyNumberFormat="1" applyFont="1" applyBorder="1" applyAlignment="1">
      <alignment vertical="center" wrapText="1"/>
    </xf>
    <xf numFmtId="3" fontId="31" fillId="0" borderId="21" xfId="0" applyNumberFormat="1" applyFont="1" applyBorder="1" applyAlignment="1">
      <alignment vertical="center" wrapText="1"/>
    </xf>
    <xf numFmtId="3" fontId="31" fillId="0" borderId="22" xfId="0" applyNumberFormat="1" applyFont="1" applyBorder="1" applyAlignment="1">
      <alignment vertical="center" wrapText="1"/>
    </xf>
    <xf numFmtId="3" fontId="30" fillId="0" borderId="3" xfId="0" applyNumberFormat="1" applyFont="1" applyBorder="1" applyAlignment="1">
      <alignment vertical="center" wrapText="1"/>
    </xf>
    <xf numFmtId="3" fontId="31" fillId="0" borderId="3" xfId="0" applyNumberFormat="1" applyFont="1" applyBorder="1" applyAlignment="1">
      <alignment vertical="center" wrapText="1"/>
    </xf>
    <xf numFmtId="3" fontId="31" fillId="0" borderId="10" xfId="0" applyNumberFormat="1" applyFont="1" applyBorder="1" applyAlignment="1">
      <alignment vertical="center" wrapText="1"/>
    </xf>
    <xf numFmtId="3" fontId="30" fillId="0" borderId="32" xfId="0" applyNumberFormat="1" applyFont="1" applyBorder="1" applyAlignment="1">
      <alignment vertical="center" wrapText="1"/>
    </xf>
    <xf numFmtId="3" fontId="30" fillId="0" borderId="18" xfId="0" applyNumberFormat="1" applyFont="1" applyBorder="1" applyAlignment="1">
      <alignment vertical="center" wrapText="1"/>
    </xf>
    <xf numFmtId="3" fontId="31" fillId="0" borderId="18" xfId="0" applyNumberFormat="1" applyFont="1" applyBorder="1" applyAlignment="1">
      <alignment vertical="center" wrapText="1"/>
    </xf>
    <xf numFmtId="3" fontId="31" fillId="0" borderId="20" xfId="0" applyNumberFormat="1" applyFont="1" applyBorder="1" applyAlignment="1">
      <alignment vertical="center" wrapText="1"/>
    </xf>
    <xf numFmtId="0" fontId="31" fillId="0" borderId="0" xfId="0" applyFont="1" applyBorder="1" applyAlignment="1">
      <alignment horizontal="left"/>
    </xf>
    <xf numFmtId="3" fontId="31" fillId="0" borderId="0" xfId="0" applyNumberFormat="1" applyFont="1" applyBorder="1"/>
    <xf numFmtId="3" fontId="7" fillId="0" borderId="0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5" fillId="0" borderId="25" xfId="1" applyFont="1" applyFill="1" applyBorder="1" applyAlignment="1">
      <alignment horizontal="right" vertical="center"/>
    </xf>
    <xf numFmtId="0" fontId="6" fillId="0" borderId="25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4" fillId="0" borderId="25" xfId="0" applyFont="1" applyFill="1" applyBorder="1" applyAlignment="1">
      <alignment horizontal="right" vertical="center" wrapText="1"/>
    </xf>
    <xf numFmtId="0" fontId="2" fillId="0" borderId="20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/>
    </xf>
    <xf numFmtId="3" fontId="30" fillId="0" borderId="8" xfId="0" applyNumberFormat="1" applyFont="1" applyFill="1" applyBorder="1"/>
    <xf numFmtId="3" fontId="30" fillId="0" borderId="19" xfId="0" applyNumberFormat="1" applyFont="1" applyFill="1" applyBorder="1"/>
    <xf numFmtId="0" fontId="7" fillId="0" borderId="26" xfId="1" applyFont="1" applyFill="1" applyBorder="1" applyAlignment="1">
      <alignment horizontal="left" vertical="center" wrapText="1"/>
    </xf>
    <xf numFmtId="164" fontId="6" fillId="0" borderId="26" xfId="1" applyNumberFormat="1" applyFont="1" applyFill="1" applyBorder="1" applyAlignment="1">
      <alignment horizontal="left" vertical="center" wrapText="1"/>
    </xf>
    <xf numFmtId="0" fontId="29" fillId="0" borderId="22" xfId="0" applyFont="1" applyBorder="1" applyAlignment="1">
      <alignment horizontal="left"/>
    </xf>
    <xf numFmtId="0" fontId="36" fillId="0" borderId="3" xfId="0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5" fillId="31" borderId="18" xfId="43" applyFont="1" applyFill="1" applyBorder="1" applyAlignment="1">
      <alignment horizontal="center" vertical="center"/>
    </xf>
    <xf numFmtId="3" fontId="3" fillId="0" borderId="21" xfId="43" applyNumberFormat="1" applyFont="1" applyBorder="1" applyAlignment="1">
      <alignment vertical="center"/>
    </xf>
    <xf numFmtId="3" fontId="3" fillId="31" borderId="21" xfId="43" applyNumberFormat="1" applyFont="1" applyFill="1" applyBorder="1" applyAlignment="1">
      <alignment vertical="center"/>
    </xf>
    <xf numFmtId="3" fontId="3" fillId="32" borderId="21" xfId="43" applyNumberFormat="1" applyFont="1" applyFill="1" applyBorder="1" applyAlignment="1">
      <alignment vertical="center"/>
    </xf>
    <xf numFmtId="3" fontId="3" fillId="33" borderId="22" xfId="43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5" fillId="0" borderId="23" xfId="42" applyFont="1" applyBorder="1" applyAlignment="1">
      <alignment vertical="center"/>
    </xf>
    <xf numFmtId="3" fontId="4" fillId="0" borderId="9" xfId="42" applyNumberFormat="1" applyFont="1" applyBorder="1" applyAlignment="1">
      <alignment horizontal="right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vertical="center" wrapText="1"/>
      <protection locked="0"/>
    </xf>
    <xf numFmtId="3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8" xfId="43" applyNumberFormat="1" applyFont="1" applyFill="1" applyBorder="1"/>
    <xf numFmtId="0" fontId="5" fillId="0" borderId="8" xfId="43" applyFont="1" applyBorder="1"/>
    <xf numFmtId="3" fontId="5" fillId="0" borderId="8" xfId="43" applyNumberFormat="1" applyFont="1" applyBorder="1"/>
    <xf numFmtId="3" fontId="3" fillId="0" borderId="8" xfId="43" applyNumberFormat="1" applyFont="1" applyBorder="1"/>
    <xf numFmtId="3" fontId="3" fillId="34" borderId="38" xfId="43" applyNumberFormat="1" applyFont="1" applyFill="1" applyBorder="1"/>
    <xf numFmtId="0" fontId="30" fillId="0" borderId="8" xfId="0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67" fontId="29" fillId="0" borderId="13" xfId="98" applyNumberFormat="1" applyFont="1" applyBorder="1" applyAlignment="1">
      <alignment horizontal="right"/>
    </xf>
    <xf numFmtId="3" fontId="34" fillId="0" borderId="1" xfId="0" applyNumberFormat="1" applyFont="1" applyFill="1" applyBorder="1"/>
    <xf numFmtId="0" fontId="34" fillId="0" borderId="0" xfId="0" applyFont="1" applyFill="1" applyBorder="1"/>
    <xf numFmtId="3" fontId="8" fillId="0" borderId="2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vertical="center" wrapText="1"/>
      <protection locked="0"/>
    </xf>
    <xf numFmtId="3" fontId="30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30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5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Fill="1" applyBorder="1" applyAlignment="1">
      <alignment horizontal="center" vertical="center" wrapText="1"/>
    </xf>
    <xf numFmtId="165" fontId="29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 applyProtection="1">
      <alignment vertical="center" wrapText="1"/>
      <protection locked="0"/>
    </xf>
    <xf numFmtId="165" fontId="30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8" fillId="0" borderId="5" xfId="0" applyNumberFormat="1" applyFont="1" applyFill="1" applyBorder="1" applyAlignment="1" applyProtection="1">
      <alignment horizontal="left" vertical="center" wrapText="1"/>
      <protection locked="0"/>
    </xf>
    <xf numFmtId="3" fontId="70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0" fillId="0" borderId="17" xfId="0" applyNumberFormat="1" applyFont="1" applyFill="1" applyBorder="1" applyAlignment="1" applyProtection="1">
      <alignment vertical="center" wrapText="1"/>
      <protection locked="0"/>
    </xf>
    <xf numFmtId="3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22" xfId="0" applyNumberFormat="1" applyFont="1" applyFill="1" applyBorder="1" applyAlignment="1" applyProtection="1">
      <alignment vertical="center" wrapText="1"/>
      <protection locked="0"/>
    </xf>
    <xf numFmtId="3" fontId="3" fillId="0" borderId="98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30" xfId="0" applyNumberFormat="1" applyFont="1" applyFill="1" applyBorder="1" applyAlignment="1" applyProtection="1">
      <alignment horizontal="right" vertical="center" wrapText="1"/>
      <protection locked="0"/>
    </xf>
    <xf numFmtId="165" fontId="30" fillId="0" borderId="30" xfId="0" applyNumberFormat="1" applyFont="1" applyFill="1" applyBorder="1" applyAlignment="1">
      <alignment horizontal="right" vertical="center" wrapText="1"/>
    </xf>
    <xf numFmtId="3" fontId="30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9" xfId="0" applyNumberFormat="1" applyFont="1" applyFill="1" applyBorder="1" applyAlignment="1" applyProtection="1">
      <alignment vertical="center" wrapText="1"/>
      <protection locked="0"/>
    </xf>
    <xf numFmtId="165" fontId="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0" fillId="0" borderId="24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0" xfId="0" applyNumberFormat="1" applyFont="1" applyFill="1" applyBorder="1"/>
    <xf numFmtId="3" fontId="31" fillId="0" borderId="0" xfId="0" applyNumberFormat="1" applyFont="1" applyFill="1" applyBorder="1"/>
    <xf numFmtId="0" fontId="29" fillId="0" borderId="1" xfId="0" applyFont="1" applyFill="1" applyBorder="1"/>
    <xf numFmtId="0" fontId="29" fillId="0" borderId="21" xfId="0" applyFont="1" applyFill="1" applyBorder="1"/>
    <xf numFmtId="3" fontId="36" fillId="0" borderId="1" xfId="0" applyNumberFormat="1" applyFont="1" applyFill="1" applyBorder="1"/>
    <xf numFmtId="3" fontId="36" fillId="31" borderId="1" xfId="0" applyNumberFormat="1" applyFont="1" applyFill="1" applyBorder="1"/>
    <xf numFmtId="3" fontId="36" fillId="0" borderId="4" xfId="0" applyNumberFormat="1" applyFont="1" applyFill="1" applyBorder="1"/>
    <xf numFmtId="3" fontId="36" fillId="0" borderId="8" xfId="0" applyNumberFormat="1" applyFont="1" applyFill="1" applyBorder="1"/>
    <xf numFmtId="3" fontId="36" fillId="0" borderId="3" xfId="0" applyNumberFormat="1" applyFont="1" applyFill="1" applyBorder="1"/>
    <xf numFmtId="3" fontId="36" fillId="0" borderId="11" xfId="0" applyNumberFormat="1" applyFont="1" applyFill="1" applyBorder="1"/>
    <xf numFmtId="3" fontId="34" fillId="0" borderId="11" xfId="0" applyNumberFormat="1" applyFont="1" applyFill="1" applyBorder="1"/>
    <xf numFmtId="3" fontId="36" fillId="0" borderId="6" xfId="0" applyNumberFormat="1" applyFont="1" applyFill="1" applyBorder="1"/>
    <xf numFmtId="3" fontId="36" fillId="0" borderId="9" xfId="0" applyNumberFormat="1" applyFont="1" applyFill="1" applyBorder="1"/>
    <xf numFmtId="3" fontId="36" fillId="0" borderId="10" xfId="0" applyNumberFormat="1" applyFont="1" applyFill="1" applyBorder="1"/>
    <xf numFmtId="3" fontId="34" fillId="0" borderId="3" xfId="0" applyNumberFormat="1" applyFont="1" applyFill="1" applyBorder="1"/>
    <xf numFmtId="3" fontId="34" fillId="0" borderId="4" xfId="0" applyNumberFormat="1" applyFont="1" applyFill="1" applyBorder="1"/>
    <xf numFmtId="3" fontId="34" fillId="0" borderId="8" xfId="0" applyNumberFormat="1" applyFont="1" applyFill="1" applyBorder="1"/>
    <xf numFmtId="3" fontId="36" fillId="0" borderId="1" xfId="0" applyNumberFormat="1" applyFont="1" applyFill="1" applyBorder="1" applyAlignment="1">
      <alignment horizontal="right"/>
    </xf>
    <xf numFmtId="0" fontId="3" fillId="0" borderId="18" xfId="50" applyFont="1" applyBorder="1"/>
    <xf numFmtId="0" fontId="3" fillId="0" borderId="23" xfId="50" applyFont="1" applyBorder="1"/>
    <xf numFmtId="3" fontId="3" fillId="0" borderId="8" xfId="50" applyNumberFormat="1" applyFont="1" applyFill="1" applyBorder="1"/>
    <xf numFmtId="3" fontId="3" fillId="0" borderId="1" xfId="50" applyNumberFormat="1" applyFont="1" applyFill="1" applyBorder="1"/>
    <xf numFmtId="3" fontId="3" fillId="0" borderId="1" xfId="42" applyNumberFormat="1" applyFont="1" applyBorder="1"/>
    <xf numFmtId="0" fontId="2" fillId="0" borderId="23" xfId="42" applyFont="1" applyBorder="1"/>
    <xf numFmtId="0" fontId="4" fillId="0" borderId="1" xfId="42" applyFont="1" applyBorder="1"/>
    <xf numFmtId="3" fontId="2" fillId="0" borderId="9" xfId="42" applyNumberFormat="1" applyFont="1" applyBorder="1"/>
    <xf numFmtId="3" fontId="3" fillId="0" borderId="19" xfId="42" applyNumberFormat="1" applyFont="1" applyBorder="1"/>
    <xf numFmtId="0" fontId="3" fillId="0" borderId="15" xfId="42" applyFont="1" applyBorder="1" applyAlignment="1">
      <alignment horizontal="center" wrapText="1"/>
    </xf>
    <xf numFmtId="0" fontId="2" fillId="0" borderId="25" xfId="42" applyFont="1" applyBorder="1"/>
    <xf numFmtId="3" fontId="3" fillId="0" borderId="53" xfId="42" applyNumberFormat="1" applyFont="1" applyBorder="1"/>
    <xf numFmtId="0" fontId="3" fillId="0" borderId="23" xfId="42" applyFont="1" applyBorder="1" applyAlignment="1">
      <alignment vertical="center"/>
    </xf>
    <xf numFmtId="3" fontId="4" fillId="0" borderId="56" xfId="42" applyNumberFormat="1" applyFont="1" applyBorder="1" applyAlignment="1">
      <alignment horizontal="right"/>
    </xf>
    <xf numFmtId="3" fontId="2" fillId="0" borderId="9" xfId="42" applyNumberFormat="1" applyFont="1" applyBorder="1" applyAlignment="1">
      <alignment horizontal="right"/>
    </xf>
    <xf numFmtId="3" fontId="3" fillId="0" borderId="9" xfId="42" applyNumberFormat="1" applyFont="1" applyBorder="1"/>
    <xf numFmtId="3" fontId="5" fillId="0" borderId="1" xfId="0" applyNumberFormat="1" applyFont="1" applyFill="1" applyBorder="1" applyAlignment="1">
      <alignment horizontal="right" vertical="center" wrapText="1"/>
    </xf>
    <xf numFmtId="0" fontId="29" fillId="21" borderId="21" xfId="0" applyFont="1" applyFill="1" applyBorder="1" applyAlignment="1" applyProtection="1">
      <alignment vertical="center"/>
    </xf>
    <xf numFmtId="3" fontId="3" fillId="0" borderId="21" xfId="43" applyNumberFormat="1" applyFont="1" applyBorder="1" applyAlignment="1">
      <alignment horizontal="right" vertical="center"/>
    </xf>
    <xf numFmtId="3" fontId="3" fillId="0" borderId="1" xfId="43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" fontId="3" fillId="0" borderId="54" xfId="0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 wrapText="1"/>
    </xf>
    <xf numFmtId="3" fontId="3" fillId="0" borderId="103" xfId="0" applyNumberFormat="1" applyFont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/>
    <xf numFmtId="3" fontId="5" fillId="0" borderId="1" xfId="98" applyNumberFormat="1" applyFont="1" applyFill="1" applyBorder="1" applyAlignment="1">
      <alignment horizontal="right" wrapText="1"/>
    </xf>
    <xf numFmtId="3" fontId="5" fillId="0" borderId="1" xfId="98" applyNumberFormat="1" applyFont="1" applyFill="1" applyBorder="1" applyAlignment="1">
      <alignment horizontal="right" vertical="center" wrapText="1"/>
    </xf>
    <xf numFmtId="3" fontId="3" fillId="0" borderId="62" xfId="50" applyNumberFormat="1" applyFont="1" applyBorder="1"/>
    <xf numFmtId="3" fontId="5" fillId="0" borderId="9" xfId="50" applyNumberFormat="1" applyFont="1" applyBorder="1"/>
    <xf numFmtId="0" fontId="3" fillId="0" borderId="1" xfId="1" applyFont="1" applyBorder="1" applyAlignment="1">
      <alignment horizontal="center" vertical="center" wrapText="1"/>
    </xf>
    <xf numFmtId="167" fontId="29" fillId="0" borderId="13" xfId="98" applyNumberFormat="1" applyFont="1" applyBorder="1" applyAlignment="1"/>
    <xf numFmtId="0" fontId="3" fillId="0" borderId="1" xfId="1" applyFont="1" applyFill="1" applyBorder="1" applyAlignment="1">
      <alignment horizontal="center" vertical="center" wrapText="1"/>
    </xf>
    <xf numFmtId="3" fontId="30" fillId="0" borderId="18" xfId="0" applyNumberFormat="1" applyFont="1" applyBorder="1"/>
    <xf numFmtId="0" fontId="30" fillId="0" borderId="0" xfId="0" applyFont="1" applyFill="1" applyBorder="1" applyAlignment="1"/>
    <xf numFmtId="3" fontId="29" fillId="0" borderId="19" xfId="0" applyNumberFormat="1" applyFont="1" applyFill="1" applyBorder="1"/>
    <xf numFmtId="3" fontId="29" fillId="0" borderId="26" xfId="0" applyNumberFormat="1" applyFont="1" applyFill="1" applyBorder="1"/>
    <xf numFmtId="3" fontId="29" fillId="0" borderId="22" xfId="0" applyNumberFormat="1" applyFont="1" applyFill="1" applyBorder="1"/>
    <xf numFmtId="3" fontId="29" fillId="0" borderId="18" xfId="0" applyNumberFormat="1" applyFont="1" applyFill="1" applyBorder="1"/>
    <xf numFmtId="3" fontId="29" fillId="0" borderId="23" xfId="0" applyNumberFormat="1" applyFont="1" applyFill="1" applyBorder="1"/>
    <xf numFmtId="3" fontId="29" fillId="0" borderId="2" xfId="0" applyNumberFormat="1" applyFont="1" applyFill="1" applyBorder="1"/>
    <xf numFmtId="3" fontId="29" fillId="0" borderId="24" xfId="0" applyNumberFormat="1" applyFont="1" applyFill="1" applyBorder="1"/>
    <xf numFmtId="3" fontId="5" fillId="0" borderId="47" xfId="1" applyNumberFormat="1" applyFont="1" applyFill="1" applyBorder="1"/>
    <xf numFmtId="3" fontId="30" fillId="0" borderId="4" xfId="0" applyNumberFormat="1" applyFont="1" applyFill="1" applyBorder="1"/>
    <xf numFmtId="3" fontId="30" fillId="0" borderId="28" xfId="0" applyNumberFormat="1" applyFont="1" applyFill="1" applyBorder="1"/>
    <xf numFmtId="3" fontId="5" fillId="0" borderId="18" xfId="1" applyNumberFormat="1" applyFont="1" applyFill="1" applyBorder="1"/>
    <xf numFmtId="3" fontId="5" fillId="0" borderId="1" xfId="1" applyNumberFormat="1" applyFont="1" applyFill="1" applyBorder="1"/>
    <xf numFmtId="3" fontId="5" fillId="0" borderId="19" xfId="1" applyNumberFormat="1" applyFont="1" applyFill="1" applyBorder="1"/>
    <xf numFmtId="3" fontId="31" fillId="0" borderId="4" xfId="0" applyNumberFormat="1" applyFont="1" applyFill="1" applyBorder="1"/>
    <xf numFmtId="3" fontId="31" fillId="0" borderId="28" xfId="0" applyNumberFormat="1" applyFont="1" applyFill="1" applyBorder="1"/>
    <xf numFmtId="3" fontId="30" fillId="0" borderId="18" xfId="0" applyNumberFormat="1" applyFont="1" applyFill="1" applyBorder="1"/>
    <xf numFmtId="3" fontId="29" fillId="0" borderId="31" xfId="0" applyNumberFormat="1" applyFont="1" applyFill="1" applyBorder="1"/>
    <xf numFmtId="3" fontId="30" fillId="0" borderId="31" xfId="0" applyNumberFormat="1" applyFont="1" applyFill="1" applyBorder="1"/>
    <xf numFmtId="3" fontId="30" fillId="0" borderId="5" xfId="0" applyNumberFormat="1" applyFont="1" applyFill="1" applyBorder="1"/>
    <xf numFmtId="3" fontId="30" fillId="0" borderId="30" xfId="0" applyNumberFormat="1" applyFont="1" applyFill="1" applyBorder="1"/>
    <xf numFmtId="3" fontId="29" fillId="0" borderId="5" xfId="0" applyNumberFormat="1" applyFont="1" applyFill="1" applyBorder="1"/>
    <xf numFmtId="3" fontId="29" fillId="0" borderId="30" xfId="0" applyNumberFormat="1" applyFont="1" applyFill="1" applyBorder="1"/>
    <xf numFmtId="3" fontId="30" fillId="0" borderId="47" xfId="0" applyNumberFormat="1" applyFont="1" applyFill="1" applyBorder="1"/>
    <xf numFmtId="3" fontId="30" fillId="0" borderId="44" xfId="0" applyNumberFormat="1" applyFont="1" applyFill="1" applyBorder="1"/>
    <xf numFmtId="3" fontId="30" fillId="0" borderId="6" xfId="0" applyNumberFormat="1" applyFont="1" applyFill="1" applyBorder="1"/>
    <xf numFmtId="3" fontId="30" fillId="0" borderId="52" xfId="0" applyNumberFormat="1" applyFont="1" applyFill="1" applyBorder="1"/>
    <xf numFmtId="3" fontId="29" fillId="0" borderId="82" xfId="0" applyNumberFormat="1" applyFont="1" applyFill="1" applyBorder="1"/>
    <xf numFmtId="3" fontId="29" fillId="0" borderId="7" xfId="0" applyNumberFormat="1" applyFont="1" applyFill="1" applyBorder="1"/>
    <xf numFmtId="3" fontId="29" fillId="0" borderId="98" xfId="0" applyNumberFormat="1" applyFont="1" applyFill="1" applyBorder="1"/>
    <xf numFmtId="3" fontId="29" fillId="0" borderId="99" xfId="0" applyNumberFormat="1" applyFont="1" applyFill="1" applyBorder="1"/>
    <xf numFmtId="3" fontId="29" fillId="0" borderId="54" xfId="0" applyNumberFormat="1" applyFont="1" applyFill="1" applyBorder="1"/>
    <xf numFmtId="3" fontId="29" fillId="0" borderId="100" xfId="0" applyNumberFormat="1" applyFont="1" applyFill="1" applyBorder="1"/>
    <xf numFmtId="3" fontId="29" fillId="0" borderId="8" xfId="0" applyNumberFormat="1" applyFont="1" applyFill="1" applyBorder="1"/>
    <xf numFmtId="0" fontId="29" fillId="0" borderId="8" xfId="0" applyFont="1" applyFill="1" applyBorder="1"/>
    <xf numFmtId="0" fontId="29" fillId="0" borderId="38" xfId="0" applyFont="1" applyFill="1" applyBorder="1"/>
    <xf numFmtId="3" fontId="3" fillId="0" borderId="8" xfId="1" applyNumberFormat="1" applyFont="1" applyFill="1" applyBorder="1"/>
    <xf numFmtId="3" fontId="3" fillId="0" borderId="1" xfId="1" applyNumberFormat="1" applyFont="1" applyFill="1" applyBorder="1"/>
    <xf numFmtId="3" fontId="3" fillId="0" borderId="19" xfId="1" applyNumberFormat="1" applyFont="1" applyFill="1" applyBorder="1"/>
    <xf numFmtId="3" fontId="3" fillId="0" borderId="0" xfId="1" applyNumberFormat="1" applyFont="1" applyFill="1" applyBorder="1"/>
    <xf numFmtId="3" fontId="3" fillId="0" borderId="26" xfId="1" applyNumberFormat="1" applyFont="1" applyFill="1" applyBorder="1"/>
    <xf numFmtId="3" fontId="3" fillId="0" borderId="38" xfId="1" applyNumberFormat="1" applyFont="1" applyFill="1" applyBorder="1"/>
    <xf numFmtId="3" fontId="3" fillId="0" borderId="21" xfId="1" applyNumberFormat="1" applyFont="1" applyFill="1" applyBorder="1"/>
    <xf numFmtId="3" fontId="3" fillId="0" borderId="22" xfId="1" applyNumberFormat="1" applyFont="1" applyFill="1" applyBorder="1"/>
    <xf numFmtId="0" fontId="28" fillId="0" borderId="0" xfId="0" applyFont="1" applyFill="1" applyBorder="1"/>
    <xf numFmtId="3" fontId="3" fillId="0" borderId="18" xfId="1" applyNumberFormat="1" applyFont="1" applyFill="1" applyBorder="1"/>
    <xf numFmtId="3" fontId="3" fillId="0" borderId="25" xfId="1" applyNumberFormat="1" applyFont="1" applyFill="1" applyBorder="1"/>
    <xf numFmtId="3" fontId="3" fillId="0" borderId="20" xfId="1" applyNumberFormat="1" applyFont="1" applyFill="1" applyBorder="1"/>
    <xf numFmtId="0" fontId="29" fillId="0" borderId="0" xfId="0" applyFont="1" applyFill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30" fillId="0" borderId="0" xfId="0" applyNumberFormat="1" applyFont="1" applyFill="1" applyBorder="1" applyAlignment="1">
      <alignment horizontal="center" vertical="center" wrapText="1"/>
    </xf>
    <xf numFmtId="49" fontId="30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29" fillId="0" borderId="31" xfId="98" applyNumberFormat="1" applyFont="1" applyFill="1" applyBorder="1"/>
    <xf numFmtId="3" fontId="29" fillId="0" borderId="5" xfId="98" applyNumberFormat="1" applyFont="1" applyFill="1" applyBorder="1"/>
    <xf numFmtId="3" fontId="29" fillId="0" borderId="30" xfId="98" applyNumberFormat="1" applyFont="1" applyFill="1" applyBorder="1"/>
    <xf numFmtId="3" fontId="29" fillId="0" borderId="36" xfId="98" applyNumberFormat="1" applyFont="1" applyFill="1" applyBorder="1"/>
    <xf numFmtId="3" fontId="29" fillId="0" borderId="35" xfId="98" applyNumberFormat="1" applyFont="1" applyFill="1" applyBorder="1"/>
    <xf numFmtId="3" fontId="29" fillId="0" borderId="3" xfId="98" applyNumberFormat="1" applyFont="1" applyFill="1" applyBorder="1"/>
    <xf numFmtId="3" fontId="29" fillId="0" borderId="25" xfId="98" applyNumberFormat="1" applyFont="1" applyFill="1" applyBorder="1"/>
    <xf numFmtId="3" fontId="0" fillId="0" borderId="0" xfId="0" applyNumberFormat="1" applyFill="1" applyBorder="1"/>
    <xf numFmtId="0" fontId="30" fillId="0" borderId="25" xfId="0" applyFont="1" applyFill="1" applyBorder="1" applyAlignment="1">
      <alignment horizontal="left" wrapText="1"/>
    </xf>
    <xf numFmtId="3" fontId="30" fillId="0" borderId="3" xfId="98" applyNumberFormat="1" applyFont="1" applyFill="1" applyBorder="1"/>
    <xf numFmtId="0" fontId="30" fillId="0" borderId="25" xfId="0" applyFont="1" applyFill="1" applyBorder="1" applyAlignment="1">
      <alignment horizontal="right"/>
    </xf>
    <xf numFmtId="0" fontId="30" fillId="0" borderId="26" xfId="0" applyFont="1" applyFill="1" applyBorder="1" applyAlignment="1">
      <alignment horizontal="left" wrapText="1"/>
    </xf>
    <xf numFmtId="3" fontId="29" fillId="0" borderId="20" xfId="98" applyNumberFormat="1" applyFont="1" applyFill="1" applyBorder="1"/>
    <xf numFmtId="3" fontId="29" fillId="0" borderId="21" xfId="98" applyNumberFormat="1" applyFont="1" applyFill="1" applyBorder="1"/>
    <xf numFmtId="3" fontId="29" fillId="0" borderId="22" xfId="98" applyNumberFormat="1" applyFont="1" applyFill="1" applyBorder="1"/>
    <xf numFmtId="3" fontId="29" fillId="0" borderId="38" xfId="98" applyNumberFormat="1" applyFont="1" applyFill="1" applyBorder="1"/>
    <xf numFmtId="3" fontId="29" fillId="0" borderId="32" xfId="98" applyNumberFormat="1" applyFont="1" applyFill="1" applyBorder="1"/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left" wrapText="1"/>
    </xf>
    <xf numFmtId="3" fontId="5" fillId="0" borderId="2" xfId="50" applyNumberFormat="1" applyFont="1" applyFill="1" applyBorder="1"/>
    <xf numFmtId="0" fontId="34" fillId="0" borderId="59" xfId="0" applyFont="1" applyBorder="1" applyAlignment="1">
      <alignment horizontal="left" vertical="center"/>
    </xf>
    <xf numFmtId="167" fontId="34" fillId="4" borderId="39" xfId="98" applyNumberFormat="1" applyFont="1" applyFill="1" applyBorder="1" applyAlignment="1">
      <alignment vertical="center" wrapText="1"/>
    </xf>
    <xf numFmtId="3" fontId="36" fillId="0" borderId="47" xfId="0" applyNumberFormat="1" applyFont="1" applyBorder="1"/>
    <xf numFmtId="0" fontId="6" fillId="0" borderId="49" xfId="1" applyFont="1" applyFill="1" applyBorder="1" applyAlignment="1">
      <alignment horizontal="left" vertical="center" wrapText="1" indent="2"/>
    </xf>
    <xf numFmtId="0" fontId="6" fillId="0" borderId="33" xfId="1" applyFont="1" applyFill="1" applyBorder="1" applyAlignment="1">
      <alignment horizontal="left" vertical="center" wrapText="1" indent="2"/>
    </xf>
    <xf numFmtId="0" fontId="34" fillId="0" borderId="46" xfId="0" applyFont="1" applyBorder="1" applyAlignment="1">
      <alignment horizontal="left" vertical="center"/>
    </xf>
    <xf numFmtId="3" fontId="34" fillId="4" borderId="46" xfId="0" applyNumberFormat="1" applyFont="1" applyFill="1" applyBorder="1" applyAlignment="1">
      <alignment horizontal="right" vertical="center" wrapText="1"/>
    </xf>
    <xf numFmtId="0" fontId="34" fillId="0" borderId="29" xfId="0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/>
    </xf>
    <xf numFmtId="3" fontId="34" fillId="0" borderId="49" xfId="0" applyNumberFormat="1" applyFont="1" applyBorder="1" applyAlignment="1">
      <alignment vertical="center"/>
    </xf>
    <xf numFmtId="3" fontId="34" fillId="4" borderId="34" xfId="0" applyNumberFormat="1" applyFont="1" applyFill="1" applyBorder="1" applyAlignment="1">
      <alignment horizontal="center" vertical="center"/>
    </xf>
    <xf numFmtId="166" fontId="34" fillId="4" borderId="34" xfId="0" applyNumberFormat="1" applyFont="1" applyFill="1" applyBorder="1" applyAlignment="1">
      <alignment horizontal="center" vertical="center"/>
    </xf>
    <xf numFmtId="0" fontId="64" fillId="0" borderId="1" xfId="42" applyFont="1" applyBorder="1"/>
    <xf numFmtId="0" fontId="3" fillId="0" borderId="19" xfId="1" applyFont="1" applyBorder="1" applyAlignment="1">
      <alignment horizontal="center" vertical="center" wrapText="1"/>
    </xf>
    <xf numFmtId="0" fontId="64" fillId="0" borderId="18" xfId="42" applyFont="1" applyBorder="1"/>
    <xf numFmtId="0" fontId="64" fillId="0" borderId="19" xfId="42" applyFont="1" applyBorder="1"/>
    <xf numFmtId="3" fontId="2" fillId="0" borderId="56" xfId="42" applyNumberFormat="1" applyFont="1" applyBorder="1" applyAlignment="1">
      <alignment horizontal="right"/>
    </xf>
    <xf numFmtId="3" fontId="3" fillId="0" borderId="56" xfId="42" applyNumberFormat="1" applyFont="1" applyBorder="1"/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3" fontId="5" fillId="0" borderId="19" xfId="50" applyNumberFormat="1" applyFont="1" applyFill="1" applyBorder="1"/>
    <xf numFmtId="3" fontId="3" fillId="0" borderId="19" xfId="50" applyNumberFormat="1" applyFont="1" applyFill="1" applyBorder="1"/>
    <xf numFmtId="3" fontId="3" fillId="0" borderId="28" xfId="50" applyNumberFormat="1" applyFont="1" applyBorder="1"/>
    <xf numFmtId="3" fontId="3" fillId="0" borderId="53" xfId="50" applyNumberFormat="1" applyFont="1" applyBorder="1"/>
    <xf numFmtId="3" fontId="5" fillId="0" borderId="17" xfId="50" applyNumberFormat="1" applyFont="1" applyBorder="1"/>
    <xf numFmtId="3" fontId="5" fillId="0" borderId="24" xfId="50" applyNumberFormat="1" applyFont="1" applyBorder="1"/>
    <xf numFmtId="3" fontId="5" fillId="0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 wrapText="1"/>
    </xf>
    <xf numFmtId="3" fontId="30" fillId="0" borderId="1" xfId="0" applyNumberFormat="1" applyFont="1" applyFill="1" applyBorder="1" applyAlignment="1">
      <alignment wrapText="1"/>
    </xf>
    <xf numFmtId="0" fontId="30" fillId="0" borderId="0" xfId="0" applyFont="1" applyFill="1" applyBorder="1" applyAlignment="1">
      <alignment wrapText="1"/>
    </xf>
    <xf numFmtId="3" fontId="30" fillId="0" borderId="1" xfId="98" applyNumberFormat="1" applyFont="1" applyFill="1" applyBorder="1" applyAlignment="1">
      <alignment wrapText="1"/>
    </xf>
    <xf numFmtId="3" fontId="29" fillId="0" borderId="1" xfId="98" applyNumberFormat="1" applyFont="1" applyFill="1" applyBorder="1" applyAlignment="1">
      <alignment wrapText="1"/>
    </xf>
    <xf numFmtId="3" fontId="30" fillId="0" borderId="0" xfId="98" applyNumberFormat="1" applyFont="1" applyFill="1" applyBorder="1" applyAlignment="1">
      <alignment wrapText="1"/>
    </xf>
    <xf numFmtId="0" fontId="0" fillId="0" borderId="0" xfId="0" applyFill="1"/>
    <xf numFmtId="0" fontId="3" fillId="0" borderId="1" xfId="1" applyFont="1" applyBorder="1" applyAlignment="1">
      <alignment horizontal="center" vertical="center" wrapText="1"/>
    </xf>
    <xf numFmtId="3" fontId="5" fillId="31" borderId="1" xfId="0" applyNumberFormat="1" applyFont="1" applyFill="1" applyBorder="1"/>
    <xf numFmtId="0" fontId="30" fillId="0" borderId="16" xfId="0" applyFont="1" applyBorder="1" applyAlignment="1">
      <alignment horizontal="center" vertical="center"/>
    </xf>
    <xf numFmtId="0" fontId="5" fillId="0" borderId="18" xfId="43" applyFont="1" applyFill="1" applyBorder="1" applyAlignment="1">
      <alignment vertical="center"/>
    </xf>
    <xf numFmtId="3" fontId="29" fillId="0" borderId="3" xfId="0" applyNumberFormat="1" applyFont="1" applyFill="1" applyBorder="1"/>
    <xf numFmtId="3" fontId="29" fillId="0" borderId="32" xfId="0" applyNumberFormat="1" applyFont="1" applyFill="1" applyBorder="1"/>
    <xf numFmtId="3" fontId="30" fillId="0" borderId="58" xfId="0" applyNumberFormat="1" applyFont="1" applyFill="1" applyBorder="1"/>
    <xf numFmtId="0" fontId="30" fillId="0" borderId="58" xfId="0" applyFont="1" applyFill="1" applyBorder="1"/>
    <xf numFmtId="0" fontId="5" fillId="0" borderId="23" xfId="43" applyFont="1" applyBorder="1"/>
    <xf numFmtId="0" fontId="30" fillId="21" borderId="2" xfId="0" applyFont="1" applyFill="1" applyBorder="1" applyAlignment="1" applyProtection="1">
      <alignment wrapText="1"/>
    </xf>
    <xf numFmtId="3" fontId="5" fillId="0" borderId="2" xfId="43" applyNumberFormat="1" applyFont="1" applyBorder="1" applyAlignment="1">
      <alignment horizontal="right" vertical="center"/>
    </xf>
    <xf numFmtId="3" fontId="5" fillId="0" borderId="2" xfId="43" applyNumberFormat="1" applyFont="1" applyBorder="1" applyAlignment="1">
      <alignment horizontal="right"/>
    </xf>
    <xf numFmtId="3" fontId="5" fillId="0" borderId="2" xfId="43" applyNumberFormat="1" applyFont="1" applyFill="1" applyBorder="1" applyAlignment="1">
      <alignment horizontal="right"/>
    </xf>
    <xf numFmtId="0" fontId="5" fillId="0" borderId="2" xfId="43" applyFont="1" applyBorder="1"/>
    <xf numFmtId="0" fontId="5" fillId="0" borderId="1" xfId="43" applyFont="1" applyBorder="1" applyAlignment="1">
      <alignment horizontal="center" vertical="center" wrapText="1"/>
    </xf>
    <xf numFmtId="3" fontId="3" fillId="33" borderId="1" xfId="43" applyNumberFormat="1" applyFont="1" applyFill="1" applyBorder="1" applyAlignment="1">
      <alignment horizontal="right"/>
    </xf>
    <xf numFmtId="3" fontId="3" fillId="33" borderId="19" xfId="43" applyNumberFormat="1" applyFont="1" applyFill="1" applyBorder="1" applyAlignment="1">
      <alignment horizontal="right"/>
    </xf>
    <xf numFmtId="3" fontId="5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vertical="center" wrapText="1"/>
    </xf>
    <xf numFmtId="3" fontId="3" fillId="33" borderId="1" xfId="43" applyNumberFormat="1" applyFont="1" applyFill="1" applyBorder="1" applyAlignment="1">
      <alignment horizontal="right" vertical="center"/>
    </xf>
    <xf numFmtId="3" fontId="3" fillId="0" borderId="1" xfId="43" applyNumberFormat="1" applyFont="1" applyBorder="1" applyAlignment="1">
      <alignment horizontal="right" vertical="center" wrapText="1"/>
    </xf>
    <xf numFmtId="3" fontId="3" fillId="33" borderId="19" xfId="43" applyNumberFormat="1" applyFont="1" applyFill="1" applyBorder="1" applyAlignment="1">
      <alignment horizontal="right" vertical="center"/>
    </xf>
    <xf numFmtId="3" fontId="5" fillId="0" borderId="1" xfId="43" applyNumberFormat="1" applyFont="1" applyFill="1" applyBorder="1" applyAlignment="1">
      <alignment horizontal="left" wrapText="1"/>
    </xf>
    <xf numFmtId="167" fontId="5" fillId="0" borderId="1" xfId="98" applyNumberFormat="1" applyFont="1" applyBorder="1" applyAlignment="1">
      <alignment horizontal="right"/>
    </xf>
    <xf numFmtId="0" fontId="3" fillId="0" borderId="20" xfId="43" applyFont="1" applyBorder="1"/>
    <xf numFmtId="49" fontId="3" fillId="0" borderId="38" xfId="43" applyNumberFormat="1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0" fontId="3" fillId="0" borderId="0" xfId="43" applyFont="1"/>
    <xf numFmtId="167" fontId="5" fillId="0" borderId="0" xfId="98" applyNumberFormat="1" applyFont="1"/>
    <xf numFmtId="3" fontId="5" fillId="0" borderId="0" xfId="43" applyNumberFormat="1" applyFont="1"/>
    <xf numFmtId="0" fontId="70" fillId="0" borderId="2" xfId="0" applyFont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3" fontId="29" fillId="0" borderId="27" xfId="0" applyNumberFormat="1" applyFont="1" applyBorder="1" applyAlignment="1">
      <alignment vertical="center" wrapText="1"/>
    </xf>
    <xf numFmtId="3" fontId="3" fillId="0" borderId="49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/>
    </xf>
    <xf numFmtId="0" fontId="5" fillId="0" borderId="77" xfId="0" applyFont="1" applyFill="1" applyBorder="1" applyAlignment="1">
      <alignment vertical="center"/>
    </xf>
    <xf numFmtId="3" fontId="3" fillId="0" borderId="105" xfId="0" applyNumberFormat="1" applyFont="1" applyBorder="1" applyAlignment="1">
      <alignment horizontal="right" vertical="center"/>
    </xf>
    <xf numFmtId="0" fontId="5" fillId="0" borderId="72" xfId="0" applyFont="1" applyBorder="1" applyAlignment="1">
      <alignment vertical="center"/>
    </xf>
    <xf numFmtId="3" fontId="5" fillId="0" borderId="81" xfId="0" applyNumberFormat="1" applyFont="1" applyBorder="1" applyAlignment="1">
      <alignment horizontal="right" vertical="center" wrapText="1"/>
    </xf>
    <xf numFmtId="3" fontId="5" fillId="0" borderId="91" xfId="0" applyNumberFormat="1" applyFont="1" applyFill="1" applyBorder="1" applyAlignment="1">
      <alignment horizontal="right" vertical="center" wrapText="1"/>
    </xf>
    <xf numFmtId="3" fontId="3" fillId="0" borderId="106" xfId="0" applyNumberFormat="1" applyFont="1" applyBorder="1" applyAlignment="1">
      <alignment horizontal="right" vertical="center"/>
    </xf>
    <xf numFmtId="3" fontId="5" fillId="0" borderId="58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 applyProtection="1">
      <alignment vertical="center" wrapText="1"/>
    </xf>
    <xf numFmtId="0" fontId="3" fillId="0" borderId="18" xfId="1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right" vertical="center" wrapText="1"/>
    </xf>
    <xf numFmtId="0" fontId="31" fillId="0" borderId="18" xfId="0" applyFont="1" applyBorder="1" applyAlignment="1">
      <alignment horizontal="left"/>
    </xf>
    <xf numFmtId="0" fontId="6" fillId="0" borderId="19" xfId="1" applyFont="1" applyFill="1" applyBorder="1" applyAlignment="1">
      <alignment horizontal="left" vertical="center" wrapText="1"/>
    </xf>
    <xf numFmtId="0" fontId="2" fillId="0" borderId="25" xfId="1" applyFont="1" applyFill="1" applyBorder="1" applyAlignment="1">
      <alignment horizontal="left" vertical="center" wrapText="1"/>
    </xf>
    <xf numFmtId="0" fontId="30" fillId="0" borderId="25" xfId="0" applyFont="1" applyBorder="1" applyAlignment="1">
      <alignment horizontal="left"/>
    </xf>
    <xf numFmtId="167" fontId="5" fillId="0" borderId="1" xfId="98" applyNumberFormat="1" applyFont="1" applyFill="1" applyBorder="1" applyAlignment="1">
      <alignment horizontal="right"/>
    </xf>
    <xf numFmtId="0" fontId="30" fillId="0" borderId="1" xfId="0" applyFont="1" applyFill="1" applyBorder="1" applyAlignment="1" applyProtection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/>
    </xf>
    <xf numFmtId="0" fontId="5" fillId="0" borderId="18" xfId="43" applyFont="1" applyBorder="1" applyAlignment="1">
      <alignment vertical="center"/>
    </xf>
    <xf numFmtId="0" fontId="73" fillId="0" borderId="1" xfId="43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/>
    </xf>
    <xf numFmtId="0" fontId="5" fillId="0" borderId="1" xfId="43" applyFont="1" applyBorder="1" applyAlignment="1">
      <alignment horizontal="center"/>
    </xf>
    <xf numFmtId="3" fontId="30" fillId="0" borderId="2" xfId="0" applyNumberFormat="1" applyFont="1" applyBorder="1"/>
    <xf numFmtId="3" fontId="36" fillId="0" borderId="1" xfId="0" applyNumberFormat="1" applyFont="1" applyFill="1" applyBorder="1" applyAlignment="1"/>
    <xf numFmtId="3" fontId="5" fillId="0" borderId="1" xfId="0" applyNumberFormat="1" applyFont="1" applyFill="1" applyBorder="1" applyAlignment="1"/>
    <xf numFmtId="3" fontId="34" fillId="0" borderId="1" xfId="0" applyNumberFormat="1" applyFont="1" applyFill="1" applyBorder="1" applyAlignment="1"/>
    <xf numFmtId="0" fontId="36" fillId="0" borderId="6" xfId="0" applyFont="1" applyFill="1" applyBorder="1" applyAlignment="1">
      <alignment horizontal="right" vertical="center"/>
    </xf>
    <xf numFmtId="0" fontId="36" fillId="0" borderId="6" xfId="0" applyFont="1" applyFill="1" applyBorder="1" applyAlignment="1">
      <alignment horizontal="left"/>
    </xf>
    <xf numFmtId="1" fontId="36" fillId="0" borderId="6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34" fillId="0" borderId="12" xfId="0" applyFont="1" applyFill="1" applyBorder="1" applyAlignment="1">
      <alignment horizontal="right" vertical="center" wrapText="1"/>
    </xf>
    <xf numFmtId="3" fontId="34" fillId="0" borderId="13" xfId="0" applyNumberFormat="1" applyFont="1" applyFill="1" applyBorder="1"/>
    <xf numFmtId="3" fontId="36" fillId="0" borderId="0" xfId="0" applyNumberFormat="1" applyFont="1" applyFill="1"/>
    <xf numFmtId="0" fontId="0" fillId="0" borderId="0" xfId="0" applyFill="1" applyAlignment="1"/>
    <xf numFmtId="3" fontId="29" fillId="0" borderId="1" xfId="0" applyNumberFormat="1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right" wrapText="1"/>
    </xf>
    <xf numFmtId="3" fontId="30" fillId="0" borderId="0" xfId="0" applyNumberFormat="1" applyFont="1" applyFill="1" applyBorder="1" applyAlignment="1">
      <alignment wrapText="1"/>
    </xf>
    <xf numFmtId="0" fontId="29" fillId="0" borderId="1" xfId="0" applyFont="1" applyFill="1" applyBorder="1" applyAlignment="1">
      <alignment horizontal="right"/>
    </xf>
    <xf numFmtId="0" fontId="29" fillId="0" borderId="1" xfId="0" applyFont="1" applyFill="1" applyBorder="1" applyAlignment="1"/>
    <xf numFmtId="49" fontId="5" fillId="0" borderId="8" xfId="43" applyNumberFormat="1" applyFont="1" applyFill="1" applyBorder="1" applyAlignment="1">
      <alignment vertical="center" wrapText="1"/>
    </xf>
    <xf numFmtId="0" fontId="5" fillId="0" borderId="1" xfId="43" applyFont="1" applyFill="1" applyBorder="1" applyAlignment="1">
      <alignment horizontal="right" vertical="center" wrapText="1"/>
    </xf>
    <xf numFmtId="167" fontId="5" fillId="0" borderId="1" xfId="98" applyNumberFormat="1" applyFont="1" applyFill="1" applyBorder="1" applyAlignment="1">
      <alignment horizontal="right" vertical="center" wrapText="1"/>
    </xf>
    <xf numFmtId="0" fontId="5" fillId="0" borderId="0" xfId="43" applyFont="1" applyFill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 applyProtection="1">
      <alignment vertical="center" wrapText="1"/>
      <protection locked="0"/>
    </xf>
    <xf numFmtId="165" fontId="30" fillId="0" borderId="62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 applyProtection="1">
      <alignment vertical="center" wrapText="1"/>
      <protection locked="0"/>
    </xf>
    <xf numFmtId="3" fontId="30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29" fillId="0" borderId="19" xfId="0" applyNumberFormat="1" applyFont="1" applyFill="1" applyBorder="1" applyAlignment="1" applyProtection="1">
      <alignment vertical="center" wrapText="1"/>
      <protection locked="0"/>
    </xf>
    <xf numFmtId="3" fontId="30" fillId="0" borderId="2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1" xfId="43" applyNumberFormat="1" applyFont="1" applyFill="1" applyBorder="1" applyAlignment="1">
      <alignment horizontal="right"/>
    </xf>
    <xf numFmtId="0" fontId="32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3" fontId="13" fillId="0" borderId="6" xfId="0" applyNumberFormat="1" applyFont="1" applyFill="1" applyBorder="1" applyAlignment="1" applyProtection="1">
      <alignment horizontal="right"/>
    </xf>
    <xf numFmtId="0" fontId="19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2" fillId="0" borderId="15" xfId="42" applyFont="1" applyBorder="1" applyAlignment="1">
      <alignment horizontal="center"/>
    </xf>
    <xf numFmtId="0" fontId="2" fillId="0" borderId="62" xfId="42" applyFont="1" applyBorder="1" applyAlignment="1">
      <alignment horizontal="center"/>
    </xf>
    <xf numFmtId="0" fontId="2" fillId="0" borderId="16" xfId="42" applyFont="1" applyBorder="1" applyAlignment="1">
      <alignment horizontal="center"/>
    </xf>
    <xf numFmtId="0" fontId="2" fillId="0" borderId="17" xfId="42" applyFont="1" applyBorder="1" applyAlignment="1">
      <alignment horizontal="center"/>
    </xf>
    <xf numFmtId="0" fontId="2" fillId="0" borderId="59" xfId="42" applyFont="1" applyBorder="1" applyAlignment="1">
      <alignment horizontal="center"/>
    </xf>
    <xf numFmtId="0" fontId="2" fillId="0" borderId="50" xfId="42" applyFont="1" applyBorder="1" applyAlignment="1">
      <alignment horizontal="center"/>
    </xf>
    <xf numFmtId="0" fontId="2" fillId="0" borderId="60" xfId="42" applyFont="1" applyBorder="1" applyAlignment="1">
      <alignment horizontal="center"/>
    </xf>
    <xf numFmtId="0" fontId="5" fillId="0" borderId="37" xfId="50" applyFont="1" applyBorder="1" applyAlignment="1">
      <alignment horizontal="right" wrapText="1"/>
    </xf>
    <xf numFmtId="0" fontId="3" fillId="0" borderId="9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59" xfId="1" applyFont="1" applyFill="1" applyBorder="1" applyAlignment="1">
      <alignment horizontal="center" vertical="center" wrapText="1"/>
    </xf>
    <xf numFmtId="0" fontId="4" fillId="0" borderId="51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0" fillId="0" borderId="15" xfId="0" applyNumberFormat="1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>
      <alignment horizontal="center" vertical="center" wrapText="1"/>
    </xf>
    <xf numFmtId="3" fontId="30" fillId="0" borderId="17" xfId="0" applyNumberFormat="1" applyFont="1" applyFill="1" applyBorder="1" applyAlignment="1">
      <alignment horizontal="center" vertical="center" wrapText="1"/>
    </xf>
    <xf numFmtId="3" fontId="30" fillId="0" borderId="62" xfId="0" applyNumberFormat="1" applyFont="1" applyFill="1" applyBorder="1" applyAlignment="1">
      <alignment horizontal="center" vertical="center" wrapText="1"/>
    </xf>
    <xf numFmtId="3" fontId="30" fillId="0" borderId="45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0" fillId="0" borderId="6" xfId="0" applyFont="1" applyBorder="1" applyAlignment="1">
      <alignment horizontal="right"/>
    </xf>
    <xf numFmtId="0" fontId="30" fillId="0" borderId="3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0" fillId="0" borderId="15" xfId="0" applyNumberFormat="1" applyFont="1" applyBorder="1" applyAlignment="1">
      <alignment horizontal="center" vertical="center" wrapText="1"/>
    </xf>
    <xf numFmtId="49" fontId="30" fillId="0" borderId="16" xfId="0" applyNumberFormat="1" applyFont="1" applyBorder="1" applyAlignment="1">
      <alignment horizontal="center" vertical="center" wrapText="1"/>
    </xf>
    <xf numFmtId="49" fontId="30" fillId="0" borderId="17" xfId="0" applyNumberFormat="1" applyFont="1" applyBorder="1" applyAlignment="1">
      <alignment horizontal="center" vertical="center" wrapText="1"/>
    </xf>
    <xf numFmtId="49" fontId="30" fillId="0" borderId="16" xfId="0" applyNumberFormat="1" applyFont="1" applyFill="1" applyBorder="1" applyAlignment="1">
      <alignment horizontal="center" vertical="center" wrapText="1"/>
    </xf>
    <xf numFmtId="49" fontId="30" fillId="0" borderId="17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Fill="1" applyBorder="1" applyAlignment="1">
      <alignment horizontal="center" vertical="center" wrapText="1"/>
    </xf>
    <xf numFmtId="49" fontId="30" fillId="0" borderId="45" xfId="0" applyNumberFormat="1" applyFont="1" applyFill="1" applyBorder="1" applyAlignment="1">
      <alignment horizontal="center" vertical="center" wrapText="1"/>
    </xf>
    <xf numFmtId="49" fontId="30" fillId="0" borderId="62" xfId="0" applyNumberFormat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49" fontId="30" fillId="0" borderId="3" xfId="0" applyNumberFormat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2" fillId="0" borderId="22" xfId="1" applyFont="1" applyFill="1" applyBorder="1" applyAlignment="1">
      <alignment horizontal="left" vertical="center" wrapText="1"/>
    </xf>
    <xf numFmtId="49" fontId="30" fillId="0" borderId="62" xfId="0" applyNumberFormat="1" applyFont="1" applyFill="1" applyBorder="1" applyAlignment="1">
      <alignment horizontal="center" vertical="center" wrapText="1"/>
    </xf>
    <xf numFmtId="49" fontId="30" fillId="0" borderId="8" xfId="0" applyNumberFormat="1" applyFont="1" applyFill="1" applyBorder="1" applyAlignment="1">
      <alignment horizontal="center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49" fontId="30" fillId="0" borderId="45" xfId="0" applyNumberFormat="1" applyFont="1" applyBorder="1" applyAlignment="1">
      <alignment horizontal="center" vertical="center" wrapText="1"/>
    </xf>
    <xf numFmtId="49" fontId="30" fillId="0" borderId="50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9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 wrapText="1"/>
    </xf>
    <xf numFmtId="0" fontId="2" fillId="0" borderId="100" xfId="1" applyFont="1" applyFill="1" applyBorder="1" applyAlignment="1">
      <alignment horizontal="left" vertical="center" wrapText="1"/>
    </xf>
    <xf numFmtId="0" fontId="2" fillId="0" borderId="98" xfId="1" applyFont="1" applyFill="1" applyBorder="1" applyAlignment="1">
      <alignment horizontal="left" vertical="center" wrapText="1"/>
    </xf>
    <xf numFmtId="0" fontId="2" fillId="0" borderId="24" xfId="1" applyFont="1" applyFill="1" applyBorder="1" applyAlignment="1">
      <alignment horizontal="left" vertical="center" wrapText="1"/>
    </xf>
    <xf numFmtId="49" fontId="30" fillId="0" borderId="101" xfId="0" applyNumberFormat="1" applyFont="1" applyFill="1" applyBorder="1" applyAlignment="1">
      <alignment horizontal="center" vertical="center" wrapText="1"/>
    </xf>
    <xf numFmtId="49" fontId="30" fillId="0" borderId="41" xfId="0" applyNumberFormat="1" applyFont="1" applyFill="1" applyBorder="1" applyAlignment="1">
      <alignment horizontal="center" vertical="center" wrapText="1"/>
    </xf>
    <xf numFmtId="49" fontId="30" fillId="0" borderId="102" xfId="0" applyNumberFormat="1" applyFont="1" applyFill="1" applyBorder="1" applyAlignment="1">
      <alignment horizontal="center" vertical="center" wrapText="1"/>
    </xf>
    <xf numFmtId="49" fontId="30" fillId="0" borderId="44" xfId="0" applyNumberFormat="1" applyFont="1" applyFill="1" applyBorder="1" applyAlignment="1">
      <alignment horizontal="center" vertical="center" wrapText="1"/>
    </xf>
    <xf numFmtId="49" fontId="30" fillId="0" borderId="6" xfId="0" applyNumberFormat="1" applyFont="1" applyFill="1" applyBorder="1" applyAlignment="1">
      <alignment horizontal="center" vertical="center" wrapText="1"/>
    </xf>
    <xf numFmtId="49" fontId="30" fillId="0" borderId="52" xfId="0" applyNumberFormat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49" fontId="29" fillId="0" borderId="3" xfId="0" applyNumberFormat="1" applyFont="1" applyBorder="1" applyAlignment="1">
      <alignment horizontal="center" vertical="center"/>
    </xf>
    <xf numFmtId="49" fontId="29" fillId="0" borderId="8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49" fontId="30" fillId="0" borderId="3" xfId="0" applyNumberFormat="1" applyFont="1" applyBorder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49" fontId="29" fillId="0" borderId="27" xfId="0" applyNumberFormat="1" applyFont="1" applyBorder="1" applyAlignment="1">
      <alignment horizontal="center"/>
    </xf>
    <xf numFmtId="49" fontId="29" fillId="0" borderId="57" xfId="0" applyNumberFormat="1" applyFont="1" applyBorder="1" applyAlignment="1">
      <alignment horizontal="center"/>
    </xf>
    <xf numFmtId="0" fontId="30" fillId="0" borderId="4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49" fontId="30" fillId="0" borderId="47" xfId="0" applyNumberFormat="1" applyFont="1" applyBorder="1" applyAlignment="1">
      <alignment horizontal="left" vertical="center" wrapText="1"/>
    </xf>
    <xf numFmtId="49" fontId="30" fillId="0" borderId="8" xfId="0" applyNumberFormat="1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49" fontId="30" fillId="0" borderId="15" xfId="0" applyNumberFormat="1" applyFont="1" applyBorder="1" applyAlignment="1">
      <alignment horizontal="center"/>
    </xf>
    <xf numFmtId="49" fontId="30" fillId="0" borderId="18" xfId="0" applyNumberFormat="1" applyFont="1" applyBorder="1" applyAlignment="1">
      <alignment horizontal="center"/>
    </xf>
    <xf numFmtId="0" fontId="30" fillId="0" borderId="1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82" xfId="0" applyNumberFormat="1" applyFont="1" applyFill="1" applyBorder="1" applyAlignment="1">
      <alignment horizontal="left" vertical="center" wrapText="1"/>
    </xf>
    <xf numFmtId="49" fontId="5" fillId="0" borderId="3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0" fillId="0" borderId="16" xfId="0" applyFont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3" fontId="30" fillId="0" borderId="5" xfId="0" applyNumberFormat="1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7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0" fillId="0" borderId="101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102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2" fillId="0" borderId="25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49" fontId="30" fillId="0" borderId="50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/>
    </xf>
    <xf numFmtId="0" fontId="36" fillId="0" borderId="1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/>
    </xf>
    <xf numFmtId="3" fontId="29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0" fontId="29" fillId="0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1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4" fillId="0" borderId="42" xfId="0" applyFont="1" applyFill="1" applyBorder="1" applyAlignment="1">
      <alignment horizontal="left" vertical="center" wrapText="1"/>
    </xf>
    <xf numFmtId="0" fontId="34" fillId="0" borderId="57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left" vertical="center" wrapText="1"/>
    </xf>
    <xf numFmtId="167" fontId="34" fillId="0" borderId="1" xfId="98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right"/>
    </xf>
    <xf numFmtId="0" fontId="36" fillId="0" borderId="3" xfId="0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58" xfId="0" applyFont="1" applyFill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30" fillId="0" borderId="37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21" fillId="0" borderId="12" xfId="0" applyNumberFormat="1" applyFont="1" applyFill="1" applyBorder="1" applyAlignment="1">
      <alignment horizontal="center" vertical="center"/>
    </xf>
    <xf numFmtId="3" fontId="21" fillId="0" borderId="13" xfId="0" applyNumberFormat="1" applyFont="1" applyFill="1" applyBorder="1" applyAlignment="1">
      <alignment horizontal="center" vertical="center"/>
    </xf>
    <xf numFmtId="3" fontId="21" fillId="0" borderId="42" xfId="0" applyNumberFormat="1" applyFont="1" applyFill="1" applyBorder="1" applyAlignment="1">
      <alignment horizontal="center" vertical="center"/>
    </xf>
    <xf numFmtId="3" fontId="21" fillId="0" borderId="39" xfId="0" applyNumberFormat="1" applyFont="1" applyFill="1" applyBorder="1" applyAlignment="1">
      <alignment horizontal="center" vertical="center"/>
    </xf>
    <xf numFmtId="3" fontId="21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1" fillId="0" borderId="39" xfId="0" applyNumberFormat="1" applyFont="1" applyFill="1" applyBorder="1" applyAlignment="1">
      <alignment horizontal="center" vertical="center" wrapText="1"/>
    </xf>
    <xf numFmtId="3" fontId="21" fillId="0" borderId="33" xfId="0" applyNumberFormat="1" applyFont="1" applyFill="1" applyBorder="1" applyAlignment="1">
      <alignment horizontal="center" vertical="center" wrapText="1"/>
    </xf>
    <xf numFmtId="3" fontId="21" fillId="0" borderId="60" xfId="0" applyNumberFormat="1" applyFont="1" applyFill="1" applyBorder="1" applyAlignment="1">
      <alignment horizontal="center" vertical="center"/>
    </xf>
    <xf numFmtId="3" fontId="21" fillId="0" borderId="53" xfId="0" applyNumberFormat="1" applyFont="1" applyFill="1" applyBorder="1" applyAlignment="1">
      <alignment horizontal="center"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5" fillId="0" borderId="1" xfId="43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43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5" fillId="0" borderId="2" xfId="43" applyFont="1" applyBorder="1" applyAlignment="1">
      <alignment horizontal="center" vertical="center" wrapText="1"/>
    </xf>
    <xf numFmtId="0" fontId="5" fillId="0" borderId="5" xfId="43" applyFont="1" applyBorder="1" applyAlignment="1">
      <alignment horizontal="center" vertical="center" wrapText="1"/>
    </xf>
    <xf numFmtId="167" fontId="5" fillId="0" borderId="1" xfId="98" applyNumberFormat="1" applyFont="1" applyBorder="1" applyAlignment="1">
      <alignment horizontal="center" vertical="center"/>
    </xf>
    <xf numFmtId="0" fontId="5" fillId="0" borderId="37" xfId="43" applyFont="1" applyBorder="1" applyAlignment="1">
      <alignment horizontal="center"/>
    </xf>
    <xf numFmtId="0" fontId="36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49" fontId="5" fillId="0" borderId="95" xfId="43" applyNumberFormat="1" applyFont="1" applyBorder="1" applyAlignment="1">
      <alignment horizontal="center" vertical="center"/>
    </xf>
    <xf numFmtId="49" fontId="5" fillId="0" borderId="7" xfId="43" applyNumberFormat="1" applyFont="1" applyBorder="1" applyAlignment="1">
      <alignment horizontal="center" vertical="center"/>
    </xf>
    <xf numFmtId="49" fontId="5" fillId="0" borderId="5" xfId="43" applyNumberFormat="1" applyFont="1" applyBorder="1" applyAlignment="1">
      <alignment horizontal="center" vertical="center"/>
    </xf>
    <xf numFmtId="0" fontId="3" fillId="0" borderId="16" xfId="43" applyFont="1" applyBorder="1" applyAlignment="1">
      <alignment horizontal="center" vertical="center" wrapText="1"/>
    </xf>
    <xf numFmtId="0" fontId="3" fillId="0" borderId="16" xfId="43" applyFont="1" applyBorder="1" applyAlignment="1">
      <alignment horizontal="center" vertical="center"/>
    </xf>
    <xf numFmtId="0" fontId="3" fillId="32" borderId="16" xfId="43" applyFont="1" applyFill="1" applyBorder="1" applyAlignment="1">
      <alignment horizontal="center" vertical="center" wrapText="1"/>
    </xf>
    <xf numFmtId="0" fontId="3" fillId="32" borderId="1" xfId="43" applyFont="1" applyFill="1" applyBorder="1" applyAlignment="1">
      <alignment horizontal="center" vertical="center" wrapText="1"/>
    </xf>
    <xf numFmtId="0" fontId="3" fillId="32" borderId="17" xfId="43" applyFont="1" applyFill="1" applyBorder="1" applyAlignment="1">
      <alignment horizontal="center" vertical="center" wrapText="1"/>
    </xf>
    <xf numFmtId="0" fontId="3" fillId="32" borderId="19" xfId="43" applyFont="1" applyFill="1" applyBorder="1" applyAlignment="1">
      <alignment horizontal="center" vertical="center" wrapText="1"/>
    </xf>
    <xf numFmtId="0" fontId="72" fillId="0" borderId="95" xfId="43" applyFont="1" applyBorder="1" applyAlignment="1">
      <alignment horizontal="center" vertical="center" wrapText="1"/>
    </xf>
    <xf numFmtId="0" fontId="72" fillId="0" borderId="7" xfId="43" applyFont="1" applyBorder="1" applyAlignment="1">
      <alignment horizontal="center" vertical="center" wrapText="1"/>
    </xf>
    <xf numFmtId="0" fontId="72" fillId="0" borderId="5" xfId="43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/>
    </xf>
    <xf numFmtId="0" fontId="72" fillId="32" borderId="16" xfId="43" applyFont="1" applyFill="1" applyBorder="1" applyAlignment="1">
      <alignment horizontal="center" vertical="center" wrapText="1"/>
    </xf>
    <xf numFmtId="0" fontId="72" fillId="32" borderId="1" xfId="43" applyFont="1" applyFill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/>
    </xf>
    <xf numFmtId="0" fontId="73" fillId="0" borderId="1" xfId="43" applyFont="1" applyBorder="1" applyAlignment="1">
      <alignment horizontal="center" vertical="center" wrapText="1"/>
    </xf>
    <xf numFmtId="0" fontId="73" fillId="0" borderId="1" xfId="44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2" fillId="33" borderId="17" xfId="43" applyFont="1" applyFill="1" applyBorder="1" applyAlignment="1">
      <alignment horizontal="center" vertical="center" wrapText="1"/>
    </xf>
    <xf numFmtId="0" fontId="72" fillId="33" borderId="19" xfId="43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2" fillId="0" borderId="16" xfId="43" applyFont="1" applyBorder="1" applyAlignment="1">
      <alignment horizontal="center" vertical="center" wrapText="1"/>
    </xf>
    <xf numFmtId="0" fontId="73" fillId="0" borderId="2" xfId="43" applyFont="1" applyBorder="1" applyAlignment="1">
      <alignment horizontal="center" vertical="center" wrapText="1"/>
    </xf>
    <xf numFmtId="0" fontId="73" fillId="0" borderId="5" xfId="43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3" fillId="0" borderId="8" xfId="43" applyFont="1" applyBorder="1" applyAlignment="1">
      <alignment horizontal="center" vertical="center" wrapText="1"/>
    </xf>
    <xf numFmtId="0" fontId="72" fillId="0" borderId="17" xfId="43" applyFont="1" applyFill="1" applyBorder="1" applyAlignment="1">
      <alignment horizontal="center" vertical="center" wrapText="1"/>
    </xf>
    <xf numFmtId="0" fontId="72" fillId="0" borderId="19" xfId="43" applyFont="1" applyFill="1" applyBorder="1" applyAlignment="1">
      <alignment horizontal="center" vertical="center" wrapText="1"/>
    </xf>
    <xf numFmtId="0" fontId="72" fillId="0" borderId="62" xfId="43" applyFont="1" applyBorder="1" applyAlignment="1">
      <alignment horizontal="center" vertical="center"/>
    </xf>
    <xf numFmtId="0" fontId="5" fillId="0" borderId="16" xfId="44" applyFont="1" applyBorder="1" applyAlignment="1">
      <alignment horizontal="center" vertical="center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T&#246;bbc&#233;l&#250;Kist&#233;rs&#233;giT&#225;rsul&#225;s\Normat&#237;va_2006\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workbookViewId="0">
      <selection activeCell="B34" sqref="B34"/>
    </sheetView>
  </sheetViews>
  <sheetFormatPr defaultRowHeight="15" x14ac:dyDescent="0.25"/>
  <cols>
    <col min="1" max="1" width="14.5703125" customWidth="1"/>
    <col min="2" max="2" width="82" customWidth="1"/>
    <col min="3" max="3" width="47.7109375" customWidth="1"/>
  </cols>
  <sheetData>
    <row r="1" spans="1:2" ht="51" customHeight="1" x14ac:dyDescent="0.25">
      <c r="A1" s="1109" t="s">
        <v>883</v>
      </c>
      <c r="B1" s="1109"/>
    </row>
    <row r="2" spans="1:2" ht="15.75" x14ac:dyDescent="0.25">
      <c r="A2" s="1110" t="s">
        <v>725</v>
      </c>
      <c r="B2" s="1110"/>
    </row>
    <row r="3" spans="1:2" x14ac:dyDescent="0.25">
      <c r="A3" s="294"/>
      <c r="B3" s="429"/>
    </row>
    <row r="4" spans="1:2" x14ac:dyDescent="0.25">
      <c r="A4" s="430" t="s">
        <v>581</v>
      </c>
      <c r="B4" s="431" t="s">
        <v>884</v>
      </c>
    </row>
    <row r="5" spans="1:2" x14ac:dyDescent="0.25">
      <c r="A5" s="430" t="s">
        <v>582</v>
      </c>
      <c r="B5" s="431" t="s">
        <v>885</v>
      </c>
    </row>
    <row r="6" spans="1:2" x14ac:dyDescent="0.25">
      <c r="A6" s="430" t="s">
        <v>583</v>
      </c>
      <c r="B6" s="431" t="s">
        <v>886</v>
      </c>
    </row>
    <row r="7" spans="1:2" x14ac:dyDescent="0.25">
      <c r="A7" s="430" t="s">
        <v>593</v>
      </c>
      <c r="B7" s="431" t="s">
        <v>887</v>
      </c>
    </row>
    <row r="8" spans="1:2" x14ac:dyDescent="0.25">
      <c r="A8" s="430" t="s">
        <v>594</v>
      </c>
      <c r="B8" s="431" t="s">
        <v>888</v>
      </c>
    </row>
    <row r="9" spans="1:2" x14ac:dyDescent="0.25">
      <c r="A9" s="430" t="s">
        <v>595</v>
      </c>
      <c r="B9" s="431" t="s">
        <v>889</v>
      </c>
    </row>
    <row r="10" spans="1:2" x14ac:dyDescent="0.25">
      <c r="A10" s="430" t="s">
        <v>584</v>
      </c>
      <c r="B10" s="431" t="s">
        <v>890</v>
      </c>
    </row>
    <row r="11" spans="1:2" x14ac:dyDescent="0.25">
      <c r="A11" s="430" t="s">
        <v>585</v>
      </c>
      <c r="B11" s="431" t="s">
        <v>891</v>
      </c>
    </row>
    <row r="12" spans="1:2" ht="25.5" x14ac:dyDescent="0.25">
      <c r="A12" s="430" t="s">
        <v>637</v>
      </c>
      <c r="B12" s="431" t="s">
        <v>892</v>
      </c>
    </row>
    <row r="13" spans="1:2" ht="25.5" x14ac:dyDescent="0.25">
      <c r="A13" s="430" t="s">
        <v>638</v>
      </c>
      <c r="B13" s="431" t="s">
        <v>893</v>
      </c>
    </row>
    <row r="14" spans="1:2" ht="25.5" x14ac:dyDescent="0.25">
      <c r="A14" s="430" t="s">
        <v>639</v>
      </c>
      <c r="B14" s="431" t="s">
        <v>894</v>
      </c>
    </row>
    <row r="15" spans="1:2" x14ac:dyDescent="0.25">
      <c r="A15" s="430" t="s">
        <v>640</v>
      </c>
      <c r="B15" s="431" t="s">
        <v>895</v>
      </c>
    </row>
    <row r="16" spans="1:2" x14ac:dyDescent="0.25">
      <c r="A16" s="430" t="s">
        <v>641</v>
      </c>
      <c r="B16" s="431" t="s">
        <v>896</v>
      </c>
    </row>
    <row r="17" spans="1:5" x14ac:dyDescent="0.25">
      <c r="A17" s="430" t="s">
        <v>642</v>
      </c>
      <c r="B17" s="431" t="s">
        <v>897</v>
      </c>
    </row>
    <row r="18" spans="1:5" x14ac:dyDescent="0.25">
      <c r="A18" s="430" t="s">
        <v>643</v>
      </c>
      <c r="B18" s="431" t="s">
        <v>898</v>
      </c>
    </row>
    <row r="19" spans="1:5" x14ac:dyDescent="0.25">
      <c r="A19" s="430" t="s">
        <v>586</v>
      </c>
      <c r="B19" s="431" t="s">
        <v>587</v>
      </c>
    </row>
    <row r="20" spans="1:5" x14ac:dyDescent="0.25">
      <c r="A20" s="430" t="s">
        <v>644</v>
      </c>
      <c r="B20" s="431" t="s">
        <v>899</v>
      </c>
    </row>
    <row r="21" spans="1:5" x14ac:dyDescent="0.25">
      <c r="A21" s="430" t="s">
        <v>645</v>
      </c>
      <c r="B21" s="431" t="s">
        <v>900</v>
      </c>
    </row>
    <row r="22" spans="1:5" x14ac:dyDescent="0.25">
      <c r="A22" s="430" t="s">
        <v>679</v>
      </c>
      <c r="B22" s="431" t="s">
        <v>901</v>
      </c>
    </row>
    <row r="23" spans="1:5" ht="17.25" customHeight="1" x14ac:dyDescent="0.25">
      <c r="A23" s="430" t="s">
        <v>588</v>
      </c>
      <c r="B23" s="431" t="s">
        <v>589</v>
      </c>
    </row>
    <row r="24" spans="1:5" x14ac:dyDescent="0.25">
      <c r="A24" s="430" t="s">
        <v>590</v>
      </c>
      <c r="B24" s="431" t="s">
        <v>591</v>
      </c>
    </row>
    <row r="25" spans="1:5" x14ac:dyDescent="0.25">
      <c r="A25" s="430" t="s">
        <v>592</v>
      </c>
      <c r="B25" s="431" t="s">
        <v>902</v>
      </c>
    </row>
    <row r="26" spans="1:5" x14ac:dyDescent="0.25">
      <c r="A26" s="430" t="s">
        <v>681</v>
      </c>
      <c r="B26" s="431" t="s">
        <v>470</v>
      </c>
      <c r="C26" s="431"/>
      <c r="D26" s="431"/>
      <c r="E26" s="431"/>
    </row>
    <row r="27" spans="1:5" x14ac:dyDescent="0.25">
      <c r="A27" s="430" t="s">
        <v>682</v>
      </c>
      <c r="B27" s="431" t="s">
        <v>596</v>
      </c>
    </row>
    <row r="28" spans="1:5" x14ac:dyDescent="0.25">
      <c r="A28" s="60" t="s">
        <v>790</v>
      </c>
      <c r="B28" s="60" t="s">
        <v>791</v>
      </c>
    </row>
    <row r="29" spans="1:5" x14ac:dyDescent="0.25">
      <c r="A29" s="60" t="s">
        <v>792</v>
      </c>
      <c r="B29" s="60" t="s">
        <v>793</v>
      </c>
    </row>
    <row r="30" spans="1:5" x14ac:dyDescent="0.25">
      <c r="A30" s="60" t="s">
        <v>794</v>
      </c>
      <c r="B30" s="60" t="s">
        <v>795</v>
      </c>
    </row>
    <row r="31" spans="1:5" x14ac:dyDescent="0.25">
      <c r="A31" s="60" t="s">
        <v>796</v>
      </c>
      <c r="B31" s="60" t="s">
        <v>903</v>
      </c>
    </row>
    <row r="32" spans="1:5" x14ac:dyDescent="0.25">
      <c r="A32" s="60" t="s">
        <v>797</v>
      </c>
      <c r="B32" s="60" t="s">
        <v>798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zoomScaleNormal="100" workbookViewId="0">
      <selection activeCell="E13" sqref="E13"/>
    </sheetView>
  </sheetViews>
  <sheetFormatPr defaultColWidth="9.140625" defaultRowHeight="15" x14ac:dyDescent="0.25"/>
  <cols>
    <col min="1" max="1" width="6.28515625" style="969" customWidth="1"/>
    <col min="2" max="2" width="7.140625" style="970" customWidth="1"/>
    <col min="3" max="3" width="22" style="970" customWidth="1"/>
    <col min="4" max="4" width="9.5703125" style="575" customWidth="1"/>
    <col min="5" max="5" width="8.5703125" style="575" customWidth="1"/>
    <col min="6" max="6" width="8.85546875" style="575" bestFit="1" customWidth="1"/>
    <col min="7" max="7" width="8.85546875" style="575" customWidth="1"/>
    <col min="8" max="8" width="9" style="575" customWidth="1"/>
    <col min="9" max="9" width="9.140625" style="575" bestFit="1" customWidth="1"/>
    <col min="10" max="13" width="9.5703125" style="575" customWidth="1"/>
    <col min="14" max="14" width="8.85546875" style="575" bestFit="1" customWidth="1"/>
    <col min="15" max="15" width="9.140625" style="575" bestFit="1" customWidth="1"/>
    <col min="16" max="17" width="9.5703125" style="575" customWidth="1"/>
    <col min="18" max="19" width="9.140625" style="575" bestFit="1" customWidth="1"/>
    <col min="20" max="20" width="8.5703125" style="575" customWidth="1"/>
    <col min="21" max="23" width="8.85546875" style="575" customWidth="1"/>
    <col min="24" max="24" width="9" style="575" customWidth="1"/>
    <col min="25" max="25" width="9.42578125" style="575" customWidth="1"/>
    <col min="26" max="26" width="8.85546875" style="575" bestFit="1" customWidth="1"/>
    <col min="27" max="27" width="9.42578125" style="575" customWidth="1"/>
    <col min="28" max="29" width="9.140625" style="959"/>
    <col min="30" max="30" width="9.140625" style="756"/>
    <col min="31" max="16384" width="9.140625" style="590"/>
  </cols>
  <sheetData>
    <row r="1" spans="1:29" s="949" customFormat="1" ht="12.75" customHeight="1" x14ac:dyDescent="0.25">
      <c r="A1" s="1155" t="s">
        <v>0</v>
      </c>
      <c r="B1" s="1157" t="s">
        <v>182</v>
      </c>
      <c r="C1" s="1158"/>
      <c r="D1" s="1161" t="s">
        <v>180</v>
      </c>
      <c r="E1" s="1162"/>
      <c r="F1" s="1162"/>
      <c r="G1" s="1161" t="s">
        <v>264</v>
      </c>
      <c r="H1" s="1162"/>
      <c r="I1" s="1163"/>
      <c r="J1" s="1161" t="s">
        <v>502</v>
      </c>
      <c r="K1" s="1162"/>
      <c r="L1" s="1163"/>
      <c r="M1" s="1161" t="s">
        <v>503</v>
      </c>
      <c r="N1" s="1162"/>
      <c r="O1" s="1163"/>
      <c r="P1" s="1164" t="s">
        <v>504</v>
      </c>
      <c r="Q1" s="1162"/>
      <c r="R1" s="1165"/>
      <c r="S1" s="1161" t="s">
        <v>265</v>
      </c>
      <c r="T1" s="1162"/>
      <c r="U1" s="1163"/>
      <c r="V1" s="1161" t="s">
        <v>505</v>
      </c>
      <c r="W1" s="1162"/>
      <c r="X1" s="1163"/>
      <c r="Y1" s="1164" t="s">
        <v>266</v>
      </c>
      <c r="Z1" s="1162"/>
      <c r="AA1" s="1163"/>
      <c r="AB1" s="948"/>
      <c r="AC1" s="948"/>
    </row>
    <row r="2" spans="1:29" s="951" customFormat="1" ht="26.25" thickBot="1" x14ac:dyDescent="0.3">
      <c r="A2" s="1156"/>
      <c r="B2" s="1159"/>
      <c r="C2" s="1160"/>
      <c r="D2" s="943" t="s">
        <v>912</v>
      </c>
      <c r="E2" s="943" t="s">
        <v>727</v>
      </c>
      <c r="F2" s="943" t="s">
        <v>950</v>
      </c>
      <c r="G2" s="1069" t="s">
        <v>912</v>
      </c>
      <c r="H2" s="1069" t="s">
        <v>727</v>
      </c>
      <c r="I2" s="1069" t="s">
        <v>950</v>
      </c>
      <c r="J2" s="1069" t="s">
        <v>912</v>
      </c>
      <c r="K2" s="1069" t="s">
        <v>727</v>
      </c>
      <c r="L2" s="1069" t="s">
        <v>950</v>
      </c>
      <c r="M2" s="1069" t="s">
        <v>912</v>
      </c>
      <c r="N2" s="1069" t="s">
        <v>727</v>
      </c>
      <c r="O2" s="1069" t="s">
        <v>950</v>
      </c>
      <c r="P2" s="1069" t="s">
        <v>912</v>
      </c>
      <c r="Q2" s="1069" t="s">
        <v>727</v>
      </c>
      <c r="R2" s="1069" t="s">
        <v>950</v>
      </c>
      <c r="S2" s="1069" t="s">
        <v>912</v>
      </c>
      <c r="T2" s="1069" t="s">
        <v>727</v>
      </c>
      <c r="U2" s="1069" t="s">
        <v>950</v>
      </c>
      <c r="V2" s="1069" t="s">
        <v>912</v>
      </c>
      <c r="W2" s="1069" t="s">
        <v>727</v>
      </c>
      <c r="X2" s="1069" t="s">
        <v>950</v>
      </c>
      <c r="Y2" s="1069" t="s">
        <v>912</v>
      </c>
      <c r="Z2" s="1069" t="s">
        <v>727</v>
      </c>
      <c r="AA2" s="1069" t="s">
        <v>950</v>
      </c>
      <c r="AB2" s="950"/>
      <c r="AC2" s="950"/>
    </row>
    <row r="3" spans="1:29" s="942" customFormat="1" ht="12.75" x14ac:dyDescent="0.2">
      <c r="A3" s="403" t="s">
        <v>27</v>
      </c>
      <c r="B3" s="1140" t="s">
        <v>174</v>
      </c>
      <c r="C3" s="1141"/>
      <c r="D3" s="952">
        <f>+G3+J3+M3+P3+S3+V3+Y3</f>
        <v>14378</v>
      </c>
      <c r="E3" s="953">
        <f>+H3+K3+N3+Q3+T3+W3+Z3</f>
        <v>1739</v>
      </c>
      <c r="F3" s="953">
        <f>+I3+L3+O3+R3+U3+X3+AA3</f>
        <v>16117</v>
      </c>
      <c r="G3" s="952">
        <f>+'5.a. mell. Jogalkotás'!D5</f>
        <v>0</v>
      </c>
      <c r="H3" s="953">
        <f>+'5.a. mell. Jogalkotás'!E5</f>
        <v>0</v>
      </c>
      <c r="I3" s="954">
        <f>+'5.a. mell. Jogalkotás'!F5</f>
        <v>0</v>
      </c>
      <c r="J3" s="952">
        <f>+'5.b. mell. VF saját forrásból'!D5</f>
        <v>0</v>
      </c>
      <c r="K3" s="952">
        <f>+'5.b. mell. VF saját forrásból'!E5</f>
        <v>0</v>
      </c>
      <c r="L3" s="952">
        <f>+'5.b. mell. VF saját forrásból'!F5</f>
        <v>0</v>
      </c>
      <c r="M3" s="952">
        <f>+'5.c. mell. VF Eu forrásból'!D5</f>
        <v>0</v>
      </c>
      <c r="N3" s="953">
        <f>+'5.c. mell. VF Eu forrásból'!E5</f>
        <v>0</v>
      </c>
      <c r="O3" s="954">
        <f>+'5.c. mell. VF Eu forrásból'!F5</f>
        <v>0</v>
      </c>
      <c r="P3" s="955">
        <f>+'5.d. mell. Védőnő, EÜ'!D5</f>
        <v>11615</v>
      </c>
      <c r="Q3" s="953">
        <f>+'5.d. mell. Védőnő, EÜ'!E5</f>
        <v>1739</v>
      </c>
      <c r="R3" s="956">
        <f>+'5.d. mell. Védőnő, EÜ'!F5</f>
        <v>13354</v>
      </c>
      <c r="S3" s="952"/>
      <c r="T3" s="953"/>
      <c r="U3" s="954"/>
      <c r="V3" s="952"/>
      <c r="W3" s="953"/>
      <c r="X3" s="954"/>
      <c r="Y3" s="955">
        <f>+'5.g. mell. Egyéb tev.'!D6</f>
        <v>2763</v>
      </c>
      <c r="Z3" s="953">
        <f>+'5.g. mell. Egyéb tev.'!E6</f>
        <v>0</v>
      </c>
      <c r="AA3" s="954">
        <f>+'5.g. mell. Egyéb tev.'!F6</f>
        <v>2763</v>
      </c>
      <c r="AB3" s="837"/>
      <c r="AC3" s="837"/>
    </row>
    <row r="4" spans="1:29" s="942" customFormat="1" ht="12.75" customHeight="1" x14ac:dyDescent="0.2">
      <c r="A4" s="404" t="s">
        <v>33</v>
      </c>
      <c r="B4" s="1144" t="s">
        <v>173</v>
      </c>
      <c r="C4" s="1145"/>
      <c r="D4" s="952">
        <f>+G4+J4+M4+P4+S4+V4+Y4</f>
        <v>43499</v>
      </c>
      <c r="E4" s="626">
        <f t="shared" ref="E4:E29" si="0">+H4+K4+N4+Q4+T4+W4+Z4</f>
        <v>-7391</v>
      </c>
      <c r="F4" s="626">
        <f>+I4+L4+O4+R4+U4+X4+AA4</f>
        <v>36108</v>
      </c>
      <c r="G4" s="625">
        <f>+'5.a. mell. Jogalkotás'!D6</f>
        <v>21141</v>
      </c>
      <c r="H4" s="626">
        <f>+'5.a. mell. Jogalkotás'!E6</f>
        <v>1641</v>
      </c>
      <c r="I4" s="627">
        <f>+'5.a. mell. Jogalkotás'!F6</f>
        <v>22782</v>
      </c>
      <c r="J4" s="625">
        <f>+'5.b. mell. VF saját forrásból'!D6</f>
        <v>9098</v>
      </c>
      <c r="K4" s="625">
        <f>+'5.b. mell. VF saját forrásból'!E6</f>
        <v>-9098</v>
      </c>
      <c r="L4" s="625">
        <f>+'5.b. mell. VF saját forrásból'!F6</f>
        <v>0</v>
      </c>
      <c r="M4" s="625">
        <f>+'5.c. mell. VF Eu forrásból'!D6</f>
        <v>11420</v>
      </c>
      <c r="N4" s="626">
        <f>+'5.c. mell. VF Eu forrásból'!E6</f>
        <v>0</v>
      </c>
      <c r="O4" s="627">
        <f>+'5.c. mell. VF Eu forrásból'!F6</f>
        <v>11420</v>
      </c>
      <c r="P4" s="628">
        <f>+'5.d. mell. Védőnő, EÜ'!D6</f>
        <v>1080</v>
      </c>
      <c r="Q4" s="626">
        <f>+'5.d. mell. Védőnő, EÜ'!E6</f>
        <v>0</v>
      </c>
      <c r="R4" s="957">
        <f>+'5.d. mell. Védőnő, EÜ'!F6</f>
        <v>1080</v>
      </c>
      <c r="S4" s="625"/>
      <c r="T4" s="626"/>
      <c r="U4" s="627"/>
      <c r="V4" s="625"/>
      <c r="W4" s="626"/>
      <c r="X4" s="627"/>
      <c r="Y4" s="628">
        <f>+'5.g. mell. Egyéb tev.'!D7</f>
        <v>760</v>
      </c>
      <c r="Z4" s="626">
        <f>+'5.g. mell. Egyéb tev.'!E7</f>
        <v>66</v>
      </c>
      <c r="AA4" s="627">
        <f>+'5.g. mell. Egyéb tev.'!F7</f>
        <v>826</v>
      </c>
      <c r="AB4" s="837"/>
      <c r="AC4" s="837"/>
    </row>
    <row r="5" spans="1:29" s="942" customFormat="1" ht="12.75" customHeight="1" x14ac:dyDescent="0.2">
      <c r="A5" s="405" t="s">
        <v>34</v>
      </c>
      <c r="B5" s="1142" t="s">
        <v>172</v>
      </c>
      <c r="C5" s="1143"/>
      <c r="D5" s="952">
        <f t="shared" ref="D5" si="1">+G5+J5+M5+P5+S5+V5+Y5</f>
        <v>57877</v>
      </c>
      <c r="E5" s="626">
        <f t="shared" si="0"/>
        <v>-5652</v>
      </c>
      <c r="F5" s="626">
        <f>+I5+L5+O5+R5+U5+X5+AA5</f>
        <v>52225</v>
      </c>
      <c r="G5" s="625">
        <f>+G3+G4</f>
        <v>21141</v>
      </c>
      <c r="H5" s="626">
        <f t="shared" ref="H5:I5" si="2">+H3+H4</f>
        <v>1641</v>
      </c>
      <c r="I5" s="627">
        <f t="shared" si="2"/>
        <v>22782</v>
      </c>
      <c r="J5" s="625">
        <f>+'5.b. mell. VF saját forrásból'!D7</f>
        <v>9098</v>
      </c>
      <c r="K5" s="625">
        <f>+'5.b. mell. VF saját forrásból'!E7</f>
        <v>-9098</v>
      </c>
      <c r="L5" s="625">
        <f>+'5.b. mell. VF saját forrásból'!F7</f>
        <v>0</v>
      </c>
      <c r="M5" s="625">
        <f>+M3+M4</f>
        <v>11420</v>
      </c>
      <c r="N5" s="626">
        <f t="shared" ref="N5:O5" si="3">+N3+N4</f>
        <v>0</v>
      </c>
      <c r="O5" s="627">
        <f t="shared" si="3"/>
        <v>11420</v>
      </c>
      <c r="P5" s="628">
        <f>+P3+P4</f>
        <v>12695</v>
      </c>
      <c r="Q5" s="626">
        <f t="shared" ref="Q5:R5" si="4">+Q3+Q4</f>
        <v>1739</v>
      </c>
      <c r="R5" s="957">
        <f t="shared" si="4"/>
        <v>14434</v>
      </c>
      <c r="S5" s="625"/>
      <c r="T5" s="626"/>
      <c r="U5" s="627"/>
      <c r="V5" s="625"/>
      <c r="W5" s="626"/>
      <c r="X5" s="627"/>
      <c r="Y5" s="628">
        <f>+'5.g. mell. Egyéb tev.'!D8</f>
        <v>3523</v>
      </c>
      <c r="Z5" s="626">
        <f>+'5.g. mell. Egyéb tev.'!E8</f>
        <v>66</v>
      </c>
      <c r="AA5" s="627">
        <f>+'5.g. mell. Egyéb tev.'!F8</f>
        <v>3589</v>
      </c>
      <c r="AB5" s="837"/>
      <c r="AC5" s="837"/>
    </row>
    <row r="6" spans="1:29" x14ac:dyDescent="0.25">
      <c r="A6" s="92"/>
      <c r="B6" s="408"/>
      <c r="C6" s="946"/>
      <c r="D6" s="958"/>
      <c r="E6" s="630"/>
      <c r="F6" s="630"/>
      <c r="G6" s="629"/>
      <c r="H6" s="630"/>
      <c r="I6" s="631"/>
      <c r="J6" s="629"/>
      <c r="K6" s="630"/>
      <c r="L6" s="631"/>
      <c r="M6" s="629"/>
      <c r="N6" s="630"/>
      <c r="O6" s="631"/>
      <c r="P6" s="630"/>
      <c r="Q6" s="630"/>
      <c r="R6" s="630"/>
      <c r="S6" s="629"/>
      <c r="T6" s="630"/>
      <c r="U6" s="631"/>
      <c r="V6" s="629"/>
      <c r="W6" s="630"/>
      <c r="X6" s="631"/>
      <c r="Y6" s="630"/>
      <c r="Z6" s="630"/>
      <c r="AA6" s="631"/>
    </row>
    <row r="7" spans="1:29" s="942" customFormat="1" ht="12.75" customHeight="1" x14ac:dyDescent="0.2">
      <c r="A7" s="405" t="s">
        <v>35</v>
      </c>
      <c r="B7" s="1142" t="s">
        <v>171</v>
      </c>
      <c r="C7" s="1143"/>
      <c r="D7" s="625">
        <f>+G7+J7+M7+P7+S7+V7+Y7</f>
        <v>9455</v>
      </c>
      <c r="E7" s="626">
        <f t="shared" si="0"/>
        <v>645</v>
      </c>
      <c r="F7" s="626">
        <f t="shared" ref="F7:F29" si="5">+I7+L7+O7+R7+U7+X7+AA7</f>
        <v>10100</v>
      </c>
      <c r="G7" s="625">
        <f>+'5.a. mell. Jogalkotás'!D9</f>
        <v>4142</v>
      </c>
      <c r="H7" s="626">
        <f>+'5.a. mell. Jogalkotás'!E9</f>
        <v>314</v>
      </c>
      <c r="I7" s="627">
        <f>+'5.a. mell. Jogalkotás'!F9</f>
        <v>4456</v>
      </c>
      <c r="J7" s="625">
        <f>+'5.b. mell. VF saját forrásból'!D9</f>
        <v>0</v>
      </c>
      <c r="K7" s="625">
        <f>+'5.b. mell. VF saját forrásból'!E9</f>
        <v>0</v>
      </c>
      <c r="L7" s="625">
        <f>+'5.b. mell. VF saját forrásból'!F9</f>
        <v>0</v>
      </c>
      <c r="M7" s="625">
        <f>+'5.c. mell. VF Eu forrásból'!D9</f>
        <v>2004</v>
      </c>
      <c r="N7" s="626">
        <f>+'5.c. mell. VF Eu forrásból'!E9</f>
        <v>0</v>
      </c>
      <c r="O7" s="627">
        <f>+'5.c. mell. VF Eu forrásból'!F9</f>
        <v>2004</v>
      </c>
      <c r="P7" s="628">
        <f>+'5.d. mell. Védőnő, EÜ'!D9</f>
        <v>2512</v>
      </c>
      <c r="Q7" s="626">
        <f>+'5.d. mell. Védőnő, EÜ'!E9</f>
        <v>305</v>
      </c>
      <c r="R7" s="957">
        <f>+'5.d. mell. Védőnő, EÜ'!F9</f>
        <v>2817</v>
      </c>
      <c r="S7" s="625"/>
      <c r="T7" s="626"/>
      <c r="U7" s="627"/>
      <c r="V7" s="625"/>
      <c r="W7" s="626"/>
      <c r="X7" s="627"/>
      <c r="Y7" s="628">
        <f>+'5.g. mell. Egyéb tev.'!D10</f>
        <v>797</v>
      </c>
      <c r="Z7" s="626">
        <f>+'5.g. mell. Egyéb tev.'!E10</f>
        <v>26</v>
      </c>
      <c r="AA7" s="627">
        <f>+'5.g. mell. Egyéb tev.'!F10</f>
        <v>823</v>
      </c>
      <c r="AB7" s="837"/>
      <c r="AC7" s="837"/>
    </row>
    <row r="8" spans="1:29" x14ac:dyDescent="0.25">
      <c r="A8" s="92"/>
      <c r="B8" s="960"/>
      <c r="C8" s="297"/>
      <c r="D8" s="958"/>
      <c r="E8" s="630"/>
      <c r="F8" s="630"/>
      <c r="G8" s="629"/>
      <c r="H8" s="630"/>
      <c r="I8" s="631"/>
      <c r="J8" s="629"/>
      <c r="K8" s="630"/>
      <c r="L8" s="631"/>
      <c r="M8" s="629"/>
      <c r="N8" s="630"/>
      <c r="O8" s="631"/>
      <c r="P8" s="630"/>
      <c r="Q8" s="630"/>
      <c r="R8" s="630"/>
      <c r="S8" s="629"/>
      <c r="T8" s="630"/>
      <c r="U8" s="631"/>
      <c r="V8" s="629"/>
      <c r="W8" s="630"/>
      <c r="X8" s="631"/>
      <c r="Y8" s="630"/>
      <c r="Z8" s="630"/>
      <c r="AA8" s="631"/>
    </row>
    <row r="9" spans="1:29" s="942" customFormat="1" ht="12.75" customHeight="1" x14ac:dyDescent="0.2">
      <c r="A9" s="404" t="s">
        <v>47</v>
      </c>
      <c r="B9" s="1144" t="s">
        <v>170</v>
      </c>
      <c r="C9" s="1145"/>
      <c r="D9" s="625">
        <f>+G9+J9+M9+P9+S9+V9+Y9</f>
        <v>4314</v>
      </c>
      <c r="E9" s="633">
        <f t="shared" si="0"/>
        <v>192</v>
      </c>
      <c r="F9" s="633">
        <f t="shared" si="5"/>
        <v>4506</v>
      </c>
      <c r="G9" s="632">
        <f>+'5.a. mell. Jogalkotás'!D14</f>
        <v>697</v>
      </c>
      <c r="H9" s="633">
        <f>+'5.a. mell. Jogalkotás'!E14</f>
        <v>-57</v>
      </c>
      <c r="I9" s="634">
        <f>+'5.a. mell. Jogalkotás'!F14</f>
        <v>640</v>
      </c>
      <c r="J9" s="632">
        <f>+'5.b. mell. VF saját forrásból'!D14</f>
        <v>273</v>
      </c>
      <c r="K9" s="633">
        <f>+'5.b. mell. VF saját forrásból'!E14</f>
        <v>60</v>
      </c>
      <c r="L9" s="634">
        <f>+'5.b. mell. VF saját forrásból'!F14</f>
        <v>333</v>
      </c>
      <c r="M9" s="632">
        <f>+'5.c. mell. VF Eu forrásból'!D14</f>
        <v>1442</v>
      </c>
      <c r="N9" s="633">
        <f>+'5.c. mell. VF Eu forrásból'!E14</f>
        <v>147</v>
      </c>
      <c r="O9" s="634">
        <f>+'5.c. mell. VF Eu forrásból'!F14</f>
        <v>1589</v>
      </c>
      <c r="P9" s="635">
        <f>+'5.d. mell. Védőnő, EÜ'!D14</f>
        <v>374</v>
      </c>
      <c r="Q9" s="633">
        <f>+'5.d. mell. Védőnő, EÜ'!E14</f>
        <v>122</v>
      </c>
      <c r="R9" s="961">
        <f>+'5.d. mell. Védőnő, EÜ'!F14</f>
        <v>496</v>
      </c>
      <c r="S9" s="633">
        <f>+'5.e. mell. Szociális ellátások'!F8</f>
        <v>1124</v>
      </c>
      <c r="T9" s="633">
        <f>+'5.e. mell. Szociális ellátások'!G8</f>
        <v>0</v>
      </c>
      <c r="U9" s="634">
        <f>+'5.e. mell. Szociális ellátások'!H8</f>
        <v>1124</v>
      </c>
      <c r="V9" s="632"/>
      <c r="W9" s="633"/>
      <c r="X9" s="634"/>
      <c r="Y9" s="635">
        <f>+'5.g. mell. Egyéb tev.'!D15</f>
        <v>404</v>
      </c>
      <c r="Z9" s="633">
        <f>+'5.g. mell. Egyéb tev.'!E15</f>
        <v>-80</v>
      </c>
      <c r="AA9" s="634">
        <f>+'5.g. mell. Egyéb tev.'!F15</f>
        <v>324</v>
      </c>
      <c r="AB9" s="837"/>
      <c r="AC9" s="837"/>
    </row>
    <row r="10" spans="1:29" s="942" customFormat="1" ht="12.75" customHeight="1" x14ac:dyDescent="0.2">
      <c r="A10" s="404" t="s">
        <v>52</v>
      </c>
      <c r="B10" s="1144" t="s">
        <v>169</v>
      </c>
      <c r="C10" s="1145"/>
      <c r="D10" s="625">
        <f t="shared" ref="D10:D12" si="6">+G10+J10+M10+P10+S10+V10+Y10</f>
        <v>3377</v>
      </c>
      <c r="E10" s="633">
        <f t="shared" si="0"/>
        <v>64</v>
      </c>
      <c r="F10" s="633">
        <f t="shared" si="5"/>
        <v>3441</v>
      </c>
      <c r="G10" s="632">
        <f>+'5.a. mell. Jogalkotás'!D17</f>
        <v>300</v>
      </c>
      <c r="H10" s="633">
        <f>+'5.a. mell. Jogalkotás'!E17</f>
        <v>0</v>
      </c>
      <c r="I10" s="634">
        <f>+'5.a. mell. Jogalkotás'!F17</f>
        <v>300</v>
      </c>
      <c r="J10" s="632">
        <f>+'5.b. mell. VF saját forrásból'!D17</f>
        <v>0</v>
      </c>
      <c r="K10" s="633">
        <f>+'5.b. mell. VF saját forrásból'!E17</f>
        <v>0</v>
      </c>
      <c r="L10" s="633">
        <f>+'5.b. mell. VF saját forrásból'!F17</f>
        <v>0</v>
      </c>
      <c r="M10" s="632">
        <f>+'5.c. mell. VF Eu forrásból'!D17</f>
        <v>0</v>
      </c>
      <c r="N10" s="633">
        <f>+'5.c. mell. VF Eu forrásból'!E17</f>
        <v>0</v>
      </c>
      <c r="O10" s="634">
        <f>+'5.c. mell. VF Eu forrásból'!F17</f>
        <v>0</v>
      </c>
      <c r="P10" s="635">
        <f>+'5.d. mell. Védőnő, EÜ'!D17</f>
        <v>317</v>
      </c>
      <c r="Q10" s="633">
        <f>+'5.d. mell. Védőnő, EÜ'!E17</f>
        <v>0</v>
      </c>
      <c r="R10" s="961">
        <f>+'5.d. mell. Védőnő, EÜ'!F17</f>
        <v>317</v>
      </c>
      <c r="S10" s="632"/>
      <c r="T10" s="633"/>
      <c r="U10" s="634"/>
      <c r="V10" s="632"/>
      <c r="W10" s="633"/>
      <c r="X10" s="634"/>
      <c r="Y10" s="635">
        <f>+'5.g. mell. Egyéb tev.'!D18</f>
        <v>2760</v>
      </c>
      <c r="Z10" s="633">
        <f>+'5.g. mell. Egyéb tev.'!E18</f>
        <v>64</v>
      </c>
      <c r="AA10" s="634">
        <f>+'5.g. mell. Egyéb tev.'!F18</f>
        <v>2824</v>
      </c>
      <c r="AB10" s="837"/>
      <c r="AC10" s="837"/>
    </row>
    <row r="11" spans="1:29" s="942" customFormat="1" ht="12.75" customHeight="1" x14ac:dyDescent="0.2">
      <c r="A11" s="404" t="s">
        <v>66</v>
      </c>
      <c r="B11" s="1144" t="s">
        <v>156</v>
      </c>
      <c r="C11" s="1145"/>
      <c r="D11" s="625">
        <f t="shared" si="6"/>
        <v>101239</v>
      </c>
      <c r="E11" s="633">
        <f t="shared" si="0"/>
        <v>2041</v>
      </c>
      <c r="F11" s="633">
        <f t="shared" si="5"/>
        <v>103280</v>
      </c>
      <c r="G11" s="632">
        <f>+'5.a. mell. Jogalkotás'!D25</f>
        <v>8856</v>
      </c>
      <c r="H11" s="633">
        <f>+'5.a. mell. Jogalkotás'!E25</f>
        <v>1239</v>
      </c>
      <c r="I11" s="634">
        <f>+'5.a. mell. Jogalkotás'!F25</f>
        <v>10095</v>
      </c>
      <c r="J11" s="632">
        <f>+'5.b. mell. VF saját forrásból'!D25</f>
        <v>15639</v>
      </c>
      <c r="K11" s="633">
        <f>+'5.b. mell. VF saját forrásból'!E25</f>
        <v>-7398</v>
      </c>
      <c r="L11" s="633">
        <f>+'5.b. mell. VF saját forrásból'!F25</f>
        <v>8241</v>
      </c>
      <c r="M11" s="632">
        <f>+'5.c. mell. VF Eu forrásból'!D25</f>
        <v>11895</v>
      </c>
      <c r="N11" s="633">
        <f>+'5.c. mell. VF Eu forrásból'!E25</f>
        <v>-164</v>
      </c>
      <c r="O11" s="634">
        <f>+'5.c. mell. VF Eu forrásból'!F25</f>
        <v>11731</v>
      </c>
      <c r="P11" s="635">
        <f>+'5.d. mell. Védőnő, EÜ'!D25</f>
        <v>1796</v>
      </c>
      <c r="Q11" s="633">
        <f>+'5.d. mell. Védőnő, EÜ'!E25</f>
        <v>-768</v>
      </c>
      <c r="R11" s="961">
        <f>+'5.d. mell. Védőnő, EÜ'!F25</f>
        <v>1028</v>
      </c>
      <c r="S11" s="632">
        <f>+'5.e. mell. Szociális ellátások'!I8</f>
        <v>0</v>
      </c>
      <c r="T11" s="633">
        <f>+'5.e. mell. Szociális ellátások'!J8</f>
        <v>172</v>
      </c>
      <c r="U11" s="634">
        <f>+'5.e. mell. Szociális ellátások'!K8</f>
        <v>172</v>
      </c>
      <c r="V11" s="632"/>
      <c r="W11" s="633"/>
      <c r="X11" s="634"/>
      <c r="Y11" s="635">
        <f>+'5.g. mell. Egyéb tev.'!D26</f>
        <v>63053</v>
      </c>
      <c r="Z11" s="633">
        <f>+'5.g. mell. Egyéb tev.'!E26</f>
        <v>8960</v>
      </c>
      <c r="AA11" s="634">
        <f>+'5.g. mell. Egyéb tev.'!F26</f>
        <v>72013</v>
      </c>
      <c r="AB11" s="837"/>
      <c r="AC11" s="837"/>
    </row>
    <row r="12" spans="1:29" s="942" customFormat="1" ht="12.75" customHeight="1" x14ac:dyDescent="0.2">
      <c r="A12" s="404" t="s">
        <v>71</v>
      </c>
      <c r="B12" s="1144" t="s">
        <v>155</v>
      </c>
      <c r="C12" s="1145"/>
      <c r="D12" s="625">
        <f t="shared" si="6"/>
        <v>9430</v>
      </c>
      <c r="E12" s="633">
        <f t="shared" si="0"/>
        <v>107</v>
      </c>
      <c r="F12" s="633">
        <f t="shared" si="5"/>
        <v>9537</v>
      </c>
      <c r="G12" s="632">
        <f>+'5.a. mell. Jogalkotás'!D28</f>
        <v>305</v>
      </c>
      <c r="H12" s="633">
        <f>+'5.a. mell. Jogalkotás'!E28</f>
        <v>50</v>
      </c>
      <c r="I12" s="634">
        <f>+'5.a. mell. Jogalkotás'!F28</f>
        <v>355</v>
      </c>
      <c r="J12" s="632">
        <f>+'5.b. mell. VF saját forrásból'!D28</f>
        <v>1000</v>
      </c>
      <c r="K12" s="633">
        <f>+'5.b. mell. VF saját forrásból'!E28</f>
        <v>0</v>
      </c>
      <c r="L12" s="634">
        <f>+'5.b. mell. VF saját forrásból'!F28</f>
        <v>1000</v>
      </c>
      <c r="M12" s="632">
        <f>+'5.c. mell. VF Eu forrásból'!D28</f>
        <v>7745</v>
      </c>
      <c r="N12" s="633">
        <f>+'5.c. mell. VF Eu forrásból'!E28</f>
        <v>1</v>
      </c>
      <c r="O12" s="634">
        <f>+'5.c. mell. VF Eu forrásból'!F28</f>
        <v>7746</v>
      </c>
      <c r="P12" s="635">
        <f>+'5.d. mell. Védőnő, EÜ'!D28</f>
        <v>223</v>
      </c>
      <c r="Q12" s="633">
        <f>+'5.d. mell. Védőnő, EÜ'!E28</f>
        <v>48</v>
      </c>
      <c r="R12" s="961">
        <f>+'5.d. mell. Védőnő, EÜ'!F28</f>
        <v>271</v>
      </c>
      <c r="S12" s="632"/>
      <c r="T12" s="633"/>
      <c r="U12" s="634"/>
      <c r="V12" s="632"/>
      <c r="W12" s="633"/>
      <c r="X12" s="634"/>
      <c r="Y12" s="635">
        <f>+'5.g. mell. Egyéb tev.'!D29</f>
        <v>157</v>
      </c>
      <c r="Z12" s="633">
        <f>+'5.g. mell. Egyéb tev.'!E29</f>
        <v>8</v>
      </c>
      <c r="AA12" s="634">
        <f>+'5.g. mell. Egyéb tev.'!F29</f>
        <v>165</v>
      </c>
      <c r="AB12" s="837"/>
      <c r="AC12" s="837"/>
    </row>
    <row r="13" spans="1:29" s="942" customFormat="1" ht="28.5" customHeight="1" x14ac:dyDescent="0.2">
      <c r="A13" s="404" t="s">
        <v>80</v>
      </c>
      <c r="B13" s="1144" t="s">
        <v>152</v>
      </c>
      <c r="C13" s="1145"/>
      <c r="D13" s="625">
        <f>+G13+J13+M13+P13+S13+V13+Y13</f>
        <v>291440</v>
      </c>
      <c r="E13" s="633">
        <f t="shared" si="0"/>
        <v>74947</v>
      </c>
      <c r="F13" s="633">
        <f t="shared" si="5"/>
        <v>366387</v>
      </c>
      <c r="G13" s="632">
        <f>+'5.a. mell. Jogalkotás'!D34</f>
        <v>1332</v>
      </c>
      <c r="H13" s="633">
        <f>+'5.a. mell. Jogalkotás'!E34</f>
        <v>270</v>
      </c>
      <c r="I13" s="634">
        <f>+'5.a. mell. Jogalkotás'!F34</f>
        <v>1602</v>
      </c>
      <c r="J13" s="632">
        <f>+'5.b. mell. VF saját forrásból'!D34</f>
        <v>79294</v>
      </c>
      <c r="K13" s="633">
        <f>+'5.b. mell. VF saját forrásból'!E34</f>
        <v>51989</v>
      </c>
      <c r="L13" s="634">
        <f>+'5.b. mell. VF saját forrásból'!F34</f>
        <v>131283</v>
      </c>
      <c r="M13" s="632">
        <f>+'5.c. mell. VF Eu forrásból'!D34</f>
        <v>132210</v>
      </c>
      <c r="N13" s="633">
        <f>+'5.c. mell. VF Eu forrásból'!E34</f>
        <v>-653</v>
      </c>
      <c r="O13" s="634">
        <f>+'5.c. mell. VF Eu forrásból'!F34</f>
        <v>131557</v>
      </c>
      <c r="P13" s="635">
        <f>+'5.d. mell. Védőnő, EÜ'!D34</f>
        <v>183</v>
      </c>
      <c r="Q13" s="633">
        <f>+'5.d. mell. Védőnő, EÜ'!E34</f>
        <v>-20</v>
      </c>
      <c r="R13" s="961">
        <f>+'5.d. mell. Védőnő, EÜ'!F34</f>
        <v>163</v>
      </c>
      <c r="S13" s="633">
        <f>+'5.e. mell. Szociális ellátások'!L8</f>
        <v>304</v>
      </c>
      <c r="T13" s="633">
        <f>+'5.e. mell. Szociális ellátások'!M8</f>
        <v>46</v>
      </c>
      <c r="U13" s="634">
        <f>+'5.e. mell. Szociális ellátások'!N8</f>
        <v>350</v>
      </c>
      <c r="V13" s="632"/>
      <c r="W13" s="633"/>
      <c r="X13" s="634"/>
      <c r="Y13" s="635">
        <f>+'5.g. mell. Egyéb tev.'!D35</f>
        <v>78117</v>
      </c>
      <c r="Z13" s="633">
        <f>+'5.g. mell. Egyéb tev.'!E35</f>
        <v>23315</v>
      </c>
      <c r="AA13" s="634">
        <f>+'5.g. mell. Egyéb tev.'!F35</f>
        <v>101432</v>
      </c>
      <c r="AB13" s="837"/>
      <c r="AC13" s="837"/>
    </row>
    <row r="14" spans="1:29" s="942" customFormat="1" ht="12.75" customHeight="1" x14ac:dyDescent="0.2">
      <c r="A14" s="405" t="s">
        <v>81</v>
      </c>
      <c r="B14" s="1142" t="s">
        <v>151</v>
      </c>
      <c r="C14" s="1143"/>
      <c r="D14" s="625">
        <f>+G14+J14+M14+P14+S14+V14+Y14</f>
        <v>409800</v>
      </c>
      <c r="E14" s="626">
        <f t="shared" si="0"/>
        <v>77351</v>
      </c>
      <c r="F14" s="626">
        <f t="shared" si="5"/>
        <v>487151</v>
      </c>
      <c r="G14" s="625">
        <f>SUM(G9:G13)</f>
        <v>11490</v>
      </c>
      <c r="H14" s="626">
        <f t="shared" ref="H14:I14" si="7">SUM(H9:H13)</f>
        <v>1502</v>
      </c>
      <c r="I14" s="627">
        <f t="shared" si="7"/>
        <v>12992</v>
      </c>
      <c r="J14" s="625">
        <f>+'5.b. mell. VF saját forrásból'!D35</f>
        <v>96206</v>
      </c>
      <c r="K14" s="626">
        <f>+'5.b. mell. VF saját forrásból'!E35</f>
        <v>44651</v>
      </c>
      <c r="L14" s="627">
        <f>+'5.b. mell. VF saját forrásból'!F35</f>
        <v>140857</v>
      </c>
      <c r="M14" s="625">
        <f>SUM(M9:M13)</f>
        <v>153292</v>
      </c>
      <c r="N14" s="626">
        <f t="shared" ref="N14:O14" si="8">SUM(N9:N13)</f>
        <v>-669</v>
      </c>
      <c r="O14" s="627">
        <f t="shared" si="8"/>
        <v>152623</v>
      </c>
      <c r="P14" s="628">
        <f>SUM(P9:P13)</f>
        <v>2893</v>
      </c>
      <c r="Q14" s="626">
        <f t="shared" ref="Q14:U14" si="9">SUM(Q9:Q13)</f>
        <v>-618</v>
      </c>
      <c r="R14" s="957">
        <f t="shared" si="9"/>
        <v>2275</v>
      </c>
      <c r="S14" s="628">
        <f>SUM(S9:S13)</f>
        <v>1428</v>
      </c>
      <c r="T14" s="626">
        <f t="shared" si="9"/>
        <v>218</v>
      </c>
      <c r="U14" s="957">
        <f t="shared" si="9"/>
        <v>1646</v>
      </c>
      <c r="V14" s="625"/>
      <c r="W14" s="626"/>
      <c r="X14" s="627"/>
      <c r="Y14" s="628">
        <f>SUM(Y9:Y13)</f>
        <v>144491</v>
      </c>
      <c r="Z14" s="626">
        <f t="shared" ref="Z14:AA14" si="10">SUM(Z9:Z13)</f>
        <v>32267</v>
      </c>
      <c r="AA14" s="627">
        <f t="shared" si="10"/>
        <v>176758</v>
      </c>
      <c r="AB14" s="837"/>
      <c r="AC14" s="837"/>
    </row>
    <row r="15" spans="1:29" x14ac:dyDescent="0.25">
      <c r="A15" s="92"/>
      <c r="B15" s="408"/>
      <c r="C15" s="946"/>
      <c r="D15" s="958"/>
      <c r="E15" s="630"/>
      <c r="F15" s="630"/>
      <c r="G15" s="629"/>
      <c r="H15" s="630"/>
      <c r="I15" s="631"/>
      <c r="J15" s="629"/>
      <c r="K15" s="630"/>
      <c r="L15" s="631"/>
      <c r="M15" s="629"/>
      <c r="N15" s="630"/>
      <c r="O15" s="631"/>
      <c r="P15" s="630"/>
      <c r="Q15" s="630"/>
      <c r="R15" s="630"/>
      <c r="S15" s="629"/>
      <c r="T15" s="630"/>
      <c r="U15" s="631"/>
      <c r="V15" s="629"/>
      <c r="W15" s="630"/>
      <c r="X15" s="631"/>
      <c r="Y15" s="630"/>
      <c r="Z15" s="630"/>
      <c r="AA15" s="631"/>
    </row>
    <row r="16" spans="1:29" s="942" customFormat="1" ht="12.75" customHeight="1" x14ac:dyDescent="0.2">
      <c r="A16" s="405" t="s">
        <v>94</v>
      </c>
      <c r="B16" s="1149" t="s">
        <v>150</v>
      </c>
      <c r="C16" s="1150"/>
      <c r="D16" s="625">
        <f>+G16+J16+M16+P16+S16+V16+Y16</f>
        <v>16536</v>
      </c>
      <c r="E16" s="626">
        <f t="shared" si="0"/>
        <v>-176</v>
      </c>
      <c r="F16" s="626">
        <f t="shared" si="5"/>
        <v>16360</v>
      </c>
      <c r="G16" s="625"/>
      <c r="H16" s="626"/>
      <c r="I16" s="627"/>
      <c r="J16" s="625"/>
      <c r="K16" s="626"/>
      <c r="L16" s="627"/>
      <c r="M16" s="625"/>
      <c r="N16" s="626"/>
      <c r="O16" s="627"/>
      <c r="P16" s="628"/>
      <c r="Q16" s="626"/>
      <c r="R16" s="957"/>
      <c r="S16" s="625">
        <f>+'5.e. mell. Szociális ellátások'!C8</f>
        <v>16536</v>
      </c>
      <c r="T16" s="626">
        <f>+'5.e. mell. Szociális ellátások'!D8</f>
        <v>-176</v>
      </c>
      <c r="U16" s="627">
        <f>+'5.e. mell. Szociális ellátások'!E8</f>
        <v>16360</v>
      </c>
      <c r="V16" s="625"/>
      <c r="W16" s="626"/>
      <c r="X16" s="627"/>
      <c r="Y16" s="628"/>
      <c r="Z16" s="626"/>
      <c r="AA16" s="627"/>
      <c r="AB16" s="837"/>
      <c r="AC16" s="837"/>
    </row>
    <row r="17" spans="1:29" x14ac:dyDescent="0.25">
      <c r="A17" s="92"/>
      <c r="B17" s="1151"/>
      <c r="C17" s="1152"/>
      <c r="D17" s="958"/>
      <c r="E17" s="630"/>
      <c r="F17" s="630"/>
      <c r="G17" s="629"/>
      <c r="H17" s="630"/>
      <c r="I17" s="631"/>
      <c r="J17" s="629"/>
      <c r="K17" s="630"/>
      <c r="L17" s="631"/>
      <c r="M17" s="629"/>
      <c r="N17" s="630"/>
      <c r="O17" s="631"/>
      <c r="P17" s="630"/>
      <c r="Q17" s="630"/>
      <c r="R17" s="630"/>
      <c r="S17" s="629"/>
      <c r="T17" s="630"/>
      <c r="U17" s="631"/>
      <c r="V17" s="629"/>
      <c r="W17" s="630"/>
      <c r="X17" s="631"/>
      <c r="Y17" s="630"/>
      <c r="Z17" s="630"/>
      <c r="AA17" s="631"/>
    </row>
    <row r="18" spans="1:29" s="942" customFormat="1" ht="12.75" customHeight="1" x14ac:dyDescent="0.2">
      <c r="A18" s="405" t="s">
        <v>108</v>
      </c>
      <c r="B18" s="1142" t="s">
        <v>163</v>
      </c>
      <c r="C18" s="1143"/>
      <c r="D18" s="625">
        <f>+G18+J18+M18+P18+S18+V18+Y18</f>
        <v>381715</v>
      </c>
      <c r="E18" s="626">
        <f t="shared" si="0"/>
        <v>-77184</v>
      </c>
      <c r="F18" s="626">
        <f t="shared" si="5"/>
        <v>304531</v>
      </c>
      <c r="G18" s="625"/>
      <c r="H18" s="626"/>
      <c r="I18" s="627"/>
      <c r="J18" s="625"/>
      <c r="K18" s="626"/>
      <c r="L18" s="627"/>
      <c r="M18" s="625"/>
      <c r="N18" s="626"/>
      <c r="O18" s="627"/>
      <c r="P18" s="628"/>
      <c r="Q18" s="626"/>
      <c r="R18" s="957"/>
      <c r="S18" s="625"/>
      <c r="T18" s="626"/>
      <c r="U18" s="627"/>
      <c r="V18" s="625">
        <f>+'5.f. mell. Átadott pénzeszk.'!C40+'5.f. mell. Átadott pénzeszk.'!F40</f>
        <v>263191</v>
      </c>
      <c r="W18" s="626">
        <f>+'5.f. mell. Átadott pénzeszk.'!D40+'5.f. mell. Átadott pénzeszk.'!G40</f>
        <v>9413</v>
      </c>
      <c r="X18" s="627">
        <f>+'5.f. mell. Átadott pénzeszk.'!E40+'5.f. mell. Átadott pénzeszk.'!H40</f>
        <v>272604</v>
      </c>
      <c r="Y18" s="628">
        <f>+'5.g. mell. Egyéb tev.'!D75</f>
        <v>118524</v>
      </c>
      <c r="Z18" s="626">
        <f>+'5.g. mell. Egyéb tev.'!E75</f>
        <v>-86597</v>
      </c>
      <c r="AA18" s="627">
        <f>+'5.g. mell. Egyéb tev.'!F75</f>
        <v>31927</v>
      </c>
      <c r="AB18" s="837"/>
      <c r="AC18" s="837"/>
    </row>
    <row r="19" spans="1:29" s="942" customFormat="1" ht="12.75" customHeight="1" x14ac:dyDescent="0.2">
      <c r="A19" s="405"/>
      <c r="B19" s="1144" t="s">
        <v>555</v>
      </c>
      <c r="C19" s="1145"/>
      <c r="D19" s="625">
        <f>+G19+J19+M19+P19+S19+V19+Y19</f>
        <v>117576</v>
      </c>
      <c r="E19" s="626">
        <f t="shared" si="0"/>
        <v>-86626</v>
      </c>
      <c r="F19" s="626">
        <f t="shared" si="5"/>
        <v>30950</v>
      </c>
      <c r="G19" s="625"/>
      <c r="H19" s="626"/>
      <c r="I19" s="627"/>
      <c r="J19" s="625"/>
      <c r="K19" s="626"/>
      <c r="L19" s="627"/>
      <c r="M19" s="625"/>
      <c r="N19" s="626"/>
      <c r="O19" s="627"/>
      <c r="P19" s="628"/>
      <c r="Q19" s="626"/>
      <c r="R19" s="957"/>
      <c r="S19" s="625"/>
      <c r="T19" s="626"/>
      <c r="U19" s="627"/>
      <c r="V19" s="625"/>
      <c r="W19" s="626"/>
      <c r="X19" s="627"/>
      <c r="Y19" s="628">
        <f>+'5.g. mell. Egyéb tev.'!D63</f>
        <v>117576</v>
      </c>
      <c r="Z19" s="626">
        <f>+'5.g. mell. Egyéb tev.'!E63</f>
        <v>-86626</v>
      </c>
      <c r="AA19" s="627">
        <f>+'5.g. mell. Egyéb tev.'!F63</f>
        <v>30950</v>
      </c>
      <c r="AB19" s="837"/>
      <c r="AC19" s="837"/>
    </row>
    <row r="20" spans="1:29" x14ac:dyDescent="0.25">
      <c r="A20" s="92"/>
      <c r="B20" s="408"/>
      <c r="C20" s="946"/>
      <c r="D20" s="958"/>
      <c r="E20" s="630"/>
      <c r="F20" s="630"/>
      <c r="G20" s="629"/>
      <c r="H20" s="630"/>
      <c r="I20" s="631"/>
      <c r="J20" s="629"/>
      <c r="K20" s="630"/>
      <c r="L20" s="631"/>
      <c r="M20" s="629"/>
      <c r="N20" s="630"/>
      <c r="O20" s="631"/>
      <c r="P20" s="630"/>
      <c r="Q20" s="630"/>
      <c r="R20" s="630"/>
      <c r="S20" s="629"/>
      <c r="T20" s="630"/>
      <c r="U20" s="631"/>
      <c r="V20" s="629"/>
      <c r="W20" s="630"/>
      <c r="X20" s="631"/>
      <c r="Y20" s="630"/>
      <c r="Z20" s="630"/>
      <c r="AA20" s="631"/>
    </row>
    <row r="21" spans="1:29" s="942" customFormat="1" ht="12.75" customHeight="1" x14ac:dyDescent="0.2">
      <c r="A21" s="405" t="s">
        <v>123</v>
      </c>
      <c r="B21" s="1142" t="s">
        <v>161</v>
      </c>
      <c r="C21" s="1143"/>
      <c r="D21" s="625">
        <f>+G21+J21+M21+P21+S21+V21+Y21</f>
        <v>1488139</v>
      </c>
      <c r="E21" s="626">
        <f>+H21+K21+N21+Q21+T21+W21+Z21</f>
        <v>-50507</v>
      </c>
      <c r="F21" s="626">
        <f>+I21+L21+O21+R21+U21+X21+AA21</f>
        <v>1437632</v>
      </c>
      <c r="G21" s="626">
        <f>'5.a. mell. Jogalkotás'!D52</f>
        <v>2015</v>
      </c>
      <c r="H21" s="626">
        <f>'5.a. mell. Jogalkotás'!E52</f>
        <v>411</v>
      </c>
      <c r="I21" s="626">
        <f>'5.a. mell. Jogalkotás'!F52</f>
        <v>2426</v>
      </c>
      <c r="J21" s="625">
        <f>+'5.b. mell. VF saját forrásból'!D53</f>
        <v>676665</v>
      </c>
      <c r="K21" s="626">
        <f>+'5.b. mell. VF saját forrásból'!E53</f>
        <v>-106765</v>
      </c>
      <c r="L21" s="627">
        <f>+'5.b. mell. VF saját forrásból'!F53</f>
        <v>569900</v>
      </c>
      <c r="M21" s="625">
        <f>+'5.c. mell. VF Eu forrásból'!D52</f>
        <v>808459</v>
      </c>
      <c r="N21" s="626">
        <f>+'5.c. mell. VF Eu forrásból'!E52</f>
        <v>55751</v>
      </c>
      <c r="O21" s="627">
        <f>+'5.c. mell. VF Eu forrásból'!F52</f>
        <v>864210</v>
      </c>
      <c r="P21" s="628">
        <f>+'5.d. mell. Védőnő, EÜ'!D45</f>
        <v>0</v>
      </c>
      <c r="Q21" s="626">
        <f>+'5.d. mell. Védőnő, EÜ'!E45</f>
        <v>96</v>
      </c>
      <c r="R21" s="957">
        <f>+'5.d. mell. Védőnő, EÜ'!F45</f>
        <v>96</v>
      </c>
      <c r="S21" s="625"/>
      <c r="T21" s="626"/>
      <c r="U21" s="627"/>
      <c r="V21" s="625"/>
      <c r="W21" s="626"/>
      <c r="X21" s="627"/>
      <c r="Y21" s="626">
        <f>'5.g. mell. Egyéb tev.'!D85</f>
        <v>1000</v>
      </c>
      <c r="Z21" s="626">
        <f>'5.g. mell. Egyéb tev.'!E85</f>
        <v>0</v>
      </c>
      <c r="AA21" s="627">
        <f>'5.g. mell. Egyéb tev.'!F85</f>
        <v>1000</v>
      </c>
      <c r="AB21" s="837"/>
      <c r="AC21" s="837"/>
    </row>
    <row r="22" spans="1:29" x14ac:dyDescent="0.25">
      <c r="A22" s="92"/>
      <c r="B22" s="408"/>
      <c r="C22" s="946"/>
      <c r="D22" s="958"/>
      <c r="E22" s="630"/>
      <c r="F22" s="630"/>
      <c r="G22" s="629"/>
      <c r="H22" s="630"/>
      <c r="I22" s="631"/>
      <c r="J22" s="629"/>
      <c r="K22" s="630"/>
      <c r="L22" s="631"/>
      <c r="M22" s="629"/>
      <c r="N22" s="630"/>
      <c r="O22" s="631"/>
      <c r="P22" s="630"/>
      <c r="Q22" s="630"/>
      <c r="R22" s="630"/>
      <c r="S22" s="629"/>
      <c r="T22" s="630"/>
      <c r="U22" s="631"/>
      <c r="V22" s="629"/>
      <c r="W22" s="630"/>
      <c r="X22" s="631"/>
      <c r="Y22" s="630"/>
      <c r="Z22" s="630"/>
      <c r="AA22" s="631"/>
    </row>
    <row r="23" spans="1:29" s="942" customFormat="1" ht="12.75" customHeight="1" x14ac:dyDescent="0.2">
      <c r="A23" s="405" t="s">
        <v>132</v>
      </c>
      <c r="B23" s="1142" t="s">
        <v>160</v>
      </c>
      <c r="C23" s="1143"/>
      <c r="D23" s="625">
        <f>+G23+J23+M23+P23+S23+V23+Y23</f>
        <v>61109</v>
      </c>
      <c r="E23" s="626">
        <f t="shared" si="0"/>
        <v>109889</v>
      </c>
      <c r="F23" s="626">
        <f t="shared" si="5"/>
        <v>170998</v>
      </c>
      <c r="G23" s="625"/>
      <c r="H23" s="626"/>
      <c r="I23" s="627"/>
      <c r="J23" s="625">
        <f>+'5.b. mell. VF saját forrásból'!D59</f>
        <v>26046</v>
      </c>
      <c r="K23" s="626">
        <f>+'5.b. mell. VF saját forrásból'!E59</f>
        <v>110014</v>
      </c>
      <c r="L23" s="627">
        <f>+'5.b. mell. VF saját forrásból'!F59</f>
        <v>136060</v>
      </c>
      <c r="M23" s="625">
        <f>+'5.c. mell. VF Eu forrásból'!D58</f>
        <v>35063</v>
      </c>
      <c r="N23" s="626">
        <f>+'5.c. mell. VF Eu forrásból'!E58</f>
        <v>-125</v>
      </c>
      <c r="O23" s="627">
        <f>+'5.c. mell. VF Eu forrásból'!F58</f>
        <v>34938</v>
      </c>
      <c r="P23" s="628"/>
      <c r="Q23" s="626"/>
      <c r="R23" s="957"/>
      <c r="S23" s="625"/>
      <c r="T23" s="626"/>
      <c r="U23" s="627"/>
      <c r="V23" s="625"/>
      <c r="W23" s="626"/>
      <c r="X23" s="627"/>
      <c r="Y23" s="628"/>
      <c r="Z23" s="626"/>
      <c r="AA23" s="627"/>
      <c r="AB23" s="837"/>
      <c r="AC23" s="837"/>
    </row>
    <row r="24" spans="1:29" x14ac:dyDescent="0.25">
      <c r="A24" s="92"/>
      <c r="B24" s="408"/>
      <c r="C24" s="946"/>
      <c r="D24" s="958"/>
      <c r="E24" s="630"/>
      <c r="F24" s="630"/>
      <c r="G24" s="629"/>
      <c r="H24" s="630"/>
      <c r="I24" s="631"/>
      <c r="J24" s="629"/>
      <c r="K24" s="630"/>
      <c r="L24" s="631"/>
      <c r="M24" s="629"/>
      <c r="N24" s="630"/>
      <c r="O24" s="631"/>
      <c r="P24" s="630"/>
      <c r="Q24" s="630"/>
      <c r="R24" s="630"/>
      <c r="S24" s="629"/>
      <c r="T24" s="630"/>
      <c r="U24" s="631"/>
      <c r="V24" s="629"/>
      <c r="W24" s="630"/>
      <c r="X24" s="631"/>
      <c r="Y24" s="630"/>
      <c r="Z24" s="630"/>
      <c r="AA24" s="631"/>
    </row>
    <row r="25" spans="1:29" s="942" customFormat="1" ht="12.75" customHeight="1" x14ac:dyDescent="0.2">
      <c r="A25" s="405" t="s">
        <v>134</v>
      </c>
      <c r="B25" s="1142" t="s">
        <v>158</v>
      </c>
      <c r="C25" s="1143"/>
      <c r="D25" s="625">
        <f>+G25+J25+M25+P25+S25+V25+Y25</f>
        <v>5000</v>
      </c>
      <c r="E25" s="626">
        <f t="shared" si="0"/>
        <v>0</v>
      </c>
      <c r="F25" s="626">
        <f t="shared" si="5"/>
        <v>5000</v>
      </c>
      <c r="G25" s="625"/>
      <c r="H25" s="626"/>
      <c r="I25" s="627"/>
      <c r="J25" s="625"/>
      <c r="K25" s="626"/>
      <c r="L25" s="627"/>
      <c r="M25" s="625"/>
      <c r="N25" s="626"/>
      <c r="O25" s="627"/>
      <c r="P25" s="628"/>
      <c r="Q25" s="626"/>
      <c r="R25" s="957"/>
      <c r="S25" s="625"/>
      <c r="T25" s="626"/>
      <c r="U25" s="627"/>
      <c r="V25" s="625">
        <f>+'5.f. mell. Átadott pénzeszk.'!I40</f>
        <v>5000</v>
      </c>
      <c r="W25" s="626">
        <f>+'5.f. mell. Átadott pénzeszk.'!J40</f>
        <v>0</v>
      </c>
      <c r="X25" s="627">
        <f>+'5.f. mell. Átadott pénzeszk.'!K40</f>
        <v>5000</v>
      </c>
      <c r="Y25" s="628"/>
      <c r="Z25" s="626"/>
      <c r="AA25" s="627"/>
      <c r="AB25" s="837"/>
      <c r="AC25" s="837"/>
    </row>
    <row r="26" spans="1:29" x14ac:dyDescent="0.25">
      <c r="A26" s="92"/>
      <c r="B26" s="408"/>
      <c r="C26" s="946"/>
      <c r="D26" s="958"/>
      <c r="E26" s="630"/>
      <c r="F26" s="630"/>
      <c r="G26" s="629"/>
      <c r="H26" s="630"/>
      <c r="I26" s="631"/>
      <c r="J26" s="629"/>
      <c r="K26" s="630"/>
      <c r="L26" s="631"/>
      <c r="M26" s="629"/>
      <c r="N26" s="630"/>
      <c r="O26" s="631"/>
      <c r="P26" s="630"/>
      <c r="Q26" s="630"/>
      <c r="R26" s="630"/>
      <c r="S26" s="629"/>
      <c r="T26" s="630"/>
      <c r="U26" s="631"/>
      <c r="V26" s="629"/>
      <c r="W26" s="630"/>
      <c r="X26" s="631"/>
      <c r="Y26" s="630"/>
      <c r="Z26" s="630"/>
      <c r="AA26" s="631"/>
    </row>
    <row r="27" spans="1:29" s="942" customFormat="1" ht="12.75" customHeight="1" x14ac:dyDescent="0.2">
      <c r="A27" s="406" t="s">
        <v>135</v>
      </c>
      <c r="B27" s="1142" t="s">
        <v>157</v>
      </c>
      <c r="C27" s="1143"/>
      <c r="D27" s="625">
        <f>+G27+J27+M27+P27+S27+V27+Y27</f>
        <v>2429631</v>
      </c>
      <c r="E27" s="626">
        <f t="shared" si="0"/>
        <v>54366</v>
      </c>
      <c r="F27" s="626">
        <f t="shared" si="5"/>
        <v>2483997</v>
      </c>
      <c r="G27" s="625">
        <f>+G25+G23+G21+G18+G16+G14+G7+G5</f>
        <v>38788</v>
      </c>
      <c r="H27" s="626">
        <f>+H25+H23+H21+H18+H16+H14+H7+H5</f>
        <v>3868</v>
      </c>
      <c r="I27" s="627">
        <f>+I25+I23+I21+I18+I16+I14+I7+I5</f>
        <v>42656</v>
      </c>
      <c r="J27" s="625">
        <f t="shared" ref="J27:AA27" si="11">+J25+J23+J21+J18+J16+J14+J7+J5</f>
        <v>808015</v>
      </c>
      <c r="K27" s="626">
        <f t="shared" si="11"/>
        <v>38802</v>
      </c>
      <c r="L27" s="627">
        <f t="shared" si="11"/>
        <v>846817</v>
      </c>
      <c r="M27" s="625">
        <f t="shared" si="11"/>
        <v>1010238</v>
      </c>
      <c r="N27" s="626">
        <f t="shared" si="11"/>
        <v>54957</v>
      </c>
      <c r="O27" s="627">
        <f t="shared" si="11"/>
        <v>1065195</v>
      </c>
      <c r="P27" s="628">
        <f t="shared" si="11"/>
        <v>18100</v>
      </c>
      <c r="Q27" s="626">
        <f t="shared" si="11"/>
        <v>1522</v>
      </c>
      <c r="R27" s="957">
        <f t="shared" si="11"/>
        <v>19622</v>
      </c>
      <c r="S27" s="625">
        <f t="shared" si="11"/>
        <v>17964</v>
      </c>
      <c r="T27" s="626">
        <f t="shared" si="11"/>
        <v>42</v>
      </c>
      <c r="U27" s="627">
        <f t="shared" si="11"/>
        <v>18006</v>
      </c>
      <c r="V27" s="625">
        <f t="shared" si="11"/>
        <v>268191</v>
      </c>
      <c r="W27" s="626">
        <f t="shared" si="11"/>
        <v>9413</v>
      </c>
      <c r="X27" s="627">
        <f t="shared" si="11"/>
        <v>277604</v>
      </c>
      <c r="Y27" s="628">
        <f t="shared" si="11"/>
        <v>268335</v>
      </c>
      <c r="Z27" s="626">
        <f t="shared" si="11"/>
        <v>-54238</v>
      </c>
      <c r="AA27" s="626">
        <f t="shared" si="11"/>
        <v>214097</v>
      </c>
      <c r="AB27" s="837"/>
      <c r="AC27" s="837"/>
    </row>
    <row r="28" spans="1:29" ht="9.75" customHeight="1" x14ac:dyDescent="0.25">
      <c r="A28" s="962"/>
      <c r="B28" s="960"/>
      <c r="C28" s="963"/>
      <c r="D28" s="958"/>
      <c r="E28" s="630"/>
      <c r="F28" s="630"/>
      <c r="G28" s="629"/>
      <c r="H28" s="630"/>
      <c r="I28" s="631"/>
      <c r="J28" s="629"/>
      <c r="K28" s="630"/>
      <c r="L28" s="631"/>
      <c r="M28" s="629"/>
      <c r="N28" s="630"/>
      <c r="O28" s="631"/>
      <c r="P28" s="630"/>
      <c r="Q28" s="630"/>
      <c r="R28" s="630"/>
      <c r="S28" s="629"/>
      <c r="T28" s="630"/>
      <c r="U28" s="631"/>
      <c r="V28" s="629"/>
      <c r="W28" s="630"/>
      <c r="X28" s="631"/>
      <c r="Y28" s="630"/>
      <c r="Z28" s="630"/>
      <c r="AA28" s="631"/>
    </row>
    <row r="29" spans="1:29" s="942" customFormat="1" ht="13.5" thickBot="1" x14ac:dyDescent="0.25">
      <c r="A29" s="407" t="s">
        <v>271</v>
      </c>
      <c r="B29" s="1153" t="s">
        <v>277</v>
      </c>
      <c r="C29" s="1154"/>
      <c r="D29" s="964">
        <f>+G29+J29+M29+P29+S29+V29+Y29</f>
        <v>470192</v>
      </c>
      <c r="E29" s="965">
        <f t="shared" si="0"/>
        <v>6255</v>
      </c>
      <c r="F29" s="965">
        <f t="shared" si="5"/>
        <v>476447</v>
      </c>
      <c r="G29" s="409"/>
      <c r="H29" s="410"/>
      <c r="I29" s="966"/>
      <c r="J29" s="964">
        <f>+'5.b. mell. VF saját forrásból'!D68</f>
        <v>0</v>
      </c>
      <c r="K29" s="964">
        <f>+'5.b. mell. VF saját forrásból'!E68</f>
        <v>0</v>
      </c>
      <c r="L29" s="964">
        <f>+'5.b. mell. VF saját forrásból'!F68</f>
        <v>0</v>
      </c>
      <c r="M29" s="964"/>
      <c r="N29" s="965"/>
      <c r="O29" s="966"/>
      <c r="P29" s="967"/>
      <c r="Q29" s="965"/>
      <c r="R29" s="968"/>
      <c r="S29" s="964"/>
      <c r="T29" s="965"/>
      <c r="U29" s="966"/>
      <c r="V29" s="964"/>
      <c r="W29" s="965"/>
      <c r="X29" s="966"/>
      <c r="Y29" s="967">
        <f>+'5.g. mell. Egyéb tev.'!AE107</f>
        <v>470192</v>
      </c>
      <c r="Z29" s="965">
        <f>+'5.g. mell. Egyéb tev.'!AF107</f>
        <v>6255</v>
      </c>
      <c r="AA29" s="966">
        <f>+'5.g. mell. Egyéb tev.'!AG107</f>
        <v>476447</v>
      </c>
      <c r="AB29" s="837"/>
      <c r="AC29" s="837"/>
    </row>
    <row r="30" spans="1:29" s="942" customFormat="1" ht="18.75" customHeight="1" thickBot="1" x14ac:dyDescent="0.25">
      <c r="A30" s="1146" t="s">
        <v>580</v>
      </c>
      <c r="B30" s="1147"/>
      <c r="C30" s="1148"/>
      <c r="D30" s="411">
        <f t="shared" ref="D30:AA30" si="12">+D29+D27</f>
        <v>2899823</v>
      </c>
      <c r="E30" s="411">
        <f t="shared" si="12"/>
        <v>60621</v>
      </c>
      <c r="F30" s="411">
        <f t="shared" si="12"/>
        <v>2960444</v>
      </c>
      <c r="G30" s="411">
        <f t="shared" si="12"/>
        <v>38788</v>
      </c>
      <c r="H30" s="411">
        <f t="shared" si="12"/>
        <v>3868</v>
      </c>
      <c r="I30" s="411">
        <f t="shared" si="12"/>
        <v>42656</v>
      </c>
      <c r="J30" s="411">
        <f t="shared" si="12"/>
        <v>808015</v>
      </c>
      <c r="K30" s="411">
        <f t="shared" si="12"/>
        <v>38802</v>
      </c>
      <c r="L30" s="411">
        <f t="shared" si="12"/>
        <v>846817</v>
      </c>
      <c r="M30" s="411">
        <f t="shared" si="12"/>
        <v>1010238</v>
      </c>
      <c r="N30" s="411">
        <f t="shared" si="12"/>
        <v>54957</v>
      </c>
      <c r="O30" s="411">
        <f t="shared" si="12"/>
        <v>1065195</v>
      </c>
      <c r="P30" s="411">
        <f t="shared" si="12"/>
        <v>18100</v>
      </c>
      <c r="Q30" s="411">
        <f t="shared" si="12"/>
        <v>1522</v>
      </c>
      <c r="R30" s="411">
        <f t="shared" si="12"/>
        <v>19622</v>
      </c>
      <c r="S30" s="411">
        <f t="shared" si="12"/>
        <v>17964</v>
      </c>
      <c r="T30" s="411">
        <f t="shared" si="12"/>
        <v>42</v>
      </c>
      <c r="U30" s="411">
        <f t="shared" si="12"/>
        <v>18006</v>
      </c>
      <c r="V30" s="411">
        <f t="shared" si="12"/>
        <v>268191</v>
      </c>
      <c r="W30" s="411">
        <f t="shared" si="12"/>
        <v>9413</v>
      </c>
      <c r="X30" s="411">
        <f t="shared" si="12"/>
        <v>277604</v>
      </c>
      <c r="Y30" s="411">
        <f t="shared" si="12"/>
        <v>738527</v>
      </c>
      <c r="Z30" s="411">
        <f t="shared" si="12"/>
        <v>-47983</v>
      </c>
      <c r="AA30" s="411">
        <f t="shared" si="12"/>
        <v>690544</v>
      </c>
      <c r="AB30" s="837"/>
      <c r="AC30" s="837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6" orientation="landscape" r:id="rId1"/>
  <headerFooter>
    <oddHeader>&amp;C&amp;"Times New Roman,Félkövér"&amp;12Martonvásár Város Önkormányzatának kiadásai 2019.
&amp;"Times New Roman,Dőlt"(intézmények nélkül)&amp;R&amp;"Times New Roman,Félkövér"&amp;12 5.melléklet</oddHead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19" zoomScaleNormal="100" workbookViewId="0">
      <selection activeCell="H63" sqref="H63"/>
    </sheetView>
  </sheetViews>
  <sheetFormatPr defaultColWidth="9.140625" defaultRowHeight="15" x14ac:dyDescent="0.25"/>
  <cols>
    <col min="1" max="1" width="13" style="24" customWidth="1"/>
    <col min="2" max="3" width="13" style="25" customWidth="1"/>
    <col min="4" max="4" width="11" style="17" customWidth="1"/>
    <col min="5" max="5" width="11" style="878" customWidth="1"/>
    <col min="6" max="6" width="11" style="17" customWidth="1"/>
    <col min="7" max="16384" width="9.140625" style="1"/>
  </cols>
  <sheetData>
    <row r="1" spans="1:9" ht="15.75" customHeight="1" x14ac:dyDescent="0.25">
      <c r="D1" s="1176" t="s">
        <v>391</v>
      </c>
      <c r="E1" s="1176"/>
      <c r="F1" s="1176"/>
    </row>
    <row r="2" spans="1:9" ht="24.75" customHeight="1" x14ac:dyDescent="0.25">
      <c r="A2" s="1169" t="s">
        <v>0</v>
      </c>
      <c r="B2" s="1169" t="s">
        <v>182</v>
      </c>
      <c r="C2" s="1169"/>
      <c r="D2" s="1177" t="s">
        <v>176</v>
      </c>
      <c r="E2" s="1178"/>
      <c r="F2" s="1179"/>
    </row>
    <row r="3" spans="1:9" s="2" customFormat="1" ht="25.5" x14ac:dyDescent="0.25">
      <c r="A3" s="1169"/>
      <c r="B3" s="1169"/>
      <c r="C3" s="1169"/>
      <c r="D3" s="890" t="s">
        <v>912</v>
      </c>
      <c r="E3" s="890" t="s">
        <v>727</v>
      </c>
      <c r="F3" s="890" t="s">
        <v>950</v>
      </c>
    </row>
    <row r="4" spans="1:9" s="2" customFormat="1" x14ac:dyDescent="0.25">
      <c r="A4" s="1169"/>
      <c r="B4" s="1169"/>
      <c r="C4" s="1169"/>
      <c r="D4" s="1180" t="s">
        <v>189</v>
      </c>
      <c r="E4" s="1180"/>
      <c r="F4" s="1180"/>
    </row>
    <row r="5" spans="1:9" ht="12" customHeight="1" x14ac:dyDescent="0.25">
      <c r="A5" s="5" t="s">
        <v>27</v>
      </c>
      <c r="B5" s="1170" t="s">
        <v>174</v>
      </c>
      <c r="C5" s="1170"/>
      <c r="D5" s="304"/>
      <c r="E5" s="875"/>
      <c r="F5" s="695">
        <f>+E5+D5</f>
        <v>0</v>
      </c>
    </row>
    <row r="6" spans="1:9" ht="12" customHeight="1" x14ac:dyDescent="0.25">
      <c r="A6" s="5" t="s">
        <v>33</v>
      </c>
      <c r="B6" s="1170" t="s">
        <v>173</v>
      </c>
      <c r="C6" s="1170"/>
      <c r="D6" s="416">
        <v>21141</v>
      </c>
      <c r="E6" s="416">
        <f>1354+50+237</f>
        <v>1641</v>
      </c>
      <c r="F6" s="696">
        <f>D6+E6</f>
        <v>22782</v>
      </c>
    </row>
    <row r="7" spans="1:9" ht="12" customHeight="1" x14ac:dyDescent="0.25">
      <c r="A7" s="6" t="s">
        <v>34</v>
      </c>
      <c r="B7" s="1167" t="s">
        <v>172</v>
      </c>
      <c r="C7" s="1167"/>
      <c r="D7" s="305">
        <f>SUM(D5:D6)</f>
        <v>21141</v>
      </c>
      <c r="E7" s="305">
        <f t="shared" ref="E7:F7" si="0">SUM(E5:E6)</f>
        <v>1641</v>
      </c>
      <c r="F7" s="305">
        <f t="shared" si="0"/>
        <v>22782</v>
      </c>
    </row>
    <row r="8" spans="1:9" ht="12" customHeight="1" x14ac:dyDescent="0.25">
      <c r="A8" s="7"/>
      <c r="B8" s="8"/>
      <c r="C8" s="8"/>
      <c r="D8" s="19"/>
      <c r="E8" s="876"/>
      <c r="F8" s="20"/>
    </row>
    <row r="9" spans="1:9" ht="12" customHeight="1" x14ac:dyDescent="0.25">
      <c r="A9" s="5" t="s">
        <v>35</v>
      </c>
      <c r="B9" s="1170" t="s">
        <v>171</v>
      </c>
      <c r="C9" s="1170"/>
      <c r="D9" s="302">
        <v>4142</v>
      </c>
      <c r="E9" s="302">
        <v>314</v>
      </c>
      <c r="F9" s="696">
        <f>D9+E9</f>
        <v>4456</v>
      </c>
      <c r="I9" s="878"/>
    </row>
    <row r="10" spans="1:9" ht="12" customHeight="1" x14ac:dyDescent="0.25">
      <c r="A10" s="95"/>
      <c r="B10" s="23"/>
      <c r="C10" s="11"/>
      <c r="D10" s="306"/>
      <c r="E10" s="877"/>
      <c r="F10" s="298"/>
    </row>
    <row r="11" spans="1:9" ht="12" customHeight="1" x14ac:dyDescent="0.25">
      <c r="A11" s="12" t="s">
        <v>42</v>
      </c>
      <c r="B11" s="1168" t="s">
        <v>41</v>
      </c>
      <c r="C11" s="1168"/>
      <c r="D11" s="307">
        <v>60</v>
      </c>
      <c r="E11" s="308"/>
      <c r="F11" s="697">
        <f>D11+E11</f>
        <v>60</v>
      </c>
    </row>
    <row r="12" spans="1:9" ht="12" customHeight="1" x14ac:dyDescent="0.25">
      <c r="A12" s="4" t="s">
        <v>44</v>
      </c>
      <c r="B12" s="1171" t="s">
        <v>43</v>
      </c>
      <c r="C12" s="1171"/>
      <c r="D12" s="308">
        <v>637</v>
      </c>
      <c r="E12" s="308">
        <v>-57</v>
      </c>
      <c r="F12" s="697">
        <f t="shared" ref="F12:F16" si="1">D12+E12</f>
        <v>580</v>
      </c>
    </row>
    <row r="13" spans="1:9" ht="12" customHeight="1" x14ac:dyDescent="0.25">
      <c r="A13" s="4" t="s">
        <v>46</v>
      </c>
      <c r="B13" s="1171" t="s">
        <v>45</v>
      </c>
      <c r="C13" s="1171"/>
      <c r="D13" s="308"/>
      <c r="E13" s="302"/>
      <c r="F13" s="697">
        <f t="shared" si="1"/>
        <v>0</v>
      </c>
    </row>
    <row r="14" spans="1:9" s="44" customFormat="1" ht="12" customHeight="1" x14ac:dyDescent="0.25">
      <c r="A14" s="5" t="s">
        <v>47</v>
      </c>
      <c r="B14" s="1170" t="s">
        <v>170</v>
      </c>
      <c r="C14" s="1170"/>
      <c r="D14" s="302">
        <f>SUM(D11:D13)</f>
        <v>697</v>
      </c>
      <c r="E14" s="302">
        <f t="shared" ref="E14" si="2">SUM(E11:E13)</f>
        <v>-57</v>
      </c>
      <c r="F14" s="302">
        <f>SUM(F11:F13)</f>
        <v>640</v>
      </c>
    </row>
    <row r="15" spans="1:9" ht="12" customHeight="1" x14ac:dyDescent="0.25">
      <c r="A15" s="4" t="s">
        <v>49</v>
      </c>
      <c r="B15" s="1171" t="s">
        <v>48</v>
      </c>
      <c r="C15" s="1171"/>
      <c r="D15" s="308">
        <v>100</v>
      </c>
      <c r="E15" s="308"/>
      <c r="F15" s="697">
        <f t="shared" si="1"/>
        <v>100</v>
      </c>
    </row>
    <row r="16" spans="1:9" ht="12" customHeight="1" x14ac:dyDescent="0.25">
      <c r="A16" s="4" t="s">
        <v>51</v>
      </c>
      <c r="B16" s="1171" t="s">
        <v>50</v>
      </c>
      <c r="C16" s="1171"/>
      <c r="D16" s="308">
        <v>200</v>
      </c>
      <c r="E16" s="308"/>
      <c r="F16" s="697">
        <f t="shared" si="1"/>
        <v>200</v>
      </c>
    </row>
    <row r="17" spans="1:6" s="44" customFormat="1" ht="12" customHeight="1" x14ac:dyDescent="0.25">
      <c r="A17" s="5" t="s">
        <v>52</v>
      </c>
      <c r="B17" s="1170" t="s">
        <v>169</v>
      </c>
      <c r="C17" s="1170"/>
      <c r="D17" s="302">
        <f>SUM(D15:D16)</f>
        <v>300</v>
      </c>
      <c r="E17" s="302">
        <f t="shared" ref="E17" si="3">SUM(E15:E16)</f>
        <v>0</v>
      </c>
      <c r="F17" s="302">
        <f>SUM(F15:F16)</f>
        <v>300</v>
      </c>
    </row>
    <row r="18" spans="1:6" ht="12" customHeight="1" x14ac:dyDescent="0.25">
      <c r="A18" s="4" t="s">
        <v>54</v>
      </c>
      <c r="B18" s="1171" t="s">
        <v>53</v>
      </c>
      <c r="C18" s="1171"/>
      <c r="D18" s="308"/>
      <c r="E18" s="308"/>
      <c r="F18" s="697">
        <f>D18+E18</f>
        <v>0</v>
      </c>
    </row>
    <row r="19" spans="1:6" ht="12" customHeight="1" x14ac:dyDescent="0.25">
      <c r="A19" s="4" t="s">
        <v>56</v>
      </c>
      <c r="B19" s="1171" t="s">
        <v>55</v>
      </c>
      <c r="C19" s="1171"/>
      <c r="D19" s="308"/>
      <c r="E19" s="308"/>
      <c r="F19" s="697">
        <f t="shared" ref="F19:F24" si="4">D19+E19</f>
        <v>0</v>
      </c>
    </row>
    <row r="20" spans="1:6" ht="12" customHeight="1" x14ac:dyDescent="0.25">
      <c r="A20" s="4" t="s">
        <v>57</v>
      </c>
      <c r="B20" s="1171" t="s">
        <v>167</v>
      </c>
      <c r="C20" s="1171"/>
      <c r="D20" s="308"/>
      <c r="E20" s="308">
        <v>31</v>
      </c>
      <c r="F20" s="697">
        <f t="shared" si="4"/>
        <v>31</v>
      </c>
    </row>
    <row r="21" spans="1:6" ht="12" customHeight="1" x14ac:dyDescent="0.25">
      <c r="A21" s="4" t="s">
        <v>59</v>
      </c>
      <c r="B21" s="1171" t="s">
        <v>58</v>
      </c>
      <c r="C21" s="1171"/>
      <c r="D21" s="308"/>
      <c r="E21" s="308"/>
      <c r="F21" s="697">
        <f t="shared" si="4"/>
        <v>0</v>
      </c>
    </row>
    <row r="22" spans="1:6" ht="12" customHeight="1" x14ac:dyDescent="0.25">
      <c r="A22" s="4" t="s">
        <v>60</v>
      </c>
      <c r="B22" s="1171" t="s">
        <v>166</v>
      </c>
      <c r="C22" s="1171"/>
      <c r="D22" s="308"/>
      <c r="E22" s="308"/>
      <c r="F22" s="697">
        <f t="shared" si="4"/>
        <v>0</v>
      </c>
    </row>
    <row r="23" spans="1:6" ht="12" customHeight="1" x14ac:dyDescent="0.25">
      <c r="A23" s="4" t="s">
        <v>63</v>
      </c>
      <c r="B23" s="1171" t="s">
        <v>62</v>
      </c>
      <c r="C23" s="1171"/>
      <c r="D23" s="307">
        <v>2394</v>
      </c>
      <c r="E23" s="308">
        <v>127</v>
      </c>
      <c r="F23" s="697">
        <f t="shared" si="4"/>
        <v>2521</v>
      </c>
    </row>
    <row r="24" spans="1:6" ht="12" customHeight="1" x14ac:dyDescent="0.25">
      <c r="A24" s="4" t="s">
        <v>65</v>
      </c>
      <c r="B24" s="1171" t="s">
        <v>64</v>
      </c>
      <c r="C24" s="1171"/>
      <c r="D24" s="308">
        <v>6462</v>
      </c>
      <c r="E24" s="308">
        <v>1081</v>
      </c>
      <c r="F24" s="697">
        <f t="shared" si="4"/>
        <v>7543</v>
      </c>
    </row>
    <row r="25" spans="1:6" s="44" customFormat="1" ht="12" customHeight="1" x14ac:dyDescent="0.25">
      <c r="A25" s="5" t="s">
        <v>66</v>
      </c>
      <c r="B25" s="1170" t="s">
        <v>156</v>
      </c>
      <c r="C25" s="1170"/>
      <c r="D25" s="302">
        <f>SUM(D18:D24)</f>
        <v>8856</v>
      </c>
      <c r="E25" s="302">
        <f>SUM(E18:E24)</f>
        <v>1239</v>
      </c>
      <c r="F25" s="302">
        <f>SUM(F18:F24)</f>
        <v>10095</v>
      </c>
    </row>
    <row r="26" spans="1:6" ht="12" customHeight="1" x14ac:dyDescent="0.25">
      <c r="A26" s="4" t="s">
        <v>68</v>
      </c>
      <c r="B26" s="1171" t="s">
        <v>67</v>
      </c>
      <c r="C26" s="1171"/>
      <c r="D26" s="308"/>
      <c r="E26" s="308"/>
      <c r="F26" s="697">
        <f>D26+E26</f>
        <v>0</v>
      </c>
    </row>
    <row r="27" spans="1:6" ht="12" customHeight="1" x14ac:dyDescent="0.25">
      <c r="A27" s="4" t="s">
        <v>70</v>
      </c>
      <c r="B27" s="1171" t="s">
        <v>69</v>
      </c>
      <c r="C27" s="1171"/>
      <c r="D27" s="308">
        <v>305</v>
      </c>
      <c r="E27" s="308">
        <v>50</v>
      </c>
      <c r="F27" s="697">
        <f>D27+E27</f>
        <v>355</v>
      </c>
    </row>
    <row r="28" spans="1:6" ht="12" customHeight="1" x14ac:dyDescent="0.25">
      <c r="A28" s="5" t="s">
        <v>71</v>
      </c>
      <c r="B28" s="1170" t="s">
        <v>155</v>
      </c>
      <c r="C28" s="1170"/>
      <c r="D28" s="302">
        <f>SUM(D26:D27)</f>
        <v>305</v>
      </c>
      <c r="E28" s="302">
        <f t="shared" ref="E28:F28" si="5">SUM(E26:E27)</f>
        <v>50</v>
      </c>
      <c r="F28" s="302">
        <f t="shared" si="5"/>
        <v>355</v>
      </c>
    </row>
    <row r="29" spans="1:6" ht="12" customHeight="1" x14ac:dyDescent="0.25">
      <c r="A29" s="4" t="s">
        <v>73</v>
      </c>
      <c r="B29" s="1171" t="s">
        <v>72</v>
      </c>
      <c r="C29" s="1171"/>
      <c r="D29" s="308">
        <v>1043</v>
      </c>
      <c r="E29" s="308">
        <v>270</v>
      </c>
      <c r="F29" s="697">
        <f>D29+E29</f>
        <v>1313</v>
      </c>
    </row>
    <row r="30" spans="1:6" ht="12" customHeight="1" x14ac:dyDescent="0.25">
      <c r="A30" s="4" t="s">
        <v>75</v>
      </c>
      <c r="B30" s="1171" t="s">
        <v>74</v>
      </c>
      <c r="C30" s="1171"/>
      <c r="D30" s="308"/>
      <c r="E30" s="308"/>
      <c r="F30" s="697">
        <f t="shared" ref="F30:F32" si="6">D30+E30</f>
        <v>0</v>
      </c>
    </row>
    <row r="31" spans="1:6" ht="12" customHeight="1" x14ac:dyDescent="0.25">
      <c r="A31" s="4" t="s">
        <v>76</v>
      </c>
      <c r="B31" s="1171" t="s">
        <v>154</v>
      </c>
      <c r="C31" s="1171"/>
      <c r="D31" s="308"/>
      <c r="E31" s="308"/>
      <c r="F31" s="697">
        <f t="shared" si="6"/>
        <v>0</v>
      </c>
    </row>
    <row r="32" spans="1:6" ht="12" customHeight="1" x14ac:dyDescent="0.25">
      <c r="A32" s="4" t="s">
        <v>77</v>
      </c>
      <c r="B32" s="1171" t="s">
        <v>153</v>
      </c>
      <c r="C32" s="1171"/>
      <c r="D32" s="308"/>
      <c r="E32" s="308"/>
      <c r="F32" s="697">
        <f t="shared" si="6"/>
        <v>0</v>
      </c>
    </row>
    <row r="33" spans="1:6" ht="12" customHeight="1" x14ac:dyDescent="0.25">
      <c r="A33" s="4" t="s">
        <v>79</v>
      </c>
      <c r="B33" s="1171" t="s">
        <v>78</v>
      </c>
      <c r="C33" s="1171"/>
      <c r="D33" s="308">
        <v>289</v>
      </c>
      <c r="E33" s="308"/>
      <c r="F33" s="697">
        <f>D33+E33</f>
        <v>289</v>
      </c>
    </row>
    <row r="34" spans="1:6" ht="12" customHeight="1" x14ac:dyDescent="0.25">
      <c r="A34" s="5" t="s">
        <v>80</v>
      </c>
      <c r="B34" s="1170" t="s">
        <v>152</v>
      </c>
      <c r="C34" s="1170"/>
      <c r="D34" s="302">
        <f>SUM(D29:D33)</f>
        <v>1332</v>
      </c>
      <c r="E34" s="302">
        <f>SUM(E29:E33)</f>
        <v>270</v>
      </c>
      <c r="F34" s="302">
        <f>SUM(F29:F33)</f>
        <v>1602</v>
      </c>
    </row>
    <row r="35" spans="1:6" ht="12" customHeight="1" x14ac:dyDescent="0.25">
      <c r="A35" s="6" t="s">
        <v>81</v>
      </c>
      <c r="B35" s="1167" t="s">
        <v>151</v>
      </c>
      <c r="C35" s="1167"/>
      <c r="D35" s="303">
        <f>D14+D17+D25+D34+D28</f>
        <v>11490</v>
      </c>
      <c r="E35" s="302">
        <f>E14+E17+E25+E34+E28</f>
        <v>1502</v>
      </c>
      <c r="F35" s="303">
        <f>F14+F17+F25+F34+F28</f>
        <v>12992</v>
      </c>
    </row>
    <row r="36" spans="1:6" ht="12" customHeight="1" x14ac:dyDescent="0.25">
      <c r="A36" s="7"/>
      <c r="B36" s="8"/>
      <c r="C36" s="8"/>
      <c r="D36" s="309"/>
      <c r="E36" s="302"/>
      <c r="F36" s="20"/>
    </row>
    <row r="37" spans="1:6" ht="12" hidden="1" customHeight="1" x14ac:dyDescent="0.25">
      <c r="A37" s="4" t="s">
        <v>96</v>
      </c>
      <c r="B37" s="1166" t="s">
        <v>95</v>
      </c>
      <c r="C37" s="1166"/>
      <c r="D37" s="308"/>
      <c r="E37" s="302"/>
      <c r="F37" s="18"/>
    </row>
    <row r="38" spans="1:6" ht="12" hidden="1" customHeight="1" x14ac:dyDescent="0.25">
      <c r="A38" s="4" t="s">
        <v>98</v>
      </c>
      <c r="B38" s="1166" t="s">
        <v>184</v>
      </c>
      <c r="C38" s="1166"/>
      <c r="D38" s="308"/>
      <c r="E38" s="302"/>
      <c r="F38" s="18"/>
    </row>
    <row r="39" spans="1:6" ht="12" hidden="1" customHeight="1" x14ac:dyDescent="0.25">
      <c r="A39" s="4" t="s">
        <v>101</v>
      </c>
      <c r="B39" s="1166" t="s">
        <v>165</v>
      </c>
      <c r="C39" s="1166"/>
      <c r="D39" s="308"/>
      <c r="E39" s="302"/>
      <c r="F39" s="18"/>
    </row>
    <row r="40" spans="1:6" ht="12" hidden="1" customHeight="1" x14ac:dyDescent="0.25">
      <c r="A40" s="4" t="s">
        <v>103</v>
      </c>
      <c r="B40" s="1166" t="s">
        <v>183</v>
      </c>
      <c r="C40" s="1166"/>
      <c r="D40" s="308"/>
      <c r="E40" s="302"/>
      <c r="F40" s="18"/>
    </row>
    <row r="41" spans="1:6" ht="12" hidden="1" customHeight="1" x14ac:dyDescent="0.25">
      <c r="A41" s="4" t="s">
        <v>107</v>
      </c>
      <c r="B41" s="1166" t="s">
        <v>164</v>
      </c>
      <c r="C41" s="1166"/>
      <c r="D41" s="308"/>
      <c r="E41" s="302"/>
      <c r="F41" s="18"/>
    </row>
    <row r="42" spans="1:6" ht="12" hidden="1" customHeight="1" x14ac:dyDescent="0.25">
      <c r="A42" s="4" t="s">
        <v>620</v>
      </c>
      <c r="B42" s="1171" t="s">
        <v>106</v>
      </c>
      <c r="C42" s="1171"/>
      <c r="D42" s="308"/>
      <c r="E42" s="302"/>
      <c r="F42" s="18"/>
    </row>
    <row r="43" spans="1:6" ht="12" customHeight="1" x14ac:dyDescent="0.25">
      <c r="A43" s="6" t="s">
        <v>108</v>
      </c>
      <c r="B43" s="1167" t="s">
        <v>163</v>
      </c>
      <c r="C43" s="1167"/>
      <c r="D43" s="303"/>
      <c r="E43" s="302"/>
      <c r="F43" s="41"/>
    </row>
    <row r="44" spans="1:6" ht="12" customHeight="1" x14ac:dyDescent="0.25">
      <c r="A44" s="7"/>
      <c r="B44" s="8"/>
      <c r="C44" s="8"/>
      <c r="D44" s="309"/>
      <c r="E44" s="302"/>
      <c r="F44" s="20"/>
    </row>
    <row r="45" spans="1:6" ht="12" customHeight="1" x14ac:dyDescent="0.25">
      <c r="A45" s="12" t="s">
        <v>110</v>
      </c>
      <c r="B45" s="1168" t="s">
        <v>109</v>
      </c>
      <c r="C45" s="1168"/>
      <c r="D45" s="307"/>
      <c r="E45" s="308"/>
      <c r="F45" s="21"/>
    </row>
    <row r="46" spans="1:6" ht="12" customHeight="1" x14ac:dyDescent="0.25">
      <c r="A46" s="4" t="s">
        <v>111</v>
      </c>
      <c r="B46" s="1171" t="s">
        <v>162</v>
      </c>
      <c r="C46" s="1171"/>
      <c r="D46" s="308"/>
      <c r="E46" s="308"/>
      <c r="F46" s="18"/>
    </row>
    <row r="47" spans="1:6" ht="12" customHeight="1" x14ac:dyDescent="0.25">
      <c r="A47" s="4" t="s">
        <v>114</v>
      </c>
      <c r="B47" s="1171" t="s">
        <v>113</v>
      </c>
      <c r="C47" s="1171"/>
      <c r="D47" s="308">
        <v>130</v>
      </c>
      <c r="E47" s="308">
        <v>237</v>
      </c>
      <c r="F47" s="697">
        <f t="shared" ref="F47:F48" si="7">D47+E47</f>
        <v>367</v>
      </c>
    </row>
    <row r="48" spans="1:6" ht="12" customHeight="1" x14ac:dyDescent="0.25">
      <c r="A48" s="4" t="s">
        <v>116</v>
      </c>
      <c r="B48" s="1171" t="s">
        <v>115</v>
      </c>
      <c r="C48" s="1171"/>
      <c r="D48" s="308">
        <v>1823</v>
      </c>
      <c r="E48" s="308">
        <v>87</v>
      </c>
      <c r="F48" s="697">
        <f t="shared" si="7"/>
        <v>1910</v>
      </c>
    </row>
    <row r="49" spans="1:6" ht="12" customHeight="1" x14ac:dyDescent="0.25">
      <c r="A49" s="4" t="s">
        <v>118</v>
      </c>
      <c r="B49" s="1171" t="s">
        <v>117</v>
      </c>
      <c r="C49" s="1171"/>
      <c r="D49" s="308"/>
      <c r="E49" s="308"/>
      <c r="F49" s="18"/>
    </row>
    <row r="50" spans="1:6" ht="12" customHeight="1" x14ac:dyDescent="0.25">
      <c r="A50" s="4" t="s">
        <v>120</v>
      </c>
      <c r="B50" s="1171" t="s">
        <v>119</v>
      </c>
      <c r="C50" s="1171"/>
      <c r="D50" s="308"/>
      <c r="E50" s="308"/>
      <c r="F50" s="18"/>
    </row>
    <row r="51" spans="1:6" ht="12" customHeight="1" x14ac:dyDescent="0.25">
      <c r="A51" s="4" t="s">
        <v>122</v>
      </c>
      <c r="B51" s="1171" t="s">
        <v>121</v>
      </c>
      <c r="C51" s="1171"/>
      <c r="D51" s="308">
        <v>62</v>
      </c>
      <c r="E51" s="308">
        <v>87</v>
      </c>
      <c r="F51" s="697">
        <f t="shared" ref="F51" si="8">D51+E51</f>
        <v>149</v>
      </c>
    </row>
    <row r="52" spans="1:6" ht="12" customHeight="1" x14ac:dyDescent="0.25">
      <c r="A52" s="6" t="s">
        <v>123</v>
      </c>
      <c r="B52" s="1167" t="s">
        <v>161</v>
      </c>
      <c r="C52" s="1167"/>
      <c r="D52" s="303">
        <f>SUM(D45:D51)</f>
        <v>2015</v>
      </c>
      <c r="E52" s="303">
        <f>SUM(E45:E51)</f>
        <v>411</v>
      </c>
      <c r="F52" s="303">
        <f>SUM(F45:F51)</f>
        <v>2426</v>
      </c>
    </row>
    <row r="53" spans="1:6" ht="12" customHeight="1" x14ac:dyDescent="0.25">
      <c r="A53" s="7"/>
      <c r="B53" s="8"/>
      <c r="C53" s="8"/>
      <c r="D53" s="309"/>
      <c r="E53" s="302"/>
      <c r="F53" s="20"/>
    </row>
    <row r="54" spans="1:6" ht="12" hidden="1" customHeight="1" x14ac:dyDescent="0.25">
      <c r="A54" s="12" t="s">
        <v>125</v>
      </c>
      <c r="B54" s="1168" t="s">
        <v>124</v>
      </c>
      <c r="C54" s="1168"/>
      <c r="D54" s="307"/>
      <c r="E54" s="302"/>
      <c r="F54" s="21"/>
    </row>
    <row r="55" spans="1:6" ht="12" hidden="1" customHeight="1" x14ac:dyDescent="0.25">
      <c r="A55" s="4" t="s">
        <v>127</v>
      </c>
      <c r="B55" s="1171" t="s">
        <v>126</v>
      </c>
      <c r="C55" s="1171"/>
      <c r="D55" s="308"/>
      <c r="E55" s="302"/>
      <c r="F55" s="18"/>
    </row>
    <row r="56" spans="1:6" ht="12" hidden="1" customHeight="1" x14ac:dyDescent="0.25">
      <c r="A56" s="4" t="s">
        <v>129</v>
      </c>
      <c r="B56" s="1171" t="s">
        <v>128</v>
      </c>
      <c r="C56" s="1171"/>
      <c r="D56" s="308"/>
      <c r="E56" s="302"/>
      <c r="F56" s="18"/>
    </row>
    <row r="57" spans="1:6" ht="12" hidden="1" customHeight="1" x14ac:dyDescent="0.25">
      <c r="A57" s="4" t="s">
        <v>131</v>
      </c>
      <c r="B57" s="1171" t="s">
        <v>130</v>
      </c>
      <c r="C57" s="1171"/>
      <c r="D57" s="308"/>
      <c r="E57" s="302"/>
      <c r="F57" s="18"/>
    </row>
    <row r="58" spans="1:6" ht="12" customHeight="1" x14ac:dyDescent="0.25">
      <c r="A58" s="5" t="s">
        <v>132</v>
      </c>
      <c r="B58" s="1170" t="s">
        <v>160</v>
      </c>
      <c r="C58" s="1170"/>
      <c r="D58" s="308"/>
      <c r="E58" s="302"/>
      <c r="F58" s="18"/>
    </row>
    <row r="59" spans="1:6" ht="12" customHeight="1" x14ac:dyDescent="0.25">
      <c r="A59" s="7"/>
      <c r="B59" s="15"/>
      <c r="C59" s="15"/>
      <c r="D59" s="309"/>
      <c r="E59" s="302"/>
      <c r="F59" s="20"/>
    </row>
    <row r="60" spans="1:6" ht="12" hidden="1" customHeight="1" x14ac:dyDescent="0.25">
      <c r="A60" s="95" t="s">
        <v>379</v>
      </c>
      <c r="B60" s="1168" t="s">
        <v>380</v>
      </c>
      <c r="C60" s="1168"/>
      <c r="D60" s="308"/>
      <c r="E60" s="302"/>
      <c r="F60" s="18"/>
    </row>
    <row r="61" spans="1:6" ht="12" hidden="1" customHeight="1" x14ac:dyDescent="0.25">
      <c r="A61" s="95" t="s">
        <v>392</v>
      </c>
      <c r="B61" s="1174" t="s">
        <v>393</v>
      </c>
      <c r="C61" s="1175"/>
      <c r="D61" s="307"/>
      <c r="E61" s="302"/>
      <c r="F61" s="21"/>
    </row>
    <row r="62" spans="1:6" ht="12" hidden="1" customHeight="1" x14ac:dyDescent="0.25">
      <c r="A62" s="12" t="s">
        <v>621</v>
      </c>
      <c r="B62" s="1168" t="s">
        <v>159</v>
      </c>
      <c r="C62" s="1168"/>
      <c r="D62" s="307"/>
      <c r="E62" s="302"/>
      <c r="F62" s="21"/>
    </row>
    <row r="63" spans="1:6" ht="12" customHeight="1" x14ac:dyDescent="0.25">
      <c r="A63" s="14" t="s">
        <v>134</v>
      </c>
      <c r="B63" s="1172" t="s">
        <v>158</v>
      </c>
      <c r="C63" s="1172"/>
      <c r="D63" s="302">
        <f>+D62+D60</f>
        <v>0</v>
      </c>
      <c r="E63" s="302"/>
      <c r="F63" s="43"/>
    </row>
    <row r="64" spans="1:6" ht="12" customHeight="1" thickBot="1" x14ac:dyDescent="0.3">
      <c r="A64" s="45"/>
      <c r="B64" s="46"/>
      <c r="C64" s="46"/>
      <c r="D64" s="310"/>
      <c r="E64" s="302"/>
      <c r="F64" s="22"/>
    </row>
    <row r="65" spans="1:6" ht="12" customHeight="1" thickBot="1" x14ac:dyDescent="0.3">
      <c r="A65" s="47" t="s">
        <v>135</v>
      </c>
      <c r="B65" s="1173" t="s">
        <v>157</v>
      </c>
      <c r="C65" s="1173"/>
      <c r="D65" s="311">
        <f>+D63+D58+D52+D43+D35+D9+D7</f>
        <v>38788</v>
      </c>
      <c r="E65" s="311">
        <f t="shared" ref="E65:F65" si="9">+E63+E58+E52+E43+E35+E9+E7</f>
        <v>3868</v>
      </c>
      <c r="F65" s="57">
        <f t="shared" si="9"/>
        <v>42656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cellComments="asDisplayed" r:id="rId1"/>
  <headerFooter>
    <oddHeader>&amp;C&amp;"Times New Roman,Félkövér"&amp;12Martonvásár Város Önkormányzatának kiadásai 2019.
Önkormányzati jogalkotás kormányzati funkció&amp;R&amp;"Times New Roman,Félkövér"&amp;12 5/a.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8"/>
  <sheetViews>
    <sheetView topLeftCell="A2" zoomScaleNormal="100" workbookViewId="0">
      <pane xSplit="3" ySplit="3" topLeftCell="O44" activePane="bottomRight" state="frozen"/>
      <selection activeCell="B34" sqref="B34"/>
      <selection pane="topRight" activeCell="B34" sqref="B34"/>
      <selection pane="bottomLeft" activeCell="B34" sqref="B34"/>
      <selection pane="bottomRight" activeCell="W48" sqref="W48"/>
    </sheetView>
  </sheetViews>
  <sheetFormatPr defaultColWidth="9.140625" defaultRowHeight="12.75" x14ac:dyDescent="0.2"/>
  <cols>
    <col min="1" max="1" width="8.140625" style="693" customWidth="1"/>
    <col min="2" max="2" width="7.140625" style="25" customWidth="1"/>
    <col min="3" max="3" width="31" style="25" customWidth="1"/>
    <col min="4" max="4" width="11.42578125" style="942" customWidth="1"/>
    <col min="5" max="5" width="10.28515625" style="942" customWidth="1"/>
    <col min="6" max="6" width="10.85546875" style="942" customWidth="1"/>
    <col min="7" max="9" width="7.5703125" style="17" customWidth="1"/>
    <col min="10" max="10" width="8" style="590" customWidth="1"/>
    <col min="11" max="11" width="7.5703125" style="590" customWidth="1"/>
    <col min="12" max="12" width="8.140625" style="590" customWidth="1"/>
    <col min="13" max="13" width="8.28515625" style="590" customWidth="1"/>
    <col min="14" max="14" width="7.5703125" style="590" customWidth="1"/>
    <col min="15" max="15" width="8.28515625" style="590" customWidth="1"/>
    <col min="16" max="27" width="7.5703125" style="590" customWidth="1"/>
    <col min="28" max="28" width="8.28515625" style="590" customWidth="1"/>
    <col min="29" max="29" width="8" style="590" customWidth="1"/>
    <col min="30" max="30" width="8.140625" style="590" customWidth="1"/>
    <col min="31" max="33" width="8.42578125" style="17" customWidth="1"/>
    <col min="34" max="16384" width="9.140625" style="17"/>
  </cols>
  <sheetData>
    <row r="1" spans="1:33" s="1" customFormat="1" ht="17.25" customHeight="1" thickBot="1" x14ac:dyDescent="0.3">
      <c r="A1" s="693"/>
      <c r="B1" s="25"/>
      <c r="C1" s="25"/>
      <c r="D1" s="938"/>
      <c r="E1" s="938"/>
      <c r="F1" s="938"/>
      <c r="J1" s="756"/>
      <c r="K1" s="756"/>
      <c r="L1" s="756"/>
      <c r="M1" s="756"/>
      <c r="N1" s="756"/>
      <c r="O1" s="756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F1" s="894" t="s">
        <v>391</v>
      </c>
    </row>
    <row r="2" spans="1:33" s="31" customFormat="1" ht="70.150000000000006" customHeight="1" x14ac:dyDescent="0.25">
      <c r="A2" s="1196" t="s">
        <v>0</v>
      </c>
      <c r="B2" s="1198" t="s">
        <v>182</v>
      </c>
      <c r="C2" s="1199"/>
      <c r="D2" s="1201" t="s">
        <v>180</v>
      </c>
      <c r="E2" s="1202"/>
      <c r="F2" s="1203"/>
      <c r="G2" s="1182" t="s">
        <v>566</v>
      </c>
      <c r="H2" s="1183"/>
      <c r="I2" s="1184"/>
      <c r="J2" s="1182" t="s">
        <v>919</v>
      </c>
      <c r="K2" s="1183"/>
      <c r="L2" s="1184"/>
      <c r="M2" s="1182" t="s">
        <v>920</v>
      </c>
      <c r="N2" s="1183"/>
      <c r="O2" s="1184"/>
      <c r="P2" s="1189" t="s">
        <v>650</v>
      </c>
      <c r="Q2" s="1183"/>
      <c r="R2" s="1184"/>
      <c r="S2" s="1182" t="s">
        <v>974</v>
      </c>
      <c r="T2" s="1183"/>
      <c r="U2" s="1184"/>
      <c r="V2" s="1189" t="s">
        <v>975</v>
      </c>
      <c r="W2" s="1183"/>
      <c r="X2" s="1184"/>
      <c r="Y2" s="1185" t="s">
        <v>864</v>
      </c>
      <c r="Z2" s="1185"/>
      <c r="AA2" s="1185"/>
      <c r="AB2" s="1185" t="s">
        <v>905</v>
      </c>
      <c r="AC2" s="1185"/>
      <c r="AD2" s="1188"/>
      <c r="AE2" s="1185" t="s">
        <v>918</v>
      </c>
      <c r="AF2" s="1185"/>
      <c r="AG2" s="1186"/>
    </row>
    <row r="3" spans="1:33" s="31" customFormat="1" ht="12.75" customHeight="1" x14ac:dyDescent="0.25">
      <c r="A3" s="1197"/>
      <c r="B3" s="1169"/>
      <c r="C3" s="1200"/>
      <c r="D3" s="1204"/>
      <c r="E3" s="1205"/>
      <c r="F3" s="1206"/>
      <c r="G3" s="1207" t="s">
        <v>189</v>
      </c>
      <c r="H3" s="1208"/>
      <c r="I3" s="1208"/>
      <c r="J3" s="1181" t="s">
        <v>189</v>
      </c>
      <c r="K3" s="1181"/>
      <c r="L3" s="1181"/>
      <c r="M3" s="1181" t="s">
        <v>189</v>
      </c>
      <c r="N3" s="1181"/>
      <c r="O3" s="1181"/>
      <c r="P3" s="1181" t="s">
        <v>189</v>
      </c>
      <c r="Q3" s="1181"/>
      <c r="R3" s="1181"/>
      <c r="S3" s="1181" t="s">
        <v>189</v>
      </c>
      <c r="T3" s="1181"/>
      <c r="U3" s="1181"/>
      <c r="V3" s="1181" t="s">
        <v>189</v>
      </c>
      <c r="W3" s="1181"/>
      <c r="X3" s="1181"/>
      <c r="Y3" s="1181" t="s">
        <v>189</v>
      </c>
      <c r="Z3" s="1181"/>
      <c r="AA3" s="1181"/>
      <c r="AB3" s="1181" t="s">
        <v>189</v>
      </c>
      <c r="AC3" s="1181"/>
      <c r="AD3" s="1195"/>
      <c r="AE3" s="1181" t="s">
        <v>189</v>
      </c>
      <c r="AF3" s="1181"/>
      <c r="AG3" s="1187"/>
    </row>
    <row r="4" spans="1:33" s="16" customFormat="1" ht="38.25" x14ac:dyDescent="0.25">
      <c r="A4" s="1197"/>
      <c r="B4" s="1169"/>
      <c r="C4" s="1200"/>
      <c r="D4" s="892" t="s">
        <v>912</v>
      </c>
      <c r="E4" s="892" t="s">
        <v>727</v>
      </c>
      <c r="F4" s="892" t="s">
        <v>950</v>
      </c>
      <c r="G4" s="890" t="s">
        <v>912</v>
      </c>
      <c r="H4" s="890" t="s">
        <v>727</v>
      </c>
      <c r="I4" s="890" t="s">
        <v>950</v>
      </c>
      <c r="J4" s="1070" t="s">
        <v>912</v>
      </c>
      <c r="K4" s="1070" t="s">
        <v>727</v>
      </c>
      <c r="L4" s="1070" t="s">
        <v>950</v>
      </c>
      <c r="M4" s="1070" t="s">
        <v>912</v>
      </c>
      <c r="N4" s="1070" t="s">
        <v>727</v>
      </c>
      <c r="O4" s="1070" t="s">
        <v>950</v>
      </c>
      <c r="P4" s="1070" t="s">
        <v>912</v>
      </c>
      <c r="Q4" s="1070" t="s">
        <v>727</v>
      </c>
      <c r="R4" s="1070" t="s">
        <v>950</v>
      </c>
      <c r="S4" s="1070" t="s">
        <v>912</v>
      </c>
      <c r="T4" s="1070" t="s">
        <v>727</v>
      </c>
      <c r="U4" s="1070" t="s">
        <v>950</v>
      </c>
      <c r="V4" s="1070" t="s">
        <v>912</v>
      </c>
      <c r="W4" s="1070" t="s">
        <v>727</v>
      </c>
      <c r="X4" s="1070" t="s">
        <v>950</v>
      </c>
      <c r="Y4" s="1070" t="s">
        <v>912</v>
      </c>
      <c r="Z4" s="1070" t="s">
        <v>727</v>
      </c>
      <c r="AA4" s="1070" t="s">
        <v>950</v>
      </c>
      <c r="AB4" s="1070" t="s">
        <v>912</v>
      </c>
      <c r="AC4" s="1070" t="s">
        <v>727</v>
      </c>
      <c r="AD4" s="1070" t="s">
        <v>950</v>
      </c>
      <c r="AE4" s="1070" t="s">
        <v>912</v>
      </c>
      <c r="AF4" s="1070" t="s">
        <v>727</v>
      </c>
      <c r="AG4" s="1070" t="s">
        <v>950</v>
      </c>
    </row>
    <row r="5" spans="1:33" s="42" customFormat="1" ht="12.75" customHeight="1" x14ac:dyDescent="0.2">
      <c r="A5" s="473" t="s">
        <v>27</v>
      </c>
      <c r="B5" s="1170" t="s">
        <v>174</v>
      </c>
      <c r="C5" s="1143"/>
      <c r="D5" s="939">
        <f>+G5+J5+M5+P5+AB5+Y5+AE5+S5+V5</f>
        <v>0</v>
      </c>
      <c r="E5" s="931">
        <f>+H5+K5+N5+Q5+AC5+Z5+AF5+T5+W5</f>
        <v>0</v>
      </c>
      <c r="F5" s="932">
        <f>+I5+L5+O5+R5+AD5+AA5+AG5+U5+X5</f>
        <v>0</v>
      </c>
      <c r="G5" s="535"/>
      <c r="H5" s="53"/>
      <c r="I5" s="53">
        <f>+H5+G5</f>
        <v>0</v>
      </c>
      <c r="J5" s="699"/>
      <c r="K5" s="699"/>
      <c r="L5" s="699">
        <f>+K5+J5</f>
        <v>0</v>
      </c>
      <c r="M5" s="699"/>
      <c r="N5" s="699"/>
      <c r="O5" s="699">
        <f>+N5+M5</f>
        <v>0</v>
      </c>
      <c r="P5" s="699"/>
      <c r="Q5" s="699"/>
      <c r="R5" s="699"/>
      <c r="S5" s="699"/>
      <c r="T5" s="699"/>
      <c r="U5" s="699">
        <f>+T5+S5</f>
        <v>0</v>
      </c>
      <c r="V5" s="699"/>
      <c r="W5" s="699"/>
      <c r="X5" s="699">
        <f>+W5+V5</f>
        <v>0</v>
      </c>
      <c r="Y5" s="699"/>
      <c r="Z5" s="699"/>
      <c r="AA5" s="699">
        <f>+Z5+Y5</f>
        <v>0</v>
      </c>
      <c r="AB5" s="699"/>
      <c r="AC5" s="699"/>
      <c r="AD5" s="1015">
        <f>+AB5+AC5</f>
        <v>0</v>
      </c>
      <c r="AE5" s="699"/>
      <c r="AF5" s="699"/>
      <c r="AG5" s="895">
        <f>+AE5+AF5</f>
        <v>0</v>
      </c>
    </row>
    <row r="6" spans="1:33" s="42" customFormat="1" ht="12.75" customHeight="1" x14ac:dyDescent="0.2">
      <c r="A6" s="473" t="s">
        <v>33</v>
      </c>
      <c r="B6" s="1170" t="s">
        <v>173</v>
      </c>
      <c r="C6" s="1143"/>
      <c r="D6" s="939">
        <f t="shared" ref="D6:D7" si="0">+G6+J6+M6+P6+AB6+Y6+AE6+S6+V6</f>
        <v>9098</v>
      </c>
      <c r="E6" s="931">
        <f t="shared" ref="E6:E7" si="1">+H6+K6+N6+Q6+AC6+Z6+AF6+T6+W6</f>
        <v>-9098</v>
      </c>
      <c r="F6" s="932">
        <f t="shared" ref="F6:F7" si="2">+I6+L6+O6+R6+AD6+AA6+AG6+U6+X6</f>
        <v>0</v>
      </c>
      <c r="G6" s="535"/>
      <c r="H6" s="53"/>
      <c r="I6" s="53">
        <f t="shared" ref="I6:I68" si="3">+H6+G6</f>
        <v>0</v>
      </c>
      <c r="J6" s="699"/>
      <c r="K6" s="699"/>
      <c r="L6" s="699">
        <f t="shared" ref="L6:L68" si="4">+K6+J6</f>
        <v>0</v>
      </c>
      <c r="M6" s="699"/>
      <c r="N6" s="699"/>
      <c r="O6" s="699">
        <f t="shared" ref="O6:O66" si="5">+N6+M6</f>
        <v>0</v>
      </c>
      <c r="P6" s="699"/>
      <c r="Q6" s="699"/>
      <c r="R6" s="699"/>
      <c r="S6" s="699"/>
      <c r="T6" s="699"/>
      <c r="U6" s="699">
        <f t="shared" ref="U6" si="6">+T6+S6</f>
        <v>0</v>
      </c>
      <c r="V6" s="699"/>
      <c r="W6" s="699"/>
      <c r="X6" s="699">
        <f t="shared" ref="X6" si="7">+W6+V6</f>
        <v>0</v>
      </c>
      <c r="Y6" s="699"/>
      <c r="Z6" s="699"/>
      <c r="AA6" s="699">
        <f t="shared" ref="AA6:AA68" si="8">+Z6+Y6</f>
        <v>0</v>
      </c>
      <c r="AB6" s="699">
        <v>9098</v>
      </c>
      <c r="AC6" s="699">
        <v>-9098</v>
      </c>
      <c r="AD6" s="1015">
        <f t="shared" ref="AD6:AD68" si="9">+AB6+AC6</f>
        <v>0</v>
      </c>
      <c r="AE6" s="699"/>
      <c r="AF6" s="699"/>
      <c r="AG6" s="895">
        <f t="shared" ref="AG6:AG7" si="10">+AE6+AF6</f>
        <v>0</v>
      </c>
    </row>
    <row r="7" spans="1:33" s="42" customFormat="1" ht="12.75" customHeight="1" x14ac:dyDescent="0.2">
      <c r="A7" s="473" t="s">
        <v>34</v>
      </c>
      <c r="B7" s="1170" t="s">
        <v>172</v>
      </c>
      <c r="C7" s="1143"/>
      <c r="D7" s="939">
        <f t="shared" si="0"/>
        <v>9098</v>
      </c>
      <c r="E7" s="931">
        <f t="shared" si="1"/>
        <v>-9098</v>
      </c>
      <c r="F7" s="932">
        <f t="shared" si="2"/>
        <v>0</v>
      </c>
      <c r="G7" s="535">
        <f>SUM(G5:G6)</f>
        <v>0</v>
      </c>
      <c r="H7" s="53">
        <f t="shared" ref="H7:Q7" si="11">SUM(H5:H6)</f>
        <v>0</v>
      </c>
      <c r="I7" s="53">
        <f t="shared" si="3"/>
        <v>0</v>
      </c>
      <c r="J7" s="699">
        <f t="shared" si="11"/>
        <v>0</v>
      </c>
      <c r="K7" s="699">
        <f t="shared" si="11"/>
        <v>0</v>
      </c>
      <c r="L7" s="699">
        <f t="shared" si="4"/>
        <v>0</v>
      </c>
      <c r="M7" s="699">
        <f t="shared" si="11"/>
        <v>0</v>
      </c>
      <c r="N7" s="699">
        <f t="shared" si="11"/>
        <v>0</v>
      </c>
      <c r="O7" s="699">
        <f t="shared" si="5"/>
        <v>0</v>
      </c>
      <c r="P7" s="699">
        <f t="shared" si="11"/>
        <v>0</v>
      </c>
      <c r="Q7" s="699">
        <f t="shared" si="11"/>
        <v>0</v>
      </c>
      <c r="R7" s="699">
        <f t="shared" ref="R7" si="12">+Q7+P7</f>
        <v>0</v>
      </c>
      <c r="S7" s="699">
        <f t="shared" ref="S7:U7" si="13">SUM(S5:S6)</f>
        <v>0</v>
      </c>
      <c r="T7" s="699">
        <f t="shared" si="13"/>
        <v>0</v>
      </c>
      <c r="U7" s="699">
        <f t="shared" si="13"/>
        <v>0</v>
      </c>
      <c r="V7" s="699">
        <f t="shared" ref="V7:X7" si="14">SUM(V5:V6)</f>
        <v>0</v>
      </c>
      <c r="W7" s="699">
        <f t="shared" si="14"/>
        <v>0</v>
      </c>
      <c r="X7" s="699">
        <f t="shared" si="14"/>
        <v>0</v>
      </c>
      <c r="Y7" s="699">
        <f t="shared" ref="Y7:AA7" si="15">SUM(Y5:Y6)</f>
        <v>0</v>
      </c>
      <c r="Z7" s="699">
        <f t="shared" si="15"/>
        <v>0</v>
      </c>
      <c r="AA7" s="699">
        <f t="shared" si="15"/>
        <v>0</v>
      </c>
      <c r="AB7" s="699">
        <f t="shared" ref="AB7:AC7" si="16">SUM(AB5:AB6)</f>
        <v>9098</v>
      </c>
      <c r="AC7" s="699">
        <f t="shared" si="16"/>
        <v>-9098</v>
      </c>
      <c r="AD7" s="1015">
        <f t="shared" si="9"/>
        <v>0</v>
      </c>
      <c r="AE7" s="699">
        <f t="shared" ref="AE7:AF7" si="17">SUM(AE5:AE6)</f>
        <v>0</v>
      </c>
      <c r="AF7" s="699">
        <f t="shared" si="17"/>
        <v>0</v>
      </c>
      <c r="AG7" s="895">
        <f t="shared" si="10"/>
        <v>0</v>
      </c>
    </row>
    <row r="8" spans="1:33" ht="12" customHeight="1" x14ac:dyDescent="0.2">
      <c r="A8" s="475"/>
      <c r="B8" s="688"/>
      <c r="C8" s="296"/>
      <c r="D8" s="940"/>
      <c r="E8" s="933"/>
      <c r="F8" s="934"/>
      <c r="G8" s="56"/>
      <c r="H8" s="56"/>
      <c r="I8" s="192"/>
      <c r="J8" s="575"/>
      <c r="K8" s="575"/>
      <c r="L8" s="837"/>
      <c r="M8" s="575"/>
      <c r="N8" s="575"/>
      <c r="O8" s="837"/>
      <c r="P8" s="575"/>
      <c r="Q8" s="575"/>
      <c r="R8" s="837"/>
      <c r="S8" s="575"/>
      <c r="T8" s="575"/>
      <c r="U8" s="837"/>
      <c r="V8" s="575"/>
      <c r="W8" s="575"/>
      <c r="X8" s="837"/>
      <c r="Y8" s="575"/>
      <c r="Z8" s="575"/>
      <c r="AA8" s="837"/>
      <c r="AB8" s="575"/>
      <c r="AC8" s="575"/>
      <c r="AD8" s="837"/>
      <c r="AE8" s="1017"/>
      <c r="AF8" s="575"/>
      <c r="AG8" s="896"/>
    </row>
    <row r="9" spans="1:33" s="42" customFormat="1" ht="12.75" customHeight="1" x14ac:dyDescent="0.2">
      <c r="A9" s="473" t="s">
        <v>35</v>
      </c>
      <c r="B9" s="1170" t="s">
        <v>171</v>
      </c>
      <c r="C9" s="1143"/>
      <c r="D9" s="939">
        <f>+G9+J9+M9+P9+AB9+Y9+AE9+S9+V9</f>
        <v>0</v>
      </c>
      <c r="E9" s="931">
        <f>+H9+K9+N9+Q9+AC9+Z9+AF9+T9+W9</f>
        <v>0</v>
      </c>
      <c r="F9" s="932">
        <f>+I9+L9+O9+R9+AD9+AA9+AG9+U9+X9</f>
        <v>0</v>
      </c>
      <c r="G9" s="535"/>
      <c r="H9" s="53"/>
      <c r="I9" s="53">
        <f t="shared" si="3"/>
        <v>0</v>
      </c>
      <c r="J9" s="699"/>
      <c r="K9" s="699"/>
      <c r="L9" s="699">
        <f t="shared" si="4"/>
        <v>0</v>
      </c>
      <c r="M9" s="699"/>
      <c r="N9" s="699"/>
      <c r="O9" s="699">
        <f t="shared" si="5"/>
        <v>0</v>
      </c>
      <c r="P9" s="699"/>
      <c r="Q9" s="699"/>
      <c r="R9" s="699">
        <f t="shared" ref="R9:R68" si="18">+Q9+P9</f>
        <v>0</v>
      </c>
      <c r="S9" s="699"/>
      <c r="T9" s="699"/>
      <c r="U9" s="699">
        <f t="shared" ref="U9" si="19">+T9+S9</f>
        <v>0</v>
      </c>
      <c r="V9" s="699"/>
      <c r="W9" s="699"/>
      <c r="X9" s="699">
        <f t="shared" ref="X9" si="20">+W9+V9</f>
        <v>0</v>
      </c>
      <c r="Y9" s="699"/>
      <c r="Z9" s="699"/>
      <c r="AA9" s="699">
        <f t="shared" si="8"/>
        <v>0</v>
      </c>
      <c r="AB9" s="699"/>
      <c r="AC9" s="699"/>
      <c r="AD9" s="1015">
        <f t="shared" si="9"/>
        <v>0</v>
      </c>
      <c r="AE9" s="699"/>
      <c r="AF9" s="699"/>
      <c r="AG9" s="895">
        <f t="shared" ref="AG9" si="21">+AE9+AF9</f>
        <v>0</v>
      </c>
    </row>
    <row r="10" spans="1:33" ht="11.25" customHeight="1" x14ac:dyDescent="0.2">
      <c r="A10" s="92"/>
      <c r="C10" s="297"/>
      <c r="D10" s="940"/>
      <c r="E10" s="933"/>
      <c r="F10" s="934"/>
      <c r="G10" s="56"/>
      <c r="H10" s="56"/>
      <c r="I10" s="192"/>
      <c r="J10" s="575"/>
      <c r="K10" s="575"/>
      <c r="L10" s="837"/>
      <c r="M10" s="575"/>
      <c r="N10" s="575"/>
      <c r="O10" s="837"/>
      <c r="P10" s="575"/>
      <c r="Q10" s="575"/>
      <c r="R10" s="837"/>
      <c r="S10" s="575"/>
      <c r="T10" s="575"/>
      <c r="U10" s="837"/>
      <c r="V10" s="575"/>
      <c r="W10" s="575"/>
      <c r="X10" s="837"/>
      <c r="Y10" s="575"/>
      <c r="Z10" s="575"/>
      <c r="AA10" s="837"/>
      <c r="AB10" s="575"/>
      <c r="AC10" s="575"/>
      <c r="AD10" s="837"/>
      <c r="AE10" s="1017"/>
      <c r="AF10" s="575"/>
      <c r="AG10" s="896"/>
    </row>
    <row r="11" spans="1:33" ht="12.75" customHeight="1" x14ac:dyDescent="0.2">
      <c r="A11" s="4" t="s">
        <v>42</v>
      </c>
      <c r="B11" s="1171" t="s">
        <v>41</v>
      </c>
      <c r="C11" s="1174"/>
      <c r="D11" s="939">
        <f t="shared" ref="D11:D34" si="22">+G11+J11+M11+P11+AB11+Y11+AE11+S11+V11</f>
        <v>0</v>
      </c>
      <c r="E11" s="931">
        <f t="shared" ref="E11:E34" si="23">+H11+K11+N11+Q11+AC11+Z11+AF11+T11+W11</f>
        <v>0</v>
      </c>
      <c r="F11" s="932">
        <f t="shared" ref="F11:F34" si="24">+I11+L11+O11+R11+AD11+AA11+AG11+U11+X11</f>
        <v>0</v>
      </c>
      <c r="G11" s="893"/>
      <c r="H11" s="27"/>
      <c r="I11" s="53">
        <f t="shared" si="3"/>
        <v>0</v>
      </c>
      <c r="J11" s="417"/>
      <c r="K11" s="417"/>
      <c r="L11" s="699">
        <f t="shared" si="4"/>
        <v>0</v>
      </c>
      <c r="M11" s="417"/>
      <c r="N11" s="417"/>
      <c r="O11" s="699">
        <f t="shared" si="5"/>
        <v>0</v>
      </c>
      <c r="P11" s="417"/>
      <c r="Q11" s="417"/>
      <c r="R11" s="699">
        <f t="shared" si="18"/>
        <v>0</v>
      </c>
      <c r="S11" s="417"/>
      <c r="T11" s="417"/>
      <c r="U11" s="699">
        <f t="shared" ref="U11:U13" si="25">+T11+S11</f>
        <v>0</v>
      </c>
      <c r="V11" s="417"/>
      <c r="W11" s="417"/>
      <c r="X11" s="699">
        <f t="shared" ref="X11:X13" si="26">+W11+V11</f>
        <v>0</v>
      </c>
      <c r="Y11" s="417"/>
      <c r="Z11" s="417"/>
      <c r="AA11" s="699">
        <f t="shared" si="8"/>
        <v>0</v>
      </c>
      <c r="AB11" s="417"/>
      <c r="AC11" s="417"/>
      <c r="AD11" s="1015">
        <f t="shared" si="9"/>
        <v>0</v>
      </c>
      <c r="AE11" s="417"/>
      <c r="AF11" s="417"/>
      <c r="AG11" s="895">
        <f t="shared" ref="AG11:AG35" si="27">+AE11+AF11</f>
        <v>0</v>
      </c>
    </row>
    <row r="12" spans="1:33" ht="12.75" customHeight="1" x14ac:dyDescent="0.2">
      <c r="A12" s="4" t="s">
        <v>44</v>
      </c>
      <c r="B12" s="1171" t="s">
        <v>43</v>
      </c>
      <c r="C12" s="1174"/>
      <c r="D12" s="939">
        <f t="shared" si="22"/>
        <v>273</v>
      </c>
      <c r="E12" s="931">
        <f t="shared" si="23"/>
        <v>60</v>
      </c>
      <c r="F12" s="932">
        <f t="shared" si="24"/>
        <v>333</v>
      </c>
      <c r="G12" s="893">
        <v>273</v>
      </c>
      <c r="H12" s="27">
        <v>60</v>
      </c>
      <c r="I12" s="53">
        <f t="shared" si="3"/>
        <v>333</v>
      </c>
      <c r="J12" s="417"/>
      <c r="K12" s="417"/>
      <c r="L12" s="699">
        <f t="shared" si="4"/>
        <v>0</v>
      </c>
      <c r="M12" s="417"/>
      <c r="N12" s="417"/>
      <c r="O12" s="699">
        <f t="shared" si="5"/>
        <v>0</v>
      </c>
      <c r="P12" s="417"/>
      <c r="Q12" s="417"/>
      <c r="R12" s="699">
        <f t="shared" si="18"/>
        <v>0</v>
      </c>
      <c r="S12" s="417"/>
      <c r="T12" s="417"/>
      <c r="U12" s="699">
        <f t="shared" si="25"/>
        <v>0</v>
      </c>
      <c r="V12" s="417"/>
      <c r="W12" s="417"/>
      <c r="X12" s="699">
        <f t="shared" si="26"/>
        <v>0</v>
      </c>
      <c r="Y12" s="417"/>
      <c r="Z12" s="417"/>
      <c r="AA12" s="699">
        <f t="shared" si="8"/>
        <v>0</v>
      </c>
      <c r="AB12" s="417"/>
      <c r="AC12" s="417"/>
      <c r="AD12" s="1015">
        <f t="shared" si="9"/>
        <v>0</v>
      </c>
      <c r="AE12" s="417"/>
      <c r="AF12" s="417"/>
      <c r="AG12" s="895">
        <f t="shared" si="27"/>
        <v>0</v>
      </c>
    </row>
    <row r="13" spans="1:33" ht="12.75" customHeight="1" x14ac:dyDescent="0.2">
      <c r="A13" s="4" t="s">
        <v>46</v>
      </c>
      <c r="B13" s="1171" t="s">
        <v>45</v>
      </c>
      <c r="C13" s="1174"/>
      <c r="D13" s="939">
        <f t="shared" si="22"/>
        <v>0</v>
      </c>
      <c r="E13" s="931">
        <f t="shared" si="23"/>
        <v>0</v>
      </c>
      <c r="F13" s="932">
        <f t="shared" si="24"/>
        <v>0</v>
      </c>
      <c r="G13" s="893"/>
      <c r="H13" s="27"/>
      <c r="I13" s="53">
        <f t="shared" si="3"/>
        <v>0</v>
      </c>
      <c r="J13" s="417"/>
      <c r="K13" s="417"/>
      <c r="L13" s="699">
        <f t="shared" si="4"/>
        <v>0</v>
      </c>
      <c r="M13" s="417"/>
      <c r="N13" s="417"/>
      <c r="O13" s="699">
        <f t="shared" si="5"/>
        <v>0</v>
      </c>
      <c r="P13" s="417"/>
      <c r="Q13" s="417"/>
      <c r="R13" s="699">
        <f t="shared" si="18"/>
        <v>0</v>
      </c>
      <c r="S13" s="417"/>
      <c r="T13" s="417"/>
      <c r="U13" s="699">
        <f t="shared" si="25"/>
        <v>0</v>
      </c>
      <c r="V13" s="417"/>
      <c r="W13" s="417"/>
      <c r="X13" s="699">
        <f t="shared" si="26"/>
        <v>0</v>
      </c>
      <c r="Y13" s="417"/>
      <c r="Z13" s="417"/>
      <c r="AA13" s="699">
        <f t="shared" si="8"/>
        <v>0</v>
      </c>
      <c r="AB13" s="417"/>
      <c r="AC13" s="417"/>
      <c r="AD13" s="1015">
        <f t="shared" si="9"/>
        <v>0</v>
      </c>
      <c r="AE13" s="417"/>
      <c r="AF13" s="417"/>
      <c r="AG13" s="895">
        <f t="shared" si="27"/>
        <v>0</v>
      </c>
    </row>
    <row r="14" spans="1:33" s="42" customFormat="1" ht="12.75" customHeight="1" x14ac:dyDescent="0.2">
      <c r="A14" s="473" t="s">
        <v>47</v>
      </c>
      <c r="B14" s="1170" t="s">
        <v>170</v>
      </c>
      <c r="C14" s="1143"/>
      <c r="D14" s="939">
        <f t="shared" si="22"/>
        <v>273</v>
      </c>
      <c r="E14" s="931">
        <f t="shared" si="23"/>
        <v>60</v>
      </c>
      <c r="F14" s="932">
        <f t="shared" si="24"/>
        <v>333</v>
      </c>
      <c r="G14" s="699">
        <f t="shared" ref="G14:AB14" si="28">SUM(G11:G13)</f>
        <v>273</v>
      </c>
      <c r="H14" s="699">
        <f t="shared" si="28"/>
        <v>60</v>
      </c>
      <c r="I14" s="699">
        <f t="shared" si="28"/>
        <v>333</v>
      </c>
      <c r="J14" s="699">
        <f t="shared" si="28"/>
        <v>0</v>
      </c>
      <c r="K14" s="699">
        <f t="shared" si="28"/>
        <v>0</v>
      </c>
      <c r="L14" s="699">
        <f t="shared" si="28"/>
        <v>0</v>
      </c>
      <c r="M14" s="699">
        <f t="shared" si="28"/>
        <v>0</v>
      </c>
      <c r="N14" s="699">
        <f t="shared" si="28"/>
        <v>0</v>
      </c>
      <c r="O14" s="699">
        <f t="shared" si="28"/>
        <v>0</v>
      </c>
      <c r="P14" s="699">
        <f t="shared" si="28"/>
        <v>0</v>
      </c>
      <c r="Q14" s="699">
        <f t="shared" si="28"/>
        <v>0</v>
      </c>
      <c r="R14" s="699">
        <f t="shared" si="28"/>
        <v>0</v>
      </c>
      <c r="S14" s="699">
        <f t="shared" si="28"/>
        <v>0</v>
      </c>
      <c r="T14" s="699">
        <f t="shared" si="28"/>
        <v>0</v>
      </c>
      <c r="U14" s="699">
        <f t="shared" si="28"/>
        <v>0</v>
      </c>
      <c r="V14" s="699">
        <f t="shared" ref="V14:X14" si="29">SUM(V11:V13)</f>
        <v>0</v>
      </c>
      <c r="W14" s="699">
        <f t="shared" si="29"/>
        <v>0</v>
      </c>
      <c r="X14" s="699">
        <f t="shared" si="29"/>
        <v>0</v>
      </c>
      <c r="Y14" s="699">
        <f t="shared" si="28"/>
        <v>0</v>
      </c>
      <c r="Z14" s="699">
        <f t="shared" si="28"/>
        <v>0</v>
      </c>
      <c r="AA14" s="699">
        <f t="shared" si="28"/>
        <v>0</v>
      </c>
      <c r="AB14" s="699">
        <f t="shared" si="28"/>
        <v>0</v>
      </c>
      <c r="AC14" s="699">
        <f>SUM(AC11:AC13)</f>
        <v>0</v>
      </c>
      <c r="AD14" s="1015">
        <f t="shared" si="9"/>
        <v>0</v>
      </c>
      <c r="AE14" s="699">
        <f t="shared" ref="AE14" si="30">SUM(AE11:AE13)</f>
        <v>0</v>
      </c>
      <c r="AF14" s="699">
        <f>SUM(AF11:AF13)</f>
        <v>0</v>
      </c>
      <c r="AG14" s="895">
        <f t="shared" si="27"/>
        <v>0</v>
      </c>
    </row>
    <row r="15" spans="1:33" ht="12.75" hidden="1" customHeight="1" x14ac:dyDescent="0.2">
      <c r="A15" s="476" t="s">
        <v>49</v>
      </c>
      <c r="B15" s="1171" t="s">
        <v>48</v>
      </c>
      <c r="C15" s="1145"/>
      <c r="D15" s="939">
        <f t="shared" si="22"/>
        <v>0</v>
      </c>
      <c r="E15" s="931">
        <f t="shared" si="23"/>
        <v>0</v>
      </c>
      <c r="F15" s="932">
        <f t="shared" si="24"/>
        <v>0</v>
      </c>
      <c r="G15" s="29"/>
      <c r="H15" s="27"/>
      <c r="I15" s="53">
        <f t="shared" si="3"/>
        <v>0</v>
      </c>
      <c r="J15" s="417"/>
      <c r="K15" s="417"/>
      <c r="L15" s="699">
        <f t="shared" si="4"/>
        <v>0</v>
      </c>
      <c r="M15" s="417"/>
      <c r="N15" s="417"/>
      <c r="O15" s="699">
        <f t="shared" si="5"/>
        <v>0</v>
      </c>
      <c r="P15" s="417"/>
      <c r="Q15" s="417"/>
      <c r="R15" s="699">
        <f t="shared" si="18"/>
        <v>0</v>
      </c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1015">
        <f t="shared" si="9"/>
        <v>0</v>
      </c>
      <c r="AE15" s="417"/>
      <c r="AF15" s="417"/>
      <c r="AG15" s="895">
        <f t="shared" si="27"/>
        <v>0</v>
      </c>
    </row>
    <row r="16" spans="1:33" ht="12.75" hidden="1" customHeight="1" x14ac:dyDescent="0.2">
      <c r="A16" s="476" t="s">
        <v>51</v>
      </c>
      <c r="B16" s="1171" t="s">
        <v>50</v>
      </c>
      <c r="C16" s="1145"/>
      <c r="D16" s="939">
        <f t="shared" si="22"/>
        <v>0</v>
      </c>
      <c r="E16" s="931">
        <f t="shared" si="23"/>
        <v>0</v>
      </c>
      <c r="F16" s="932">
        <f t="shared" si="24"/>
        <v>0</v>
      </c>
      <c r="G16" s="29"/>
      <c r="H16" s="27"/>
      <c r="I16" s="53">
        <f t="shared" si="3"/>
        <v>0</v>
      </c>
      <c r="J16" s="417"/>
      <c r="K16" s="417"/>
      <c r="L16" s="699">
        <f t="shared" si="4"/>
        <v>0</v>
      </c>
      <c r="M16" s="417"/>
      <c r="N16" s="417"/>
      <c r="O16" s="699">
        <f t="shared" si="5"/>
        <v>0</v>
      </c>
      <c r="P16" s="417"/>
      <c r="Q16" s="417"/>
      <c r="R16" s="699">
        <f t="shared" si="18"/>
        <v>0</v>
      </c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1015">
        <f t="shared" si="9"/>
        <v>0</v>
      </c>
      <c r="AE16" s="417"/>
      <c r="AF16" s="417"/>
      <c r="AG16" s="895">
        <f t="shared" si="27"/>
        <v>0</v>
      </c>
    </row>
    <row r="17" spans="1:33" s="42" customFormat="1" ht="12.75" customHeight="1" x14ac:dyDescent="0.2">
      <c r="A17" s="473" t="s">
        <v>52</v>
      </c>
      <c r="B17" s="1170" t="s">
        <v>169</v>
      </c>
      <c r="C17" s="1143"/>
      <c r="D17" s="939">
        <f t="shared" si="22"/>
        <v>0</v>
      </c>
      <c r="E17" s="931">
        <f t="shared" si="23"/>
        <v>0</v>
      </c>
      <c r="F17" s="932">
        <f t="shared" si="24"/>
        <v>0</v>
      </c>
      <c r="G17" s="535"/>
      <c r="H17" s="53"/>
      <c r="I17" s="53">
        <f t="shared" si="3"/>
        <v>0</v>
      </c>
      <c r="J17" s="699"/>
      <c r="K17" s="699"/>
      <c r="L17" s="699">
        <f t="shared" si="4"/>
        <v>0</v>
      </c>
      <c r="M17" s="699"/>
      <c r="N17" s="699"/>
      <c r="O17" s="699">
        <f t="shared" si="5"/>
        <v>0</v>
      </c>
      <c r="P17" s="699"/>
      <c r="Q17" s="699"/>
      <c r="R17" s="699">
        <f t="shared" si="18"/>
        <v>0</v>
      </c>
      <c r="S17" s="699"/>
      <c r="T17" s="699"/>
      <c r="U17" s="699">
        <f t="shared" ref="U17" si="31">+U15+U16</f>
        <v>0</v>
      </c>
      <c r="V17" s="699"/>
      <c r="W17" s="699"/>
      <c r="X17" s="699">
        <f t="shared" ref="X17" si="32">+X15+X16</f>
        <v>0</v>
      </c>
      <c r="Y17" s="699"/>
      <c r="Z17" s="699"/>
      <c r="AA17" s="699">
        <f t="shared" ref="AA17" si="33">+AA15+AA16</f>
        <v>0</v>
      </c>
      <c r="AB17" s="699">
        <f t="shared" ref="AB17:AC17" si="34">+AB15+AB16</f>
        <v>0</v>
      </c>
      <c r="AC17" s="699">
        <f t="shared" si="34"/>
        <v>0</v>
      </c>
      <c r="AD17" s="1015">
        <f t="shared" si="9"/>
        <v>0</v>
      </c>
      <c r="AE17" s="699">
        <f t="shared" ref="AE17:AF17" si="35">+AE15+AE16</f>
        <v>0</v>
      </c>
      <c r="AF17" s="699">
        <f t="shared" si="35"/>
        <v>0</v>
      </c>
      <c r="AG17" s="895">
        <f t="shared" si="27"/>
        <v>0</v>
      </c>
    </row>
    <row r="18" spans="1:33" ht="12.75" customHeight="1" x14ac:dyDescent="0.2">
      <c r="A18" s="476" t="s">
        <v>54</v>
      </c>
      <c r="B18" s="1171" t="s">
        <v>53</v>
      </c>
      <c r="C18" s="1145"/>
      <c r="D18" s="939">
        <f t="shared" si="22"/>
        <v>0</v>
      </c>
      <c r="E18" s="931">
        <f t="shared" si="23"/>
        <v>0</v>
      </c>
      <c r="F18" s="932">
        <f t="shared" si="24"/>
        <v>0</v>
      </c>
      <c r="G18" s="29"/>
      <c r="H18" s="27"/>
      <c r="I18" s="53">
        <f t="shared" si="3"/>
        <v>0</v>
      </c>
      <c r="J18" s="417"/>
      <c r="K18" s="417"/>
      <c r="L18" s="699">
        <f t="shared" si="4"/>
        <v>0</v>
      </c>
      <c r="M18" s="417"/>
      <c r="N18" s="417"/>
      <c r="O18" s="699">
        <f t="shared" si="5"/>
        <v>0</v>
      </c>
      <c r="P18" s="417"/>
      <c r="Q18" s="417"/>
      <c r="R18" s="699">
        <f t="shared" si="18"/>
        <v>0</v>
      </c>
      <c r="S18" s="417"/>
      <c r="T18" s="417"/>
      <c r="U18" s="699">
        <f t="shared" ref="U18:U24" si="36">+T18+S18</f>
        <v>0</v>
      </c>
      <c r="V18" s="417"/>
      <c r="W18" s="417"/>
      <c r="X18" s="699">
        <f t="shared" ref="X18:X24" si="37">+W18+V18</f>
        <v>0</v>
      </c>
      <c r="Y18" s="417"/>
      <c r="Z18" s="417"/>
      <c r="AA18" s="699">
        <f t="shared" si="8"/>
        <v>0</v>
      </c>
      <c r="AB18" s="417"/>
      <c r="AC18" s="417"/>
      <c r="AD18" s="1015">
        <f t="shared" si="9"/>
        <v>0</v>
      </c>
      <c r="AE18" s="417"/>
      <c r="AF18" s="417"/>
      <c r="AG18" s="895">
        <f t="shared" si="27"/>
        <v>0</v>
      </c>
    </row>
    <row r="19" spans="1:33" ht="12.75" customHeight="1" x14ac:dyDescent="0.2">
      <c r="A19" s="476" t="s">
        <v>56</v>
      </c>
      <c r="B19" s="1171" t="s">
        <v>55</v>
      </c>
      <c r="C19" s="1145"/>
      <c r="D19" s="939">
        <f t="shared" si="22"/>
        <v>0</v>
      </c>
      <c r="E19" s="931">
        <f t="shared" si="23"/>
        <v>0</v>
      </c>
      <c r="F19" s="932">
        <f t="shared" si="24"/>
        <v>0</v>
      </c>
      <c r="G19" s="29"/>
      <c r="H19" s="27"/>
      <c r="I19" s="53">
        <f t="shared" si="3"/>
        <v>0</v>
      </c>
      <c r="J19" s="417"/>
      <c r="K19" s="417"/>
      <c r="L19" s="699">
        <f t="shared" si="4"/>
        <v>0</v>
      </c>
      <c r="M19" s="417"/>
      <c r="N19" s="417"/>
      <c r="O19" s="699">
        <f t="shared" si="5"/>
        <v>0</v>
      </c>
      <c r="P19" s="417"/>
      <c r="Q19" s="417"/>
      <c r="R19" s="699">
        <f t="shared" si="18"/>
        <v>0</v>
      </c>
      <c r="S19" s="417"/>
      <c r="T19" s="417"/>
      <c r="U19" s="699">
        <f t="shared" si="36"/>
        <v>0</v>
      </c>
      <c r="V19" s="417"/>
      <c r="W19" s="417"/>
      <c r="X19" s="699">
        <f t="shared" si="37"/>
        <v>0</v>
      </c>
      <c r="Y19" s="417"/>
      <c r="Z19" s="417"/>
      <c r="AA19" s="699">
        <f t="shared" si="8"/>
        <v>0</v>
      </c>
      <c r="AB19" s="417"/>
      <c r="AC19" s="417"/>
      <c r="AD19" s="1015">
        <f t="shared" si="9"/>
        <v>0</v>
      </c>
      <c r="AE19" s="417"/>
      <c r="AF19" s="417"/>
      <c r="AG19" s="895">
        <f t="shared" si="27"/>
        <v>0</v>
      </c>
    </row>
    <row r="20" spans="1:33" ht="12.75" customHeight="1" x14ac:dyDescent="0.2">
      <c r="A20" s="476" t="s">
        <v>57</v>
      </c>
      <c r="B20" s="1171" t="s">
        <v>167</v>
      </c>
      <c r="C20" s="1145"/>
      <c r="D20" s="939">
        <f t="shared" si="22"/>
        <v>0</v>
      </c>
      <c r="E20" s="931">
        <f t="shared" si="23"/>
        <v>0</v>
      </c>
      <c r="F20" s="932">
        <f t="shared" si="24"/>
        <v>0</v>
      </c>
      <c r="G20" s="29"/>
      <c r="H20" s="27"/>
      <c r="I20" s="53">
        <f t="shared" si="3"/>
        <v>0</v>
      </c>
      <c r="J20" s="417"/>
      <c r="K20" s="417"/>
      <c r="L20" s="699">
        <f t="shared" si="4"/>
        <v>0</v>
      </c>
      <c r="M20" s="417"/>
      <c r="N20" s="417"/>
      <c r="O20" s="699">
        <f t="shared" si="5"/>
        <v>0</v>
      </c>
      <c r="P20" s="417"/>
      <c r="Q20" s="417"/>
      <c r="R20" s="699">
        <f t="shared" si="18"/>
        <v>0</v>
      </c>
      <c r="S20" s="417"/>
      <c r="T20" s="417"/>
      <c r="U20" s="699">
        <f t="shared" si="36"/>
        <v>0</v>
      </c>
      <c r="V20" s="417"/>
      <c r="W20" s="417"/>
      <c r="X20" s="699">
        <f t="shared" si="37"/>
        <v>0</v>
      </c>
      <c r="Y20" s="417"/>
      <c r="Z20" s="417"/>
      <c r="AA20" s="699">
        <f t="shared" si="8"/>
        <v>0</v>
      </c>
      <c r="AB20" s="417"/>
      <c r="AC20" s="417"/>
      <c r="AD20" s="1015">
        <f t="shared" si="9"/>
        <v>0</v>
      </c>
      <c r="AE20" s="417"/>
      <c r="AF20" s="417"/>
      <c r="AG20" s="895">
        <f t="shared" si="27"/>
        <v>0</v>
      </c>
    </row>
    <row r="21" spans="1:33" ht="12.75" customHeight="1" x14ac:dyDescent="0.2">
      <c r="A21" s="476" t="s">
        <v>59</v>
      </c>
      <c r="B21" s="1171" t="s">
        <v>58</v>
      </c>
      <c r="C21" s="1145"/>
      <c r="D21" s="939">
        <f t="shared" si="22"/>
        <v>0</v>
      </c>
      <c r="E21" s="931">
        <f t="shared" si="23"/>
        <v>0</v>
      </c>
      <c r="F21" s="932">
        <f t="shared" si="24"/>
        <v>0</v>
      </c>
      <c r="G21" s="29"/>
      <c r="H21" s="27"/>
      <c r="I21" s="53">
        <f t="shared" si="3"/>
        <v>0</v>
      </c>
      <c r="J21" s="417"/>
      <c r="K21" s="417"/>
      <c r="L21" s="699">
        <f t="shared" si="4"/>
        <v>0</v>
      </c>
      <c r="M21" s="417"/>
      <c r="N21" s="417"/>
      <c r="O21" s="699">
        <f t="shared" si="5"/>
        <v>0</v>
      </c>
      <c r="P21" s="417"/>
      <c r="Q21" s="417"/>
      <c r="R21" s="699">
        <f t="shared" si="18"/>
        <v>0</v>
      </c>
      <c r="S21" s="417"/>
      <c r="T21" s="417"/>
      <c r="U21" s="699">
        <f t="shared" si="36"/>
        <v>0</v>
      </c>
      <c r="V21" s="417"/>
      <c r="W21" s="417"/>
      <c r="X21" s="699">
        <f t="shared" si="37"/>
        <v>0</v>
      </c>
      <c r="Y21" s="417"/>
      <c r="Z21" s="417"/>
      <c r="AA21" s="699">
        <f t="shared" si="8"/>
        <v>0</v>
      </c>
      <c r="AB21" s="417"/>
      <c r="AC21" s="417"/>
      <c r="AD21" s="1015">
        <f t="shared" si="9"/>
        <v>0</v>
      </c>
      <c r="AE21" s="417"/>
      <c r="AF21" s="417"/>
      <c r="AG21" s="895">
        <f t="shared" si="27"/>
        <v>0</v>
      </c>
    </row>
    <row r="22" spans="1:33" ht="12.75" customHeight="1" x14ac:dyDescent="0.2">
      <c r="A22" s="476" t="s">
        <v>60</v>
      </c>
      <c r="B22" s="1171" t="s">
        <v>166</v>
      </c>
      <c r="C22" s="1145"/>
      <c r="D22" s="939">
        <f t="shared" si="22"/>
        <v>0</v>
      </c>
      <c r="E22" s="931">
        <f t="shared" si="23"/>
        <v>0</v>
      </c>
      <c r="F22" s="932">
        <f t="shared" si="24"/>
        <v>0</v>
      </c>
      <c r="G22" s="29"/>
      <c r="H22" s="27"/>
      <c r="I22" s="53">
        <f t="shared" si="3"/>
        <v>0</v>
      </c>
      <c r="J22" s="417"/>
      <c r="K22" s="417"/>
      <c r="L22" s="699">
        <f t="shared" si="4"/>
        <v>0</v>
      </c>
      <c r="M22" s="417"/>
      <c r="N22" s="417"/>
      <c r="O22" s="699">
        <f t="shared" si="5"/>
        <v>0</v>
      </c>
      <c r="P22" s="417"/>
      <c r="Q22" s="417"/>
      <c r="R22" s="699">
        <f t="shared" si="18"/>
        <v>0</v>
      </c>
      <c r="S22" s="417"/>
      <c r="T22" s="417"/>
      <c r="U22" s="699">
        <f t="shared" si="36"/>
        <v>0</v>
      </c>
      <c r="V22" s="417"/>
      <c r="W22" s="417"/>
      <c r="X22" s="699">
        <f t="shared" si="37"/>
        <v>0</v>
      </c>
      <c r="Y22" s="417"/>
      <c r="Z22" s="417"/>
      <c r="AA22" s="699">
        <f t="shared" si="8"/>
        <v>0</v>
      </c>
      <c r="AB22" s="417"/>
      <c r="AC22" s="417"/>
      <c r="AD22" s="1015">
        <f t="shared" si="9"/>
        <v>0</v>
      </c>
      <c r="AE22" s="417"/>
      <c r="AF22" s="417"/>
      <c r="AG22" s="895">
        <f t="shared" si="27"/>
        <v>0</v>
      </c>
    </row>
    <row r="23" spans="1:33" ht="12.75" customHeight="1" x14ac:dyDescent="0.2">
      <c r="A23" s="476" t="s">
        <v>63</v>
      </c>
      <c r="B23" s="1171" t="s">
        <v>62</v>
      </c>
      <c r="C23" s="1145"/>
      <c r="D23" s="939">
        <f t="shared" si="22"/>
        <v>3987</v>
      </c>
      <c r="E23" s="931">
        <f t="shared" si="23"/>
        <v>1575</v>
      </c>
      <c r="F23" s="932">
        <f t="shared" si="24"/>
        <v>5562</v>
      </c>
      <c r="G23" s="29">
        <v>80</v>
      </c>
      <c r="H23" s="27"/>
      <c r="I23" s="53">
        <f t="shared" si="3"/>
        <v>80</v>
      </c>
      <c r="J23" s="417"/>
      <c r="K23" s="417"/>
      <c r="L23" s="699">
        <f t="shared" si="4"/>
        <v>0</v>
      </c>
      <c r="M23" s="417"/>
      <c r="N23" s="417"/>
      <c r="O23" s="699">
        <f t="shared" si="5"/>
        <v>0</v>
      </c>
      <c r="P23" s="417"/>
      <c r="Q23" s="417"/>
      <c r="R23" s="699">
        <f t="shared" si="18"/>
        <v>0</v>
      </c>
      <c r="S23" s="417"/>
      <c r="T23" s="417"/>
      <c r="U23" s="699">
        <f t="shared" si="36"/>
        <v>0</v>
      </c>
      <c r="V23" s="417"/>
      <c r="W23" s="417"/>
      <c r="X23" s="699">
        <f t="shared" si="37"/>
        <v>0</v>
      </c>
      <c r="Y23" s="417"/>
      <c r="Z23" s="417"/>
      <c r="AA23" s="699">
        <f t="shared" si="8"/>
        <v>0</v>
      </c>
      <c r="AB23" s="417">
        <v>600</v>
      </c>
      <c r="AC23" s="417">
        <v>1575</v>
      </c>
      <c r="AD23" s="1015">
        <f t="shared" si="9"/>
        <v>2175</v>
      </c>
      <c r="AE23" s="417">
        <v>3307</v>
      </c>
      <c r="AF23" s="417"/>
      <c r="AG23" s="895">
        <f t="shared" si="27"/>
        <v>3307</v>
      </c>
    </row>
    <row r="24" spans="1:33" ht="12.75" customHeight="1" x14ac:dyDescent="0.2">
      <c r="A24" s="476" t="s">
        <v>65</v>
      </c>
      <c r="B24" s="1171" t="s">
        <v>64</v>
      </c>
      <c r="C24" s="1145"/>
      <c r="D24" s="939">
        <f t="shared" si="22"/>
        <v>11652</v>
      </c>
      <c r="E24" s="931">
        <f t="shared" si="23"/>
        <v>-8973</v>
      </c>
      <c r="F24" s="932">
        <f t="shared" si="24"/>
        <v>2679</v>
      </c>
      <c r="G24" s="29">
        <v>1589</v>
      </c>
      <c r="H24" s="27">
        <v>546</v>
      </c>
      <c r="I24" s="53">
        <f t="shared" si="3"/>
        <v>2135</v>
      </c>
      <c r="J24" s="417">
        <v>63</v>
      </c>
      <c r="K24" s="417"/>
      <c r="L24" s="699">
        <f t="shared" si="4"/>
        <v>63</v>
      </c>
      <c r="M24" s="417"/>
      <c r="N24" s="417"/>
      <c r="O24" s="699">
        <f t="shared" si="5"/>
        <v>0</v>
      </c>
      <c r="P24" s="417"/>
      <c r="Q24" s="417"/>
      <c r="R24" s="699">
        <f t="shared" si="18"/>
        <v>0</v>
      </c>
      <c r="S24" s="417"/>
      <c r="T24" s="417"/>
      <c r="U24" s="699">
        <f t="shared" si="36"/>
        <v>0</v>
      </c>
      <c r="V24" s="417"/>
      <c r="W24" s="417"/>
      <c r="X24" s="699">
        <f t="shared" si="37"/>
        <v>0</v>
      </c>
      <c r="Y24" s="417"/>
      <c r="Z24" s="417">
        <v>391</v>
      </c>
      <c r="AA24" s="699">
        <f t="shared" si="8"/>
        <v>391</v>
      </c>
      <c r="AB24" s="417">
        <v>10000</v>
      </c>
      <c r="AC24" s="417">
        <v>-9910</v>
      </c>
      <c r="AD24" s="1015">
        <f t="shared" si="9"/>
        <v>90</v>
      </c>
      <c r="AE24" s="417"/>
      <c r="AF24" s="417"/>
      <c r="AG24" s="895">
        <f t="shared" si="27"/>
        <v>0</v>
      </c>
    </row>
    <row r="25" spans="1:33" s="42" customFormat="1" ht="12.75" customHeight="1" x14ac:dyDescent="0.2">
      <c r="A25" s="473" t="s">
        <v>66</v>
      </c>
      <c r="B25" s="1170" t="s">
        <v>156</v>
      </c>
      <c r="C25" s="1143"/>
      <c r="D25" s="939">
        <f t="shared" si="22"/>
        <v>15639</v>
      </c>
      <c r="E25" s="931">
        <f t="shared" si="23"/>
        <v>-7398</v>
      </c>
      <c r="F25" s="932">
        <f t="shared" si="24"/>
        <v>8241</v>
      </c>
      <c r="G25" s="535">
        <f>+G24+G23+G22+G21+G20+G19+G18</f>
        <v>1669</v>
      </c>
      <c r="H25" s="53">
        <f t="shared" ref="H25:Q25" si="38">+H24+H23+H22+H21+H20+H19+H18</f>
        <v>546</v>
      </c>
      <c r="I25" s="53">
        <f t="shared" si="3"/>
        <v>2215</v>
      </c>
      <c r="J25" s="699">
        <f t="shared" si="38"/>
        <v>63</v>
      </c>
      <c r="K25" s="699">
        <f t="shared" si="38"/>
        <v>0</v>
      </c>
      <c r="L25" s="699">
        <f t="shared" si="4"/>
        <v>63</v>
      </c>
      <c r="M25" s="699">
        <f t="shared" si="38"/>
        <v>0</v>
      </c>
      <c r="N25" s="699">
        <f t="shared" si="38"/>
        <v>0</v>
      </c>
      <c r="O25" s="699">
        <f t="shared" si="5"/>
        <v>0</v>
      </c>
      <c r="P25" s="699">
        <f t="shared" si="38"/>
        <v>0</v>
      </c>
      <c r="Q25" s="699">
        <f t="shared" si="38"/>
        <v>0</v>
      </c>
      <c r="R25" s="699">
        <f t="shared" si="18"/>
        <v>0</v>
      </c>
      <c r="S25" s="699">
        <f t="shared" ref="S25:U25" si="39">+S24+S23+S22+S21+S20+S19+S18</f>
        <v>0</v>
      </c>
      <c r="T25" s="699">
        <f t="shared" si="39"/>
        <v>0</v>
      </c>
      <c r="U25" s="699">
        <f t="shared" si="39"/>
        <v>0</v>
      </c>
      <c r="V25" s="699">
        <f t="shared" ref="V25:X25" si="40">+V24+V23+V22+V21+V20+V19+V18</f>
        <v>0</v>
      </c>
      <c r="W25" s="699">
        <f t="shared" si="40"/>
        <v>0</v>
      </c>
      <c r="X25" s="699">
        <f t="shared" si="40"/>
        <v>0</v>
      </c>
      <c r="Y25" s="699">
        <f t="shared" ref="Y25:AA25" si="41">+Y24+Y23+Y22+Y21+Y20+Y19+Y18</f>
        <v>0</v>
      </c>
      <c r="Z25" s="699">
        <f t="shared" si="41"/>
        <v>391</v>
      </c>
      <c r="AA25" s="699">
        <f t="shared" si="41"/>
        <v>391</v>
      </c>
      <c r="AB25" s="699">
        <f t="shared" ref="AB25:AC25" si="42">+AB24+AB23+AB22+AB21+AB20+AB19+AB18</f>
        <v>10600</v>
      </c>
      <c r="AC25" s="699">
        <f t="shared" si="42"/>
        <v>-8335</v>
      </c>
      <c r="AD25" s="1015">
        <f t="shared" si="9"/>
        <v>2265</v>
      </c>
      <c r="AE25" s="699">
        <f t="shared" ref="AE25:AF25" si="43">+AE24+AE23+AE22+AE21+AE20+AE19+AE18</f>
        <v>3307</v>
      </c>
      <c r="AF25" s="699">
        <f t="shared" si="43"/>
        <v>0</v>
      </c>
      <c r="AG25" s="895">
        <f t="shared" si="27"/>
        <v>3307</v>
      </c>
    </row>
    <row r="26" spans="1:33" ht="12.75" customHeight="1" x14ac:dyDescent="0.2">
      <c r="A26" s="476" t="s">
        <v>68</v>
      </c>
      <c r="B26" s="1171" t="s">
        <v>67</v>
      </c>
      <c r="C26" s="1145"/>
      <c r="D26" s="939">
        <f t="shared" si="22"/>
        <v>0</v>
      </c>
      <c r="E26" s="931">
        <f t="shared" si="23"/>
        <v>0</v>
      </c>
      <c r="F26" s="932">
        <f t="shared" si="24"/>
        <v>0</v>
      </c>
      <c r="G26" s="29"/>
      <c r="H26" s="27"/>
      <c r="I26" s="53">
        <f t="shared" si="3"/>
        <v>0</v>
      </c>
      <c r="J26" s="417"/>
      <c r="K26" s="417"/>
      <c r="L26" s="699">
        <f t="shared" si="4"/>
        <v>0</v>
      </c>
      <c r="M26" s="417"/>
      <c r="N26" s="417"/>
      <c r="O26" s="699">
        <f t="shared" si="5"/>
        <v>0</v>
      </c>
      <c r="P26" s="417"/>
      <c r="Q26" s="417"/>
      <c r="R26" s="699">
        <f t="shared" si="18"/>
        <v>0</v>
      </c>
      <c r="S26" s="417"/>
      <c r="T26" s="417"/>
      <c r="U26" s="699">
        <f t="shared" ref="U26:U27" si="44">+T26+S26</f>
        <v>0</v>
      </c>
      <c r="V26" s="417"/>
      <c r="W26" s="417"/>
      <c r="X26" s="699">
        <f t="shared" ref="X26:X27" si="45">+W26+V26</f>
        <v>0</v>
      </c>
      <c r="Y26" s="417"/>
      <c r="Z26" s="417"/>
      <c r="AA26" s="699">
        <f t="shared" si="8"/>
        <v>0</v>
      </c>
      <c r="AB26" s="417"/>
      <c r="AC26" s="417"/>
      <c r="AD26" s="1015">
        <f t="shared" si="9"/>
        <v>0</v>
      </c>
      <c r="AE26" s="417"/>
      <c r="AF26" s="417"/>
      <c r="AG26" s="895">
        <f t="shared" si="27"/>
        <v>0</v>
      </c>
    </row>
    <row r="27" spans="1:33" ht="12.75" customHeight="1" x14ac:dyDescent="0.2">
      <c r="A27" s="476" t="s">
        <v>70</v>
      </c>
      <c r="B27" s="1171" t="s">
        <v>69</v>
      </c>
      <c r="C27" s="1145"/>
      <c r="D27" s="939">
        <f t="shared" si="22"/>
        <v>1000</v>
      </c>
      <c r="E27" s="931">
        <f t="shared" si="23"/>
        <v>0</v>
      </c>
      <c r="F27" s="932">
        <f t="shared" si="24"/>
        <v>1000</v>
      </c>
      <c r="G27" s="29">
        <v>250</v>
      </c>
      <c r="H27" s="27"/>
      <c r="I27" s="53">
        <f t="shared" si="3"/>
        <v>250</v>
      </c>
      <c r="J27" s="417">
        <v>250</v>
      </c>
      <c r="K27" s="417"/>
      <c r="L27" s="699">
        <f t="shared" si="4"/>
        <v>250</v>
      </c>
      <c r="M27" s="417">
        <v>250</v>
      </c>
      <c r="N27" s="417"/>
      <c r="O27" s="699">
        <f t="shared" si="5"/>
        <v>250</v>
      </c>
      <c r="P27" s="417">
        <v>250</v>
      </c>
      <c r="Q27" s="417"/>
      <c r="R27" s="699">
        <f t="shared" si="18"/>
        <v>250</v>
      </c>
      <c r="S27" s="417"/>
      <c r="T27" s="417"/>
      <c r="U27" s="699">
        <f t="shared" si="44"/>
        <v>0</v>
      </c>
      <c r="V27" s="417"/>
      <c r="W27" s="417"/>
      <c r="X27" s="699">
        <f t="shared" si="45"/>
        <v>0</v>
      </c>
      <c r="Y27" s="417"/>
      <c r="Z27" s="417"/>
      <c r="AA27" s="699">
        <f t="shared" si="8"/>
        <v>0</v>
      </c>
      <c r="AB27" s="417"/>
      <c r="AC27" s="417"/>
      <c r="AD27" s="1015">
        <f t="shared" si="9"/>
        <v>0</v>
      </c>
      <c r="AE27" s="417"/>
      <c r="AF27" s="417"/>
      <c r="AG27" s="895">
        <f t="shared" si="27"/>
        <v>0</v>
      </c>
    </row>
    <row r="28" spans="1:33" s="42" customFormat="1" ht="12.75" customHeight="1" x14ac:dyDescent="0.2">
      <c r="A28" s="473" t="s">
        <v>71</v>
      </c>
      <c r="B28" s="1170" t="s">
        <v>155</v>
      </c>
      <c r="C28" s="1143"/>
      <c r="D28" s="939">
        <f t="shared" si="22"/>
        <v>1000</v>
      </c>
      <c r="E28" s="931">
        <f t="shared" si="23"/>
        <v>0</v>
      </c>
      <c r="F28" s="932">
        <f t="shared" si="24"/>
        <v>1000</v>
      </c>
      <c r="G28" s="535">
        <f>SUM(G26:G27)</f>
        <v>250</v>
      </c>
      <c r="H28" s="53">
        <f t="shared" ref="H28:N28" si="46">SUM(H26:H27)</f>
        <v>0</v>
      </c>
      <c r="I28" s="53">
        <f t="shared" si="3"/>
        <v>250</v>
      </c>
      <c r="J28" s="699">
        <f t="shared" si="46"/>
        <v>250</v>
      </c>
      <c r="K28" s="699">
        <f t="shared" si="46"/>
        <v>0</v>
      </c>
      <c r="L28" s="699">
        <f t="shared" si="4"/>
        <v>250</v>
      </c>
      <c r="M28" s="699">
        <f t="shared" si="46"/>
        <v>250</v>
      </c>
      <c r="N28" s="699">
        <f t="shared" si="46"/>
        <v>0</v>
      </c>
      <c r="O28" s="699">
        <f t="shared" si="5"/>
        <v>250</v>
      </c>
      <c r="P28" s="699">
        <f t="shared" ref="P28:AC28" si="47">SUM(P26:P27)</f>
        <v>250</v>
      </c>
      <c r="Q28" s="699">
        <f t="shared" si="47"/>
        <v>0</v>
      </c>
      <c r="R28" s="699">
        <f t="shared" si="18"/>
        <v>250</v>
      </c>
      <c r="S28" s="699">
        <f t="shared" ref="S28:U28" si="48">SUM(S26:S27)</f>
        <v>0</v>
      </c>
      <c r="T28" s="699">
        <f t="shared" si="48"/>
        <v>0</v>
      </c>
      <c r="U28" s="699">
        <f t="shared" si="48"/>
        <v>0</v>
      </c>
      <c r="V28" s="699">
        <f t="shared" ref="V28:X28" si="49">SUM(V26:V27)</f>
        <v>0</v>
      </c>
      <c r="W28" s="699">
        <f t="shared" si="49"/>
        <v>0</v>
      </c>
      <c r="X28" s="699">
        <f t="shared" si="49"/>
        <v>0</v>
      </c>
      <c r="Y28" s="699">
        <f t="shared" si="47"/>
        <v>0</v>
      </c>
      <c r="Z28" s="699">
        <f t="shared" si="47"/>
        <v>0</v>
      </c>
      <c r="AA28" s="699">
        <f t="shared" si="47"/>
        <v>0</v>
      </c>
      <c r="AB28" s="699">
        <f t="shared" si="47"/>
        <v>0</v>
      </c>
      <c r="AC28" s="699">
        <f t="shared" si="47"/>
        <v>0</v>
      </c>
      <c r="AD28" s="1015">
        <f t="shared" si="9"/>
        <v>0</v>
      </c>
      <c r="AE28" s="699">
        <f t="shared" ref="AE28:AF28" si="50">SUM(AE26:AE27)</f>
        <v>0</v>
      </c>
      <c r="AF28" s="699">
        <f t="shared" si="50"/>
        <v>0</v>
      </c>
      <c r="AG28" s="895">
        <f t="shared" si="27"/>
        <v>0</v>
      </c>
    </row>
    <row r="29" spans="1:33" ht="12.75" customHeight="1" x14ac:dyDescent="0.2">
      <c r="A29" s="476" t="s">
        <v>73</v>
      </c>
      <c r="B29" s="1171" t="s">
        <v>72</v>
      </c>
      <c r="C29" s="1145"/>
      <c r="D29" s="939">
        <f t="shared" si="22"/>
        <v>1515</v>
      </c>
      <c r="E29" s="931">
        <f t="shared" si="23"/>
        <v>1387</v>
      </c>
      <c r="F29" s="932">
        <f t="shared" si="24"/>
        <v>2902</v>
      </c>
      <c r="G29" s="29">
        <v>389</v>
      </c>
      <c r="H29" s="27">
        <v>164</v>
      </c>
      <c r="I29" s="53">
        <f t="shared" si="3"/>
        <v>553</v>
      </c>
      <c r="J29" s="417">
        <v>71</v>
      </c>
      <c r="K29" s="417"/>
      <c r="L29" s="699">
        <f t="shared" si="4"/>
        <v>71</v>
      </c>
      <c r="M29" s="417"/>
      <c r="N29" s="417"/>
      <c r="O29" s="699">
        <f t="shared" si="5"/>
        <v>0</v>
      </c>
      <c r="P29" s="417"/>
      <c r="Q29" s="417"/>
      <c r="R29" s="699">
        <f t="shared" si="18"/>
        <v>0</v>
      </c>
      <c r="S29" s="417"/>
      <c r="T29" s="417"/>
      <c r="U29" s="699">
        <f t="shared" ref="U29:U33" si="51">+T29+S29</f>
        <v>0</v>
      </c>
      <c r="V29" s="417"/>
      <c r="W29" s="417"/>
      <c r="X29" s="699">
        <f t="shared" ref="X29:X33" si="52">+W29+V29</f>
        <v>0</v>
      </c>
      <c r="Y29" s="417"/>
      <c r="Z29" s="417">
        <v>105</v>
      </c>
      <c r="AA29" s="699">
        <f t="shared" si="8"/>
        <v>105</v>
      </c>
      <c r="AB29" s="417">
        <v>162</v>
      </c>
      <c r="AC29" s="417">
        <v>1118</v>
      </c>
      <c r="AD29" s="1015">
        <f t="shared" si="9"/>
        <v>1280</v>
      </c>
      <c r="AE29" s="417">
        <v>893</v>
      </c>
      <c r="AF29" s="417"/>
      <c r="AG29" s="895">
        <f t="shared" si="27"/>
        <v>893</v>
      </c>
    </row>
    <row r="30" spans="1:33" ht="12.75" customHeight="1" x14ac:dyDescent="0.2">
      <c r="A30" s="476" t="s">
        <v>75</v>
      </c>
      <c r="B30" s="1171" t="s">
        <v>74</v>
      </c>
      <c r="C30" s="1145"/>
      <c r="D30" s="939">
        <f t="shared" si="22"/>
        <v>74753</v>
      </c>
      <c r="E30" s="931">
        <f t="shared" si="23"/>
        <v>44166</v>
      </c>
      <c r="F30" s="932">
        <f t="shared" si="24"/>
        <v>118919</v>
      </c>
      <c r="G30" s="29"/>
      <c r="H30" s="27"/>
      <c r="I30" s="53">
        <f t="shared" si="3"/>
        <v>0</v>
      </c>
      <c r="J30" s="417">
        <v>40791</v>
      </c>
      <c r="K30" s="417">
        <v>3090</v>
      </c>
      <c r="L30" s="699">
        <f t="shared" si="4"/>
        <v>43881</v>
      </c>
      <c r="M30" s="417">
        <v>25937</v>
      </c>
      <c r="N30" s="417"/>
      <c r="O30" s="699">
        <f t="shared" si="5"/>
        <v>25937</v>
      </c>
      <c r="P30" s="417"/>
      <c r="Q30" s="417"/>
      <c r="R30" s="699">
        <f t="shared" si="18"/>
        <v>0</v>
      </c>
      <c r="S30" s="417"/>
      <c r="T30" s="417"/>
      <c r="U30" s="699">
        <f t="shared" si="51"/>
        <v>0</v>
      </c>
      <c r="V30" s="417"/>
      <c r="W30" s="417"/>
      <c r="X30" s="699">
        <f t="shared" si="52"/>
        <v>0</v>
      </c>
      <c r="Y30" s="417"/>
      <c r="Z30" s="417"/>
      <c r="AA30" s="699">
        <f t="shared" si="8"/>
        <v>0</v>
      </c>
      <c r="AB30" s="417">
        <v>8025</v>
      </c>
      <c r="AC30" s="417">
        <v>41076</v>
      </c>
      <c r="AD30" s="1015">
        <f t="shared" si="9"/>
        <v>49101</v>
      </c>
      <c r="AE30" s="417"/>
      <c r="AF30" s="417"/>
      <c r="AG30" s="895">
        <f t="shared" si="27"/>
        <v>0</v>
      </c>
    </row>
    <row r="31" spans="1:33" ht="12.75" customHeight="1" x14ac:dyDescent="0.2">
      <c r="A31" s="476" t="s">
        <v>76</v>
      </c>
      <c r="B31" s="1171" t="s">
        <v>154</v>
      </c>
      <c r="C31" s="1145"/>
      <c r="D31" s="939">
        <f t="shared" si="22"/>
        <v>0</v>
      </c>
      <c r="E31" s="931">
        <f t="shared" si="23"/>
        <v>0</v>
      </c>
      <c r="F31" s="932">
        <f t="shared" si="24"/>
        <v>0</v>
      </c>
      <c r="G31" s="29"/>
      <c r="H31" s="27"/>
      <c r="I31" s="53">
        <f t="shared" si="3"/>
        <v>0</v>
      </c>
      <c r="J31" s="417"/>
      <c r="K31" s="417"/>
      <c r="L31" s="699">
        <f t="shared" si="4"/>
        <v>0</v>
      </c>
      <c r="M31" s="417"/>
      <c r="N31" s="417"/>
      <c r="O31" s="699">
        <f t="shared" si="5"/>
        <v>0</v>
      </c>
      <c r="P31" s="417"/>
      <c r="Q31" s="417"/>
      <c r="R31" s="699">
        <f t="shared" si="18"/>
        <v>0</v>
      </c>
      <c r="S31" s="417"/>
      <c r="T31" s="417"/>
      <c r="U31" s="699">
        <f t="shared" si="51"/>
        <v>0</v>
      </c>
      <c r="V31" s="417"/>
      <c r="W31" s="417"/>
      <c r="X31" s="699">
        <f t="shared" si="52"/>
        <v>0</v>
      </c>
      <c r="Y31" s="417"/>
      <c r="Z31" s="417"/>
      <c r="AA31" s="699">
        <f t="shared" si="8"/>
        <v>0</v>
      </c>
      <c r="AB31" s="417"/>
      <c r="AC31" s="417"/>
      <c r="AD31" s="1015">
        <f t="shared" si="9"/>
        <v>0</v>
      </c>
      <c r="AE31" s="417"/>
      <c r="AF31" s="417"/>
      <c r="AG31" s="895">
        <f t="shared" si="27"/>
        <v>0</v>
      </c>
    </row>
    <row r="32" spans="1:33" ht="12.75" customHeight="1" x14ac:dyDescent="0.2">
      <c r="A32" s="476" t="s">
        <v>77</v>
      </c>
      <c r="B32" s="1171" t="s">
        <v>153</v>
      </c>
      <c r="C32" s="1145"/>
      <c r="D32" s="939">
        <f t="shared" si="22"/>
        <v>0</v>
      </c>
      <c r="E32" s="931">
        <f t="shared" si="23"/>
        <v>0</v>
      </c>
      <c r="F32" s="932">
        <f t="shared" si="24"/>
        <v>0</v>
      </c>
      <c r="G32" s="29"/>
      <c r="H32" s="27"/>
      <c r="I32" s="53">
        <f t="shared" si="3"/>
        <v>0</v>
      </c>
      <c r="J32" s="417"/>
      <c r="K32" s="417"/>
      <c r="L32" s="699">
        <f t="shared" si="4"/>
        <v>0</v>
      </c>
      <c r="M32" s="417"/>
      <c r="N32" s="417"/>
      <c r="O32" s="699">
        <f t="shared" si="5"/>
        <v>0</v>
      </c>
      <c r="P32" s="417"/>
      <c r="Q32" s="417"/>
      <c r="R32" s="699">
        <f t="shared" si="18"/>
        <v>0</v>
      </c>
      <c r="S32" s="417"/>
      <c r="T32" s="417"/>
      <c r="U32" s="699">
        <f t="shared" si="51"/>
        <v>0</v>
      </c>
      <c r="V32" s="417"/>
      <c r="W32" s="417"/>
      <c r="X32" s="699">
        <f t="shared" si="52"/>
        <v>0</v>
      </c>
      <c r="Y32" s="417"/>
      <c r="Z32" s="417"/>
      <c r="AA32" s="699">
        <f t="shared" si="8"/>
        <v>0</v>
      </c>
      <c r="AB32" s="417"/>
      <c r="AC32" s="417"/>
      <c r="AD32" s="1015">
        <f t="shared" si="9"/>
        <v>0</v>
      </c>
      <c r="AE32" s="417"/>
      <c r="AF32" s="417"/>
      <c r="AG32" s="895">
        <f t="shared" si="27"/>
        <v>0</v>
      </c>
    </row>
    <row r="33" spans="1:33" ht="12.75" customHeight="1" x14ac:dyDescent="0.2">
      <c r="A33" s="476" t="s">
        <v>79</v>
      </c>
      <c r="B33" s="1171" t="s">
        <v>78</v>
      </c>
      <c r="C33" s="1145"/>
      <c r="D33" s="939">
        <f t="shared" si="22"/>
        <v>3026</v>
      </c>
      <c r="E33" s="931">
        <f t="shared" si="23"/>
        <v>6436</v>
      </c>
      <c r="F33" s="932">
        <f t="shared" si="24"/>
        <v>9462</v>
      </c>
      <c r="G33" s="29">
        <v>200</v>
      </c>
      <c r="H33" s="27"/>
      <c r="I33" s="53">
        <f t="shared" si="3"/>
        <v>200</v>
      </c>
      <c r="J33" s="417">
        <v>308</v>
      </c>
      <c r="K33" s="417"/>
      <c r="L33" s="699">
        <f t="shared" si="4"/>
        <v>308</v>
      </c>
      <c r="M33" s="417">
        <v>1535</v>
      </c>
      <c r="N33" s="417"/>
      <c r="O33" s="699">
        <f t="shared" si="5"/>
        <v>1535</v>
      </c>
      <c r="P33" s="417"/>
      <c r="Q33" s="417"/>
      <c r="R33" s="699">
        <f t="shared" si="18"/>
        <v>0</v>
      </c>
      <c r="S33" s="417">
        <v>719</v>
      </c>
      <c r="T33" s="417">
        <v>282</v>
      </c>
      <c r="U33" s="699">
        <f t="shared" si="51"/>
        <v>1001</v>
      </c>
      <c r="V33" s="417">
        <v>0</v>
      </c>
      <c r="W33" s="417"/>
      <c r="X33" s="699">
        <f t="shared" si="52"/>
        <v>0</v>
      </c>
      <c r="Y33" s="417">
        <v>124</v>
      </c>
      <c r="Z33" s="417"/>
      <c r="AA33" s="699">
        <f t="shared" si="8"/>
        <v>124</v>
      </c>
      <c r="AB33" s="417">
        <v>140</v>
      </c>
      <c r="AC33" s="417">
        <v>6154</v>
      </c>
      <c r="AD33" s="1015">
        <f t="shared" si="9"/>
        <v>6294</v>
      </c>
      <c r="AE33" s="417"/>
      <c r="AF33" s="417"/>
      <c r="AG33" s="895">
        <f t="shared" si="27"/>
        <v>0</v>
      </c>
    </row>
    <row r="34" spans="1:33" s="42" customFormat="1" ht="12.75" customHeight="1" x14ac:dyDescent="0.2">
      <c r="A34" s="473" t="s">
        <v>80</v>
      </c>
      <c r="B34" s="1170" t="s">
        <v>152</v>
      </c>
      <c r="C34" s="1143"/>
      <c r="D34" s="939">
        <f t="shared" si="22"/>
        <v>79294</v>
      </c>
      <c r="E34" s="931">
        <f t="shared" si="23"/>
        <v>51989</v>
      </c>
      <c r="F34" s="932">
        <f t="shared" si="24"/>
        <v>131283</v>
      </c>
      <c r="G34" s="535">
        <f>SUM(G29:G33)</f>
        <v>589</v>
      </c>
      <c r="H34" s="53">
        <f t="shared" ref="H34:N34" si="53">SUM(H29:H33)</f>
        <v>164</v>
      </c>
      <c r="I34" s="53">
        <f t="shared" si="3"/>
        <v>753</v>
      </c>
      <c r="J34" s="699">
        <f t="shared" si="53"/>
        <v>41170</v>
      </c>
      <c r="K34" s="699">
        <f t="shared" si="53"/>
        <v>3090</v>
      </c>
      <c r="L34" s="699">
        <f t="shared" si="4"/>
        <v>44260</v>
      </c>
      <c r="M34" s="699">
        <f t="shared" si="53"/>
        <v>27472</v>
      </c>
      <c r="N34" s="699">
        <f t="shared" si="53"/>
        <v>0</v>
      </c>
      <c r="O34" s="699">
        <f t="shared" si="5"/>
        <v>27472</v>
      </c>
      <c r="P34" s="699">
        <f t="shared" ref="P34:AC34" si="54">SUM(P29:P33)</f>
        <v>0</v>
      </c>
      <c r="Q34" s="699">
        <f t="shared" si="54"/>
        <v>0</v>
      </c>
      <c r="R34" s="699">
        <f t="shared" si="18"/>
        <v>0</v>
      </c>
      <c r="S34" s="699">
        <f t="shared" ref="S34:U34" si="55">SUM(S29:S33)</f>
        <v>719</v>
      </c>
      <c r="T34" s="699">
        <f t="shared" si="55"/>
        <v>282</v>
      </c>
      <c r="U34" s="699">
        <f t="shared" si="55"/>
        <v>1001</v>
      </c>
      <c r="V34" s="699">
        <f t="shared" ref="V34:X34" si="56">SUM(V29:V33)</f>
        <v>0</v>
      </c>
      <c r="W34" s="699">
        <f t="shared" si="56"/>
        <v>0</v>
      </c>
      <c r="X34" s="699">
        <f t="shared" si="56"/>
        <v>0</v>
      </c>
      <c r="Y34" s="699">
        <f t="shared" si="54"/>
        <v>124</v>
      </c>
      <c r="Z34" s="699">
        <f t="shared" si="54"/>
        <v>105</v>
      </c>
      <c r="AA34" s="699">
        <f t="shared" si="54"/>
        <v>229</v>
      </c>
      <c r="AB34" s="699">
        <f t="shared" si="54"/>
        <v>8327</v>
      </c>
      <c r="AC34" s="699">
        <f t="shared" si="54"/>
        <v>48348</v>
      </c>
      <c r="AD34" s="1015">
        <f t="shared" si="9"/>
        <v>56675</v>
      </c>
      <c r="AE34" s="699">
        <f t="shared" ref="AE34:AF34" si="57">SUM(AE29:AE33)</f>
        <v>893</v>
      </c>
      <c r="AF34" s="699">
        <f t="shared" si="57"/>
        <v>0</v>
      </c>
      <c r="AG34" s="895">
        <f t="shared" si="27"/>
        <v>893</v>
      </c>
    </row>
    <row r="35" spans="1:33" s="42" customFormat="1" ht="12.75" customHeight="1" x14ac:dyDescent="0.2">
      <c r="A35" s="473" t="s">
        <v>81</v>
      </c>
      <c r="B35" s="1170" t="s">
        <v>151</v>
      </c>
      <c r="C35" s="1143"/>
      <c r="D35" s="939">
        <f t="shared" ref="D35" si="58">+G35+J35+M35+P35+AB35+Y35+AE35+S35+V35</f>
        <v>96206</v>
      </c>
      <c r="E35" s="931">
        <f t="shared" ref="E35" si="59">+H35+K35+N35+Q35+AC35+Z35+AF35+T35+W35</f>
        <v>44651</v>
      </c>
      <c r="F35" s="932">
        <f t="shared" ref="F35" si="60">+I35+L35+O35+R35+AD35+AA35+AG35+U35+X35</f>
        <v>140857</v>
      </c>
      <c r="G35" s="535">
        <f t="shared" ref="G35:Q35" si="61">+G34+G28+G25+G17+G14</f>
        <v>2781</v>
      </c>
      <c r="H35" s="53">
        <f t="shared" si="61"/>
        <v>770</v>
      </c>
      <c r="I35" s="53">
        <f t="shared" si="3"/>
        <v>3551</v>
      </c>
      <c r="J35" s="699">
        <f t="shared" si="61"/>
        <v>41483</v>
      </c>
      <c r="K35" s="699">
        <f t="shared" si="61"/>
        <v>3090</v>
      </c>
      <c r="L35" s="699">
        <f t="shared" si="4"/>
        <v>44573</v>
      </c>
      <c r="M35" s="699">
        <f t="shared" si="61"/>
        <v>27722</v>
      </c>
      <c r="N35" s="699">
        <f t="shared" si="61"/>
        <v>0</v>
      </c>
      <c r="O35" s="699">
        <f t="shared" si="5"/>
        <v>27722</v>
      </c>
      <c r="P35" s="699">
        <f t="shared" si="61"/>
        <v>250</v>
      </c>
      <c r="Q35" s="699">
        <f t="shared" si="61"/>
        <v>0</v>
      </c>
      <c r="R35" s="699">
        <f t="shared" si="18"/>
        <v>250</v>
      </c>
      <c r="S35" s="699">
        <f t="shared" ref="S35:U35" si="62">+S34+S28+S25+S17+S14</f>
        <v>719</v>
      </c>
      <c r="T35" s="699">
        <f t="shared" si="62"/>
        <v>282</v>
      </c>
      <c r="U35" s="699">
        <f t="shared" si="62"/>
        <v>1001</v>
      </c>
      <c r="V35" s="699">
        <f t="shared" ref="V35:X35" si="63">+V34+V28+V25+V17+V14</f>
        <v>0</v>
      </c>
      <c r="W35" s="699">
        <f t="shared" si="63"/>
        <v>0</v>
      </c>
      <c r="X35" s="699">
        <f t="shared" si="63"/>
        <v>0</v>
      </c>
      <c r="Y35" s="699">
        <f t="shared" ref="Y35:AA35" si="64">+Y34+Y28+Y25+Y17+Y14</f>
        <v>124</v>
      </c>
      <c r="Z35" s="699">
        <f t="shared" si="64"/>
        <v>496</v>
      </c>
      <c r="AA35" s="699">
        <f t="shared" si="64"/>
        <v>620</v>
      </c>
      <c r="AB35" s="699">
        <f t="shared" ref="AB35:AC35" si="65">+AB34+AB28+AB25+AB17+AB14</f>
        <v>18927</v>
      </c>
      <c r="AC35" s="699">
        <f t="shared" si="65"/>
        <v>40013</v>
      </c>
      <c r="AD35" s="1015">
        <f t="shared" si="9"/>
        <v>58940</v>
      </c>
      <c r="AE35" s="699">
        <f t="shared" ref="AE35:AF35" si="66">+AE34+AE28+AE25+AE17+AE14</f>
        <v>4200</v>
      </c>
      <c r="AF35" s="699">
        <f t="shared" si="66"/>
        <v>0</v>
      </c>
      <c r="AG35" s="895">
        <f t="shared" si="27"/>
        <v>4200</v>
      </c>
    </row>
    <row r="36" spans="1:33" ht="11.25" customHeight="1" x14ac:dyDescent="0.2">
      <c r="A36" s="475"/>
      <c r="B36" s="688"/>
      <c r="C36" s="296"/>
      <c r="D36" s="940"/>
      <c r="E36" s="933"/>
      <c r="F36" s="934"/>
      <c r="G36" s="56"/>
      <c r="H36" s="56"/>
      <c r="I36" s="192"/>
      <c r="J36" s="575"/>
      <c r="K36" s="575"/>
      <c r="L36" s="837"/>
      <c r="M36" s="575"/>
      <c r="N36" s="575"/>
      <c r="O36" s="837"/>
      <c r="P36" s="575"/>
      <c r="Q36" s="575"/>
      <c r="R36" s="837"/>
      <c r="S36" s="575"/>
      <c r="T36" s="575"/>
      <c r="U36" s="837"/>
      <c r="V36" s="575"/>
      <c r="W36" s="575"/>
      <c r="X36" s="837"/>
      <c r="Y36" s="575"/>
      <c r="Z36" s="575"/>
      <c r="AA36" s="837"/>
      <c r="AB36" s="575"/>
      <c r="AC36" s="575"/>
      <c r="AD36" s="837"/>
      <c r="AE36" s="1017"/>
      <c r="AF36" s="575"/>
      <c r="AG36" s="896"/>
    </row>
    <row r="37" spans="1:33" ht="12" customHeight="1" x14ac:dyDescent="0.2">
      <c r="A37" s="475"/>
      <c r="B37" s="1192"/>
      <c r="C37" s="1193"/>
      <c r="D37" s="940"/>
      <c r="E37" s="933"/>
      <c r="F37" s="934"/>
      <c r="G37" s="56"/>
      <c r="H37" s="56"/>
      <c r="I37" s="192"/>
      <c r="J37" s="575"/>
      <c r="K37" s="575"/>
      <c r="L37" s="837"/>
      <c r="M37" s="575"/>
      <c r="N37" s="575"/>
      <c r="O37" s="837"/>
      <c r="P37" s="575"/>
      <c r="Q37" s="575"/>
      <c r="R37" s="837"/>
      <c r="S37" s="575"/>
      <c r="T37" s="575"/>
      <c r="U37" s="837"/>
      <c r="V37" s="575"/>
      <c r="W37" s="575"/>
      <c r="X37" s="837"/>
      <c r="Y37" s="575"/>
      <c r="Z37" s="575"/>
      <c r="AA37" s="837"/>
      <c r="AB37" s="575"/>
      <c r="AC37" s="575"/>
      <c r="AD37" s="837"/>
      <c r="AE37" s="1017"/>
      <c r="AF37" s="575"/>
      <c r="AG37" s="896"/>
    </row>
    <row r="38" spans="1:33" ht="12.75" hidden="1" customHeight="1" x14ac:dyDescent="0.2">
      <c r="A38" s="92" t="s">
        <v>96</v>
      </c>
      <c r="B38" s="1194" t="s">
        <v>95</v>
      </c>
      <c r="C38" s="1152"/>
      <c r="D38" s="940">
        <f t="shared" ref="D38:D63" si="67">+G38+J38+M38+P38+AB38+Y38</f>
        <v>0</v>
      </c>
      <c r="E38" s="933">
        <f t="shared" ref="E38:E63" si="68">+H38+K38+N38+Q38+AC38+Z38</f>
        <v>0</v>
      </c>
      <c r="F38" s="934">
        <f t="shared" ref="F38:F63" si="69">+I38+L38+O38+R38+AD38+AA38</f>
        <v>0</v>
      </c>
      <c r="G38" s="56"/>
      <c r="H38" s="56"/>
      <c r="I38" s="192">
        <f t="shared" si="3"/>
        <v>0</v>
      </c>
      <c r="J38" s="575"/>
      <c r="K38" s="575"/>
      <c r="L38" s="837">
        <f t="shared" si="4"/>
        <v>0</v>
      </c>
      <c r="M38" s="575"/>
      <c r="N38" s="575"/>
      <c r="O38" s="837">
        <f t="shared" si="5"/>
        <v>0</v>
      </c>
      <c r="P38" s="575"/>
      <c r="Q38" s="575"/>
      <c r="R38" s="837">
        <f t="shared" si="18"/>
        <v>0</v>
      </c>
      <c r="S38" s="575"/>
      <c r="T38" s="575"/>
      <c r="U38" s="837">
        <f t="shared" ref="U38:U44" si="70">+T38+S38</f>
        <v>0</v>
      </c>
      <c r="V38" s="575"/>
      <c r="W38" s="575"/>
      <c r="X38" s="837">
        <f t="shared" ref="X38:X44" si="71">+W38+V38</f>
        <v>0</v>
      </c>
      <c r="Y38" s="575"/>
      <c r="Z38" s="575"/>
      <c r="AA38" s="837">
        <f t="shared" si="8"/>
        <v>0</v>
      </c>
      <c r="AB38" s="575"/>
      <c r="AC38" s="575"/>
      <c r="AD38" s="837">
        <f t="shared" si="9"/>
        <v>0</v>
      </c>
      <c r="AE38" s="1017"/>
      <c r="AF38" s="575"/>
      <c r="AG38" s="896">
        <f t="shared" ref="AG38:AG44" si="72">+AE38+AF38</f>
        <v>0</v>
      </c>
    </row>
    <row r="39" spans="1:33" ht="12.75" hidden="1" customHeight="1" x14ac:dyDescent="0.2">
      <c r="A39" s="92" t="s">
        <v>98</v>
      </c>
      <c r="B39" s="1194" t="s">
        <v>97</v>
      </c>
      <c r="C39" s="1152"/>
      <c r="D39" s="940">
        <f t="shared" si="67"/>
        <v>0</v>
      </c>
      <c r="E39" s="933">
        <f t="shared" si="68"/>
        <v>0</v>
      </c>
      <c r="F39" s="934">
        <f t="shared" si="69"/>
        <v>0</v>
      </c>
      <c r="G39" s="56"/>
      <c r="H39" s="56"/>
      <c r="I39" s="192">
        <f t="shared" si="3"/>
        <v>0</v>
      </c>
      <c r="J39" s="575"/>
      <c r="K39" s="575"/>
      <c r="L39" s="837">
        <f t="shared" si="4"/>
        <v>0</v>
      </c>
      <c r="M39" s="575"/>
      <c r="N39" s="575"/>
      <c r="O39" s="837">
        <f t="shared" si="5"/>
        <v>0</v>
      </c>
      <c r="P39" s="575"/>
      <c r="Q39" s="575"/>
      <c r="R39" s="837">
        <f t="shared" si="18"/>
        <v>0</v>
      </c>
      <c r="S39" s="575"/>
      <c r="T39" s="575"/>
      <c r="U39" s="837">
        <f t="shared" si="70"/>
        <v>0</v>
      </c>
      <c r="V39" s="575"/>
      <c r="W39" s="575"/>
      <c r="X39" s="837">
        <f t="shared" si="71"/>
        <v>0</v>
      </c>
      <c r="Y39" s="575"/>
      <c r="Z39" s="575"/>
      <c r="AA39" s="837">
        <f t="shared" si="8"/>
        <v>0</v>
      </c>
      <c r="AB39" s="575"/>
      <c r="AC39" s="575"/>
      <c r="AD39" s="837">
        <f t="shared" si="9"/>
        <v>0</v>
      </c>
      <c r="AE39" s="1017"/>
      <c r="AF39" s="575"/>
      <c r="AG39" s="896">
        <f t="shared" si="72"/>
        <v>0</v>
      </c>
    </row>
    <row r="40" spans="1:33" ht="23.25" hidden="1" customHeight="1" x14ac:dyDescent="0.2">
      <c r="A40" s="92" t="s">
        <v>101</v>
      </c>
      <c r="B40" s="1194" t="s">
        <v>165</v>
      </c>
      <c r="C40" s="1152"/>
      <c r="D40" s="940">
        <f t="shared" si="67"/>
        <v>0</v>
      </c>
      <c r="E40" s="933">
        <f t="shared" si="68"/>
        <v>0</v>
      </c>
      <c r="F40" s="934">
        <f t="shared" si="69"/>
        <v>0</v>
      </c>
      <c r="G40" s="56"/>
      <c r="H40" s="56"/>
      <c r="I40" s="192">
        <f t="shared" si="3"/>
        <v>0</v>
      </c>
      <c r="J40" s="575"/>
      <c r="K40" s="575"/>
      <c r="L40" s="837">
        <f t="shared" si="4"/>
        <v>0</v>
      </c>
      <c r="M40" s="575"/>
      <c r="N40" s="575"/>
      <c r="O40" s="837">
        <f t="shared" si="5"/>
        <v>0</v>
      </c>
      <c r="P40" s="575"/>
      <c r="Q40" s="575"/>
      <c r="R40" s="837">
        <f t="shared" si="18"/>
        <v>0</v>
      </c>
      <c r="S40" s="575"/>
      <c r="T40" s="575"/>
      <c r="U40" s="837">
        <f t="shared" si="70"/>
        <v>0</v>
      </c>
      <c r="V40" s="575"/>
      <c r="W40" s="575"/>
      <c r="X40" s="837">
        <f t="shared" si="71"/>
        <v>0</v>
      </c>
      <c r="Y40" s="575"/>
      <c r="Z40" s="575"/>
      <c r="AA40" s="837">
        <f t="shared" si="8"/>
        <v>0</v>
      </c>
      <c r="AB40" s="575"/>
      <c r="AC40" s="575"/>
      <c r="AD40" s="837">
        <f t="shared" si="9"/>
        <v>0</v>
      </c>
      <c r="AE40" s="1017"/>
      <c r="AF40" s="575"/>
      <c r="AG40" s="896">
        <f t="shared" si="72"/>
        <v>0</v>
      </c>
    </row>
    <row r="41" spans="1:33" ht="25.5" hidden="1" customHeight="1" x14ac:dyDescent="0.2">
      <c r="A41" s="92" t="s">
        <v>103</v>
      </c>
      <c r="B41" s="1194" t="s">
        <v>102</v>
      </c>
      <c r="C41" s="1152"/>
      <c r="D41" s="940">
        <f t="shared" si="67"/>
        <v>0</v>
      </c>
      <c r="E41" s="933">
        <f t="shared" si="68"/>
        <v>0</v>
      </c>
      <c r="F41" s="934">
        <f t="shared" si="69"/>
        <v>0</v>
      </c>
      <c r="G41" s="56"/>
      <c r="H41" s="56"/>
      <c r="I41" s="192">
        <f t="shared" si="3"/>
        <v>0</v>
      </c>
      <c r="J41" s="575"/>
      <c r="K41" s="575"/>
      <c r="L41" s="837">
        <f t="shared" si="4"/>
        <v>0</v>
      </c>
      <c r="M41" s="575"/>
      <c r="N41" s="575"/>
      <c r="O41" s="837">
        <f t="shared" si="5"/>
        <v>0</v>
      </c>
      <c r="P41" s="575"/>
      <c r="Q41" s="575"/>
      <c r="R41" s="837">
        <f t="shared" si="18"/>
        <v>0</v>
      </c>
      <c r="S41" s="575"/>
      <c r="T41" s="575"/>
      <c r="U41" s="837">
        <f t="shared" si="70"/>
        <v>0</v>
      </c>
      <c r="V41" s="575"/>
      <c r="W41" s="575"/>
      <c r="X41" s="837">
        <f t="shared" si="71"/>
        <v>0</v>
      </c>
      <c r="Y41" s="575"/>
      <c r="Z41" s="575"/>
      <c r="AA41" s="837">
        <f t="shared" si="8"/>
        <v>0</v>
      </c>
      <c r="AB41" s="575"/>
      <c r="AC41" s="575"/>
      <c r="AD41" s="837">
        <f t="shared" si="9"/>
        <v>0</v>
      </c>
      <c r="AE41" s="1017"/>
      <c r="AF41" s="575"/>
      <c r="AG41" s="896">
        <f t="shared" si="72"/>
        <v>0</v>
      </c>
    </row>
    <row r="42" spans="1:33" ht="27" hidden="1" customHeight="1" x14ac:dyDescent="0.2">
      <c r="A42" s="92" t="s">
        <v>107</v>
      </c>
      <c r="B42" s="1194" t="s">
        <v>164</v>
      </c>
      <c r="C42" s="1152"/>
      <c r="D42" s="940">
        <f t="shared" si="67"/>
        <v>0</v>
      </c>
      <c r="E42" s="933">
        <f t="shared" si="68"/>
        <v>0</v>
      </c>
      <c r="F42" s="934">
        <f t="shared" si="69"/>
        <v>0</v>
      </c>
      <c r="G42" s="56"/>
      <c r="H42" s="56"/>
      <c r="I42" s="192">
        <f t="shared" si="3"/>
        <v>0</v>
      </c>
      <c r="J42" s="575"/>
      <c r="K42" s="575"/>
      <c r="L42" s="837">
        <f t="shared" si="4"/>
        <v>0</v>
      </c>
      <c r="M42" s="575"/>
      <c r="N42" s="575"/>
      <c r="O42" s="837">
        <f t="shared" si="5"/>
        <v>0</v>
      </c>
      <c r="P42" s="575"/>
      <c r="Q42" s="575"/>
      <c r="R42" s="837">
        <f t="shared" si="18"/>
        <v>0</v>
      </c>
      <c r="S42" s="575"/>
      <c r="T42" s="575"/>
      <c r="U42" s="837">
        <f t="shared" si="70"/>
        <v>0</v>
      </c>
      <c r="V42" s="575"/>
      <c r="W42" s="575"/>
      <c r="X42" s="837">
        <f t="shared" si="71"/>
        <v>0</v>
      </c>
      <c r="Y42" s="575"/>
      <c r="Z42" s="575"/>
      <c r="AA42" s="837">
        <f t="shared" si="8"/>
        <v>0</v>
      </c>
      <c r="AB42" s="575"/>
      <c r="AC42" s="575"/>
      <c r="AD42" s="837">
        <f t="shared" si="9"/>
        <v>0</v>
      </c>
      <c r="AE42" s="1017"/>
      <c r="AF42" s="575"/>
      <c r="AG42" s="896">
        <f t="shared" si="72"/>
        <v>0</v>
      </c>
    </row>
    <row r="43" spans="1:33" ht="12.75" hidden="1" customHeight="1" x14ac:dyDescent="0.2">
      <c r="A43" s="92" t="s">
        <v>620</v>
      </c>
      <c r="B43" s="1190" t="s">
        <v>106</v>
      </c>
      <c r="C43" s="1191"/>
      <c r="D43" s="940">
        <f t="shared" si="67"/>
        <v>0</v>
      </c>
      <c r="E43" s="933">
        <f t="shared" si="68"/>
        <v>0</v>
      </c>
      <c r="F43" s="934">
        <f t="shared" si="69"/>
        <v>0</v>
      </c>
      <c r="G43" s="56"/>
      <c r="H43" s="56"/>
      <c r="I43" s="192">
        <f t="shared" si="3"/>
        <v>0</v>
      </c>
      <c r="J43" s="575"/>
      <c r="K43" s="575"/>
      <c r="L43" s="837">
        <f t="shared" si="4"/>
        <v>0</v>
      </c>
      <c r="M43" s="575"/>
      <c r="N43" s="575"/>
      <c r="O43" s="837">
        <f t="shared" si="5"/>
        <v>0</v>
      </c>
      <c r="P43" s="575"/>
      <c r="Q43" s="575"/>
      <c r="R43" s="837">
        <f t="shared" si="18"/>
        <v>0</v>
      </c>
      <c r="S43" s="575"/>
      <c r="T43" s="575"/>
      <c r="U43" s="837">
        <f t="shared" si="70"/>
        <v>0</v>
      </c>
      <c r="V43" s="575"/>
      <c r="W43" s="575"/>
      <c r="X43" s="837">
        <f t="shared" si="71"/>
        <v>0</v>
      </c>
      <c r="Y43" s="575"/>
      <c r="Z43" s="575"/>
      <c r="AA43" s="837">
        <f t="shared" si="8"/>
        <v>0</v>
      </c>
      <c r="AB43" s="575"/>
      <c r="AC43" s="575"/>
      <c r="AD43" s="837">
        <f t="shared" si="9"/>
        <v>0</v>
      </c>
      <c r="AE43" s="1017"/>
      <c r="AF43" s="575"/>
      <c r="AG43" s="896">
        <f t="shared" si="72"/>
        <v>0</v>
      </c>
    </row>
    <row r="44" spans="1:33" s="42" customFormat="1" ht="12.75" customHeight="1" x14ac:dyDescent="0.2">
      <c r="A44" s="473" t="s">
        <v>108</v>
      </c>
      <c r="B44" s="1170" t="s">
        <v>163</v>
      </c>
      <c r="C44" s="1143"/>
      <c r="D44" s="939">
        <f t="shared" ref="D44" si="73">+G44+J44+M44+P44+AB44+Y44+AE44+S44+V44</f>
        <v>0</v>
      </c>
      <c r="E44" s="931">
        <f t="shared" ref="E44" si="74">+H44+K44+N44+Q44+AC44+Z44+AF44+T44+W44</f>
        <v>0</v>
      </c>
      <c r="F44" s="932">
        <f t="shared" ref="F44" si="75">+I44+L44+O44+R44+AD44+AA44+AG44+U44+X44</f>
        <v>0</v>
      </c>
      <c r="G44" s="535"/>
      <c r="H44" s="53"/>
      <c r="I44" s="53">
        <f t="shared" si="3"/>
        <v>0</v>
      </c>
      <c r="J44" s="699"/>
      <c r="K44" s="699"/>
      <c r="L44" s="699">
        <f t="shared" si="4"/>
        <v>0</v>
      </c>
      <c r="M44" s="699"/>
      <c r="N44" s="699"/>
      <c r="O44" s="699">
        <f t="shared" si="5"/>
        <v>0</v>
      </c>
      <c r="P44" s="699"/>
      <c r="Q44" s="699"/>
      <c r="R44" s="699">
        <f t="shared" si="18"/>
        <v>0</v>
      </c>
      <c r="S44" s="699"/>
      <c r="T44" s="699"/>
      <c r="U44" s="699">
        <f t="shared" si="70"/>
        <v>0</v>
      </c>
      <c r="V44" s="699"/>
      <c r="W44" s="699"/>
      <c r="X44" s="699">
        <f t="shared" si="71"/>
        <v>0</v>
      </c>
      <c r="Y44" s="699"/>
      <c r="Z44" s="699"/>
      <c r="AA44" s="699">
        <f t="shared" si="8"/>
        <v>0</v>
      </c>
      <c r="AB44" s="699"/>
      <c r="AC44" s="699"/>
      <c r="AD44" s="1015">
        <f t="shared" si="9"/>
        <v>0</v>
      </c>
      <c r="AE44" s="699"/>
      <c r="AF44" s="699"/>
      <c r="AG44" s="895">
        <f t="shared" si="72"/>
        <v>0</v>
      </c>
    </row>
    <row r="45" spans="1:33" ht="12" customHeight="1" x14ac:dyDescent="0.2">
      <c r="A45" s="475"/>
      <c r="B45" s="688"/>
      <c r="C45" s="296"/>
      <c r="D45" s="940"/>
      <c r="E45" s="933"/>
      <c r="F45" s="934"/>
      <c r="G45" s="56"/>
      <c r="H45" s="56"/>
      <c r="I45" s="192"/>
      <c r="J45" s="575"/>
      <c r="K45" s="575"/>
      <c r="L45" s="837"/>
      <c r="M45" s="575"/>
      <c r="N45" s="575"/>
      <c r="O45" s="837"/>
      <c r="P45" s="575"/>
      <c r="Q45" s="575"/>
      <c r="R45" s="837"/>
      <c r="S45" s="575"/>
      <c r="T45" s="575"/>
      <c r="U45" s="837"/>
      <c r="V45" s="575"/>
      <c r="W45" s="575"/>
      <c r="X45" s="837"/>
      <c r="Y45" s="575"/>
      <c r="Z45" s="575"/>
      <c r="AA45" s="837"/>
      <c r="AB45" s="575"/>
      <c r="AC45" s="575"/>
      <c r="AD45" s="837"/>
      <c r="AE45" s="1017"/>
      <c r="AF45" s="575"/>
      <c r="AG45" s="896"/>
    </row>
    <row r="46" spans="1:33" ht="12.75" customHeight="1" x14ac:dyDescent="0.2">
      <c r="A46" s="476" t="s">
        <v>110</v>
      </c>
      <c r="B46" s="1171" t="s">
        <v>109</v>
      </c>
      <c r="C46" s="1145"/>
      <c r="D46" s="939">
        <f t="shared" ref="D46:D53" si="76">+G46+J46+M46+P46+AB46+Y46+AE46+S46+V46</f>
        <v>2682</v>
      </c>
      <c r="E46" s="931">
        <f t="shared" ref="E46:E53" si="77">+H46+K46+N46+Q46+AC46+Z46+AF46+T46+W46</f>
        <v>5390</v>
      </c>
      <c r="F46" s="932">
        <f t="shared" ref="F46:F53" si="78">+I46+L46+O46+R46+AD46+AA46+AG46+U46+X46</f>
        <v>8072</v>
      </c>
      <c r="G46" s="29">
        <v>162</v>
      </c>
      <c r="H46" s="27"/>
      <c r="I46" s="53">
        <f t="shared" si="3"/>
        <v>162</v>
      </c>
      <c r="J46" s="417">
        <v>2100</v>
      </c>
      <c r="K46" s="417"/>
      <c r="L46" s="699">
        <f t="shared" si="4"/>
        <v>2100</v>
      </c>
      <c r="M46" s="417"/>
      <c r="N46" s="417"/>
      <c r="O46" s="699">
        <f t="shared" si="5"/>
        <v>0</v>
      </c>
      <c r="P46" s="417"/>
      <c r="Q46" s="417">
        <v>2000</v>
      </c>
      <c r="R46" s="699">
        <f t="shared" si="18"/>
        <v>2000</v>
      </c>
      <c r="S46" s="417"/>
      <c r="T46" s="417">
        <v>600</v>
      </c>
      <c r="U46" s="699">
        <f t="shared" ref="U46:U52" si="79">+T46+S46</f>
        <v>600</v>
      </c>
      <c r="V46" s="417"/>
      <c r="W46" s="417"/>
      <c r="X46" s="699">
        <f t="shared" ref="X46:X52" si="80">+W46+V46</f>
        <v>0</v>
      </c>
      <c r="Y46" s="417">
        <v>420</v>
      </c>
      <c r="Z46" s="417"/>
      <c r="AA46" s="699">
        <f t="shared" si="8"/>
        <v>420</v>
      </c>
      <c r="AB46" s="417"/>
      <c r="AC46" s="417">
        <v>2790</v>
      </c>
      <c r="AD46" s="1015">
        <f t="shared" si="9"/>
        <v>2790</v>
      </c>
      <c r="AE46" s="417"/>
      <c r="AF46" s="417"/>
      <c r="AG46" s="895">
        <f t="shared" ref="AG46:AG53" si="81">+AE46+AF46</f>
        <v>0</v>
      </c>
    </row>
    <row r="47" spans="1:33" ht="12.75" customHeight="1" x14ac:dyDescent="0.2">
      <c r="A47" s="476" t="s">
        <v>111</v>
      </c>
      <c r="B47" s="1171" t="s">
        <v>162</v>
      </c>
      <c r="C47" s="1145"/>
      <c r="D47" s="939">
        <f t="shared" si="76"/>
        <v>588886</v>
      </c>
      <c r="E47" s="931">
        <f t="shared" si="77"/>
        <v>-57072</v>
      </c>
      <c r="F47" s="932">
        <f t="shared" si="78"/>
        <v>531814</v>
      </c>
      <c r="G47" s="29">
        <v>25874</v>
      </c>
      <c r="H47" s="27">
        <v>2279</v>
      </c>
      <c r="I47" s="53">
        <f t="shared" si="3"/>
        <v>28153</v>
      </c>
      <c r="J47" s="417">
        <v>158830</v>
      </c>
      <c r="K47" s="417"/>
      <c r="L47" s="699">
        <f t="shared" si="4"/>
        <v>158830</v>
      </c>
      <c r="M47" s="417">
        <v>100834</v>
      </c>
      <c r="N47" s="417"/>
      <c r="O47" s="699">
        <f t="shared" si="5"/>
        <v>100834</v>
      </c>
      <c r="P47" s="417">
        <v>4135</v>
      </c>
      <c r="Q47" s="417">
        <v>-2000</v>
      </c>
      <c r="R47" s="699">
        <f t="shared" si="18"/>
        <v>2135</v>
      </c>
      <c r="S47" s="417"/>
      <c r="T47" s="417">
        <v>3940</v>
      </c>
      <c r="U47" s="699">
        <f t="shared" si="79"/>
        <v>3940</v>
      </c>
      <c r="V47" s="417"/>
      <c r="W47" s="417">
        <v>689</v>
      </c>
      <c r="X47" s="699">
        <f t="shared" si="80"/>
        <v>689</v>
      </c>
      <c r="Y47" s="417"/>
      <c r="Z47" s="417">
        <v>3250</v>
      </c>
      <c r="AA47" s="699">
        <f t="shared" si="8"/>
        <v>3250</v>
      </c>
      <c r="AB47" s="417">
        <v>299213</v>
      </c>
      <c r="AC47" s="417">
        <v>-65230</v>
      </c>
      <c r="AD47" s="1015">
        <f t="shared" si="9"/>
        <v>233983</v>
      </c>
      <c r="AE47" s="417"/>
      <c r="AF47" s="417"/>
      <c r="AG47" s="895">
        <f t="shared" si="81"/>
        <v>0</v>
      </c>
    </row>
    <row r="48" spans="1:33" ht="12.75" customHeight="1" x14ac:dyDescent="0.2">
      <c r="A48" s="476" t="s">
        <v>114</v>
      </c>
      <c r="B48" s="1171" t="s">
        <v>113</v>
      </c>
      <c r="C48" s="1145"/>
      <c r="D48" s="939">
        <f t="shared" si="76"/>
        <v>0</v>
      </c>
      <c r="E48" s="931">
        <f t="shared" si="77"/>
        <v>366</v>
      </c>
      <c r="F48" s="932">
        <f t="shared" si="78"/>
        <v>366</v>
      </c>
      <c r="G48" s="29"/>
      <c r="H48" s="27">
        <v>218</v>
      </c>
      <c r="I48" s="53">
        <f t="shared" si="3"/>
        <v>218</v>
      </c>
      <c r="J48" s="417"/>
      <c r="K48" s="417"/>
      <c r="L48" s="699">
        <f t="shared" si="4"/>
        <v>0</v>
      </c>
      <c r="M48" s="417"/>
      <c r="N48" s="417"/>
      <c r="O48" s="699">
        <f t="shared" si="5"/>
        <v>0</v>
      </c>
      <c r="P48" s="417"/>
      <c r="Q48" s="417"/>
      <c r="R48" s="699">
        <f t="shared" si="18"/>
        <v>0</v>
      </c>
      <c r="S48" s="417"/>
      <c r="T48" s="417"/>
      <c r="U48" s="699">
        <f t="shared" si="79"/>
        <v>0</v>
      </c>
      <c r="V48" s="417"/>
      <c r="W48" s="417">
        <v>148</v>
      </c>
      <c r="X48" s="699">
        <f t="shared" si="80"/>
        <v>148</v>
      </c>
      <c r="Y48" s="417"/>
      <c r="Z48" s="417"/>
      <c r="AA48" s="699">
        <f t="shared" si="8"/>
        <v>0</v>
      </c>
      <c r="AB48" s="417"/>
      <c r="AC48" s="417"/>
      <c r="AD48" s="1015">
        <f t="shared" si="9"/>
        <v>0</v>
      </c>
      <c r="AE48" s="417"/>
      <c r="AF48" s="417"/>
      <c r="AG48" s="895">
        <f t="shared" si="81"/>
        <v>0</v>
      </c>
    </row>
    <row r="49" spans="1:33" ht="12.75" customHeight="1" x14ac:dyDescent="0.2">
      <c r="A49" s="476" t="s">
        <v>116</v>
      </c>
      <c r="B49" s="1171" t="s">
        <v>115</v>
      </c>
      <c r="C49" s="1145"/>
      <c r="D49" s="939">
        <f t="shared" si="76"/>
        <v>4957</v>
      </c>
      <c r="E49" s="931">
        <f t="shared" si="77"/>
        <v>2451</v>
      </c>
      <c r="F49" s="932">
        <f t="shared" si="78"/>
        <v>7408</v>
      </c>
      <c r="G49" s="29">
        <v>4277</v>
      </c>
      <c r="H49" s="27"/>
      <c r="I49" s="53">
        <f t="shared" si="3"/>
        <v>4277</v>
      </c>
      <c r="J49" s="417"/>
      <c r="K49" s="417"/>
      <c r="L49" s="699">
        <f t="shared" si="4"/>
        <v>0</v>
      </c>
      <c r="M49" s="417"/>
      <c r="N49" s="417"/>
      <c r="O49" s="699">
        <f t="shared" si="5"/>
        <v>0</v>
      </c>
      <c r="P49" s="417"/>
      <c r="Q49" s="417"/>
      <c r="R49" s="699">
        <f t="shared" si="18"/>
        <v>0</v>
      </c>
      <c r="S49" s="417"/>
      <c r="T49" s="417"/>
      <c r="U49" s="699">
        <f t="shared" si="79"/>
        <v>0</v>
      </c>
      <c r="V49" s="417"/>
      <c r="W49" s="417">
        <v>113</v>
      </c>
      <c r="X49" s="699">
        <f t="shared" si="80"/>
        <v>113</v>
      </c>
      <c r="Y49" s="417">
        <v>680</v>
      </c>
      <c r="Z49" s="417">
        <v>2338</v>
      </c>
      <c r="AA49" s="699">
        <f t="shared" si="8"/>
        <v>3018</v>
      </c>
      <c r="AB49" s="417"/>
      <c r="AC49" s="417"/>
      <c r="AD49" s="1015">
        <f t="shared" si="9"/>
        <v>0</v>
      </c>
      <c r="AE49" s="417"/>
      <c r="AF49" s="417"/>
      <c r="AG49" s="895">
        <f t="shared" si="81"/>
        <v>0</v>
      </c>
    </row>
    <row r="50" spans="1:33" ht="12.75" customHeight="1" x14ac:dyDescent="0.2">
      <c r="A50" s="476" t="s">
        <v>118</v>
      </c>
      <c r="B50" s="1171" t="s">
        <v>117</v>
      </c>
      <c r="C50" s="1145"/>
      <c r="D50" s="939">
        <f t="shared" si="76"/>
        <v>0</v>
      </c>
      <c r="E50" s="931">
        <f t="shared" si="77"/>
        <v>0</v>
      </c>
      <c r="F50" s="932">
        <f t="shared" si="78"/>
        <v>0</v>
      </c>
      <c r="G50" s="29"/>
      <c r="H50" s="27"/>
      <c r="I50" s="53">
        <f t="shared" si="3"/>
        <v>0</v>
      </c>
      <c r="J50" s="417"/>
      <c r="K50" s="417"/>
      <c r="L50" s="699">
        <f t="shared" si="4"/>
        <v>0</v>
      </c>
      <c r="M50" s="417"/>
      <c r="N50" s="417"/>
      <c r="O50" s="699">
        <f t="shared" si="5"/>
        <v>0</v>
      </c>
      <c r="P50" s="417"/>
      <c r="Q50" s="417"/>
      <c r="R50" s="699">
        <f t="shared" si="18"/>
        <v>0</v>
      </c>
      <c r="S50" s="417"/>
      <c r="T50" s="417"/>
      <c r="U50" s="699">
        <f t="shared" si="79"/>
        <v>0</v>
      </c>
      <c r="V50" s="417"/>
      <c r="W50" s="417"/>
      <c r="X50" s="699">
        <f t="shared" si="80"/>
        <v>0</v>
      </c>
      <c r="Y50" s="417"/>
      <c r="Z50" s="417"/>
      <c r="AA50" s="699">
        <f t="shared" si="8"/>
        <v>0</v>
      </c>
      <c r="AB50" s="417"/>
      <c r="AC50" s="417"/>
      <c r="AD50" s="1015">
        <f t="shared" si="9"/>
        <v>0</v>
      </c>
      <c r="AE50" s="417"/>
      <c r="AF50" s="417"/>
      <c r="AG50" s="895">
        <f t="shared" si="81"/>
        <v>0</v>
      </c>
    </row>
    <row r="51" spans="1:33" ht="12.75" customHeight="1" x14ac:dyDescent="0.2">
      <c r="A51" s="476" t="s">
        <v>120</v>
      </c>
      <c r="B51" s="1171" t="s">
        <v>119</v>
      </c>
      <c r="C51" s="1145"/>
      <c r="D51" s="939">
        <f t="shared" si="76"/>
        <v>0</v>
      </c>
      <c r="E51" s="931">
        <f t="shared" si="77"/>
        <v>0</v>
      </c>
      <c r="F51" s="932">
        <f t="shared" si="78"/>
        <v>0</v>
      </c>
      <c r="G51" s="29"/>
      <c r="H51" s="27"/>
      <c r="I51" s="53">
        <f t="shared" si="3"/>
        <v>0</v>
      </c>
      <c r="J51" s="417"/>
      <c r="K51" s="417"/>
      <c r="L51" s="699">
        <f t="shared" si="4"/>
        <v>0</v>
      </c>
      <c r="M51" s="417"/>
      <c r="N51" s="417"/>
      <c r="O51" s="699">
        <f t="shared" si="5"/>
        <v>0</v>
      </c>
      <c r="P51" s="417"/>
      <c r="Q51" s="417"/>
      <c r="R51" s="699">
        <f t="shared" si="18"/>
        <v>0</v>
      </c>
      <c r="S51" s="417"/>
      <c r="T51" s="417"/>
      <c r="U51" s="699">
        <f t="shared" si="79"/>
        <v>0</v>
      </c>
      <c r="V51" s="417"/>
      <c r="W51" s="417"/>
      <c r="X51" s="699">
        <f t="shared" si="80"/>
        <v>0</v>
      </c>
      <c r="Y51" s="417"/>
      <c r="Z51" s="417"/>
      <c r="AA51" s="699">
        <f t="shared" si="8"/>
        <v>0</v>
      </c>
      <c r="AB51" s="417"/>
      <c r="AC51" s="417"/>
      <c r="AD51" s="1015">
        <f t="shared" si="9"/>
        <v>0</v>
      </c>
      <c r="AE51" s="417"/>
      <c r="AF51" s="417"/>
      <c r="AG51" s="895">
        <f t="shared" si="81"/>
        <v>0</v>
      </c>
    </row>
    <row r="52" spans="1:33" ht="12.75" customHeight="1" x14ac:dyDescent="0.2">
      <c r="A52" s="476" t="s">
        <v>122</v>
      </c>
      <c r="B52" s="1171" t="s">
        <v>121</v>
      </c>
      <c r="C52" s="1145"/>
      <c r="D52" s="939">
        <f t="shared" si="76"/>
        <v>80140</v>
      </c>
      <c r="E52" s="931">
        <f t="shared" si="77"/>
        <v>-57900</v>
      </c>
      <c r="F52" s="932">
        <f t="shared" si="78"/>
        <v>22240</v>
      </c>
      <c r="G52" s="29">
        <v>1863</v>
      </c>
      <c r="H52" s="27">
        <v>674</v>
      </c>
      <c r="I52" s="53">
        <f t="shared" si="3"/>
        <v>2537</v>
      </c>
      <c r="J52" s="417">
        <v>3657</v>
      </c>
      <c r="K52" s="417">
        <v>-3090</v>
      </c>
      <c r="L52" s="699">
        <f t="shared" si="4"/>
        <v>567</v>
      </c>
      <c r="M52" s="417">
        <v>1593</v>
      </c>
      <c r="N52" s="417"/>
      <c r="O52" s="699">
        <f t="shared" si="5"/>
        <v>1593</v>
      </c>
      <c r="P52" s="417"/>
      <c r="Q52" s="417"/>
      <c r="R52" s="699">
        <f t="shared" si="18"/>
        <v>0</v>
      </c>
      <c r="S52" s="417"/>
      <c r="T52" s="417">
        <v>1226</v>
      </c>
      <c r="U52" s="699">
        <f t="shared" si="79"/>
        <v>1226</v>
      </c>
      <c r="V52" s="417"/>
      <c r="W52" s="417">
        <v>256</v>
      </c>
      <c r="X52" s="699">
        <f t="shared" si="80"/>
        <v>256</v>
      </c>
      <c r="Y52" s="417">
        <v>265</v>
      </c>
      <c r="Z52" s="417">
        <v>1509</v>
      </c>
      <c r="AA52" s="699">
        <f t="shared" si="8"/>
        <v>1774</v>
      </c>
      <c r="AB52" s="417">
        <v>72762</v>
      </c>
      <c r="AC52" s="417">
        <v>-58475</v>
      </c>
      <c r="AD52" s="1015">
        <f t="shared" si="9"/>
        <v>14287</v>
      </c>
      <c r="AE52" s="417"/>
      <c r="AF52" s="417"/>
      <c r="AG52" s="895">
        <f t="shared" si="81"/>
        <v>0</v>
      </c>
    </row>
    <row r="53" spans="1:33" s="42" customFormat="1" ht="12.75" customHeight="1" x14ac:dyDescent="0.2">
      <c r="A53" s="473" t="s">
        <v>123</v>
      </c>
      <c r="B53" s="1170" t="s">
        <v>161</v>
      </c>
      <c r="C53" s="1143"/>
      <c r="D53" s="939">
        <f t="shared" si="76"/>
        <v>676665</v>
      </c>
      <c r="E53" s="931">
        <f t="shared" si="77"/>
        <v>-106765</v>
      </c>
      <c r="F53" s="932">
        <f t="shared" si="78"/>
        <v>569900</v>
      </c>
      <c r="G53" s="535">
        <f t="shared" ref="G53:Q53" si="82">+G52+G51+G50+G49+G48+G47+G46</f>
        <v>32176</v>
      </c>
      <c r="H53" s="53">
        <f t="shared" si="82"/>
        <v>3171</v>
      </c>
      <c r="I53" s="53">
        <f t="shared" si="3"/>
        <v>35347</v>
      </c>
      <c r="J53" s="699">
        <f t="shared" si="82"/>
        <v>164587</v>
      </c>
      <c r="K53" s="699">
        <f t="shared" si="82"/>
        <v>-3090</v>
      </c>
      <c r="L53" s="699">
        <f t="shared" si="4"/>
        <v>161497</v>
      </c>
      <c r="M53" s="699">
        <f t="shared" si="82"/>
        <v>102427</v>
      </c>
      <c r="N53" s="699">
        <f t="shared" si="82"/>
        <v>0</v>
      </c>
      <c r="O53" s="699">
        <f t="shared" si="5"/>
        <v>102427</v>
      </c>
      <c r="P53" s="699">
        <f t="shared" si="82"/>
        <v>4135</v>
      </c>
      <c r="Q53" s="699">
        <f t="shared" si="82"/>
        <v>0</v>
      </c>
      <c r="R53" s="699">
        <f t="shared" si="18"/>
        <v>4135</v>
      </c>
      <c r="S53" s="699">
        <f t="shared" ref="S53" si="83">+S52+S51+S50+S49+S48+S47+S46</f>
        <v>0</v>
      </c>
      <c r="T53" s="699">
        <f>+T52+T51+T50+T49+T48+T47+T46</f>
        <v>5766</v>
      </c>
      <c r="U53" s="699">
        <f t="shared" ref="U53" si="84">+U52+U51+U50+U49+U48+U47+U46</f>
        <v>5766</v>
      </c>
      <c r="V53" s="699">
        <f t="shared" ref="V53" si="85">+V52+V51+V50+V49+V48+V47+V46</f>
        <v>0</v>
      </c>
      <c r="W53" s="699">
        <f>+W52+W51+W50+W49+W48+W47+W46</f>
        <v>1206</v>
      </c>
      <c r="X53" s="699">
        <f t="shared" ref="X53" si="86">+X52+X51+X50+X49+X48+X47+X46</f>
        <v>1206</v>
      </c>
      <c r="Y53" s="699">
        <f t="shared" ref="Y53:AA53" si="87">+Y52+Y51+Y50+Y49+Y48+Y47+Y46</f>
        <v>1365</v>
      </c>
      <c r="Z53" s="699">
        <f>+Z52+Z51+Z50+Z49+Z48+Z47+Z46</f>
        <v>7097</v>
      </c>
      <c r="AA53" s="699">
        <f t="shared" si="87"/>
        <v>8462</v>
      </c>
      <c r="AB53" s="699">
        <f t="shared" ref="AB53:AC53" si="88">+AB52+AB51+AB50+AB49+AB48+AB47+AB46</f>
        <v>371975</v>
      </c>
      <c r="AC53" s="699">
        <f t="shared" si="88"/>
        <v>-120915</v>
      </c>
      <c r="AD53" s="1015">
        <f t="shared" si="9"/>
        <v>251060</v>
      </c>
      <c r="AE53" s="699">
        <f t="shared" ref="AE53:AF53" si="89">+AE52+AE51+AE50+AE49+AE48+AE47+AE46</f>
        <v>0</v>
      </c>
      <c r="AF53" s="699">
        <f t="shared" si="89"/>
        <v>0</v>
      </c>
      <c r="AG53" s="895">
        <f t="shared" si="81"/>
        <v>0</v>
      </c>
    </row>
    <row r="54" spans="1:33" x14ac:dyDescent="0.2">
      <c r="A54" s="475"/>
      <c r="B54" s="688"/>
      <c r="C54" s="296"/>
      <c r="D54" s="940"/>
      <c r="E54" s="933"/>
      <c r="F54" s="934"/>
      <c r="G54" s="56"/>
      <c r="H54" s="56"/>
      <c r="I54" s="192"/>
      <c r="J54" s="575"/>
      <c r="K54" s="575"/>
      <c r="L54" s="837"/>
      <c r="M54" s="575"/>
      <c r="N54" s="575"/>
      <c r="O54" s="837"/>
      <c r="P54" s="575"/>
      <c r="Q54" s="575"/>
      <c r="R54" s="837"/>
      <c r="S54" s="575"/>
      <c r="T54" s="575"/>
      <c r="U54" s="837"/>
      <c r="V54" s="575"/>
      <c r="W54" s="575"/>
      <c r="X54" s="837"/>
      <c r="Y54" s="575"/>
      <c r="Z54" s="575"/>
      <c r="AA54" s="837"/>
      <c r="AB54" s="575"/>
      <c r="AC54" s="575"/>
      <c r="AD54" s="837"/>
      <c r="AE54" s="1017"/>
      <c r="AF54" s="575"/>
      <c r="AG54" s="896"/>
    </row>
    <row r="55" spans="1:33" ht="12.75" customHeight="1" x14ac:dyDescent="0.2">
      <c r="A55" s="476" t="s">
        <v>125</v>
      </c>
      <c r="B55" s="1171" t="s">
        <v>124</v>
      </c>
      <c r="C55" s="1145"/>
      <c r="D55" s="939">
        <f t="shared" ref="D55:D59" si="90">+G55+J55+M55+P55+AB55+Y55+AE55+S55+V55</f>
        <v>21283</v>
      </c>
      <c r="E55" s="931">
        <f t="shared" ref="E55:E59" si="91">+H55+K55+N55+Q55+AC55+Z55+AF55+T55+W55</f>
        <v>86625</v>
      </c>
      <c r="F55" s="932">
        <f t="shared" ref="F55:F59" si="92">+I55+L55+O55+R55+AD55+AA55+AG55+U55+X55</f>
        <v>107908</v>
      </c>
      <c r="G55" s="29">
        <v>15939</v>
      </c>
      <c r="H55" s="27"/>
      <c r="I55" s="53">
        <f t="shared" si="3"/>
        <v>15939</v>
      </c>
      <c r="J55" s="417">
        <v>5344</v>
      </c>
      <c r="K55" s="417"/>
      <c r="L55" s="699">
        <f t="shared" si="4"/>
        <v>5344</v>
      </c>
      <c r="M55" s="417"/>
      <c r="N55" s="417"/>
      <c r="O55" s="699">
        <f t="shared" si="5"/>
        <v>0</v>
      </c>
      <c r="P55" s="417"/>
      <c r="Q55" s="417"/>
      <c r="R55" s="699">
        <f t="shared" si="18"/>
        <v>0</v>
      </c>
      <c r="S55" s="417"/>
      <c r="T55" s="417"/>
      <c r="U55" s="699">
        <f t="shared" ref="U55:U59" si="93">+T55+S55</f>
        <v>0</v>
      </c>
      <c r="V55" s="417"/>
      <c r="W55" s="417"/>
      <c r="X55" s="699">
        <f t="shared" ref="X55:X59" si="94">+W55+V55</f>
        <v>0</v>
      </c>
      <c r="Y55" s="417"/>
      <c r="Z55" s="417"/>
      <c r="AA55" s="699">
        <f t="shared" si="8"/>
        <v>0</v>
      </c>
      <c r="AB55" s="417"/>
      <c r="AC55" s="417">
        <v>86625</v>
      </c>
      <c r="AD55" s="1015">
        <f t="shared" si="9"/>
        <v>86625</v>
      </c>
      <c r="AE55" s="417"/>
      <c r="AF55" s="417"/>
      <c r="AG55" s="895">
        <f t="shared" ref="AG55:AG59" si="95">+AE55+AF55</f>
        <v>0</v>
      </c>
    </row>
    <row r="56" spans="1:33" ht="12.75" customHeight="1" x14ac:dyDescent="0.2">
      <c r="A56" s="476" t="s">
        <v>127</v>
      </c>
      <c r="B56" s="1171" t="s">
        <v>126</v>
      </c>
      <c r="C56" s="1145"/>
      <c r="D56" s="939">
        <f t="shared" si="90"/>
        <v>0</v>
      </c>
      <c r="E56" s="931">
        <f t="shared" si="91"/>
        <v>0</v>
      </c>
      <c r="F56" s="932">
        <f t="shared" si="92"/>
        <v>0</v>
      </c>
      <c r="G56" s="29"/>
      <c r="H56" s="27"/>
      <c r="I56" s="53">
        <f t="shared" si="3"/>
        <v>0</v>
      </c>
      <c r="J56" s="417"/>
      <c r="K56" s="417"/>
      <c r="L56" s="699">
        <f t="shared" si="4"/>
        <v>0</v>
      </c>
      <c r="M56" s="417"/>
      <c r="N56" s="417"/>
      <c r="O56" s="699">
        <f t="shared" si="5"/>
        <v>0</v>
      </c>
      <c r="P56" s="417"/>
      <c r="Q56" s="417"/>
      <c r="R56" s="699">
        <f t="shared" si="18"/>
        <v>0</v>
      </c>
      <c r="S56" s="417"/>
      <c r="T56" s="417"/>
      <c r="U56" s="699">
        <f t="shared" si="93"/>
        <v>0</v>
      </c>
      <c r="V56" s="417"/>
      <c r="W56" s="417"/>
      <c r="X56" s="699">
        <f t="shared" si="94"/>
        <v>0</v>
      </c>
      <c r="Y56" s="417"/>
      <c r="Z56" s="417"/>
      <c r="AA56" s="699">
        <f t="shared" si="8"/>
        <v>0</v>
      </c>
      <c r="AB56" s="417"/>
      <c r="AC56" s="417"/>
      <c r="AD56" s="1015">
        <f t="shared" si="9"/>
        <v>0</v>
      </c>
      <c r="AE56" s="417"/>
      <c r="AF56" s="417"/>
      <c r="AG56" s="895">
        <f t="shared" si="95"/>
        <v>0</v>
      </c>
    </row>
    <row r="57" spans="1:33" ht="12.75" customHeight="1" x14ac:dyDescent="0.2">
      <c r="A57" s="476" t="s">
        <v>129</v>
      </c>
      <c r="B57" s="1171" t="s">
        <v>128</v>
      </c>
      <c r="C57" s="1145"/>
      <c r="D57" s="939">
        <f t="shared" si="90"/>
        <v>0</v>
      </c>
      <c r="E57" s="931">
        <f t="shared" si="91"/>
        <v>0</v>
      </c>
      <c r="F57" s="932">
        <f t="shared" si="92"/>
        <v>0</v>
      </c>
      <c r="G57" s="29"/>
      <c r="H57" s="27"/>
      <c r="I57" s="53">
        <f t="shared" si="3"/>
        <v>0</v>
      </c>
      <c r="J57" s="417"/>
      <c r="K57" s="417"/>
      <c r="L57" s="699">
        <f t="shared" si="4"/>
        <v>0</v>
      </c>
      <c r="M57" s="417"/>
      <c r="N57" s="417"/>
      <c r="O57" s="699">
        <f t="shared" si="5"/>
        <v>0</v>
      </c>
      <c r="P57" s="417"/>
      <c r="Q57" s="417"/>
      <c r="R57" s="699">
        <f t="shared" si="18"/>
        <v>0</v>
      </c>
      <c r="S57" s="417"/>
      <c r="T57" s="417"/>
      <c r="U57" s="699">
        <f t="shared" si="93"/>
        <v>0</v>
      </c>
      <c r="V57" s="417"/>
      <c r="W57" s="417"/>
      <c r="X57" s="699">
        <f t="shared" si="94"/>
        <v>0</v>
      </c>
      <c r="Y57" s="417"/>
      <c r="Z57" s="417"/>
      <c r="AA57" s="699">
        <f t="shared" si="8"/>
        <v>0</v>
      </c>
      <c r="AB57" s="417"/>
      <c r="AC57" s="417"/>
      <c r="AD57" s="1015">
        <f t="shared" si="9"/>
        <v>0</v>
      </c>
      <c r="AE57" s="417"/>
      <c r="AF57" s="417"/>
      <c r="AG57" s="895">
        <f t="shared" si="95"/>
        <v>0</v>
      </c>
    </row>
    <row r="58" spans="1:33" ht="12.75" customHeight="1" x14ac:dyDescent="0.2">
      <c r="A58" s="476" t="s">
        <v>131</v>
      </c>
      <c r="B58" s="1171" t="s">
        <v>130</v>
      </c>
      <c r="C58" s="1145"/>
      <c r="D58" s="939">
        <f t="shared" si="90"/>
        <v>4763</v>
      </c>
      <c r="E58" s="931">
        <f t="shared" si="91"/>
        <v>23389</v>
      </c>
      <c r="F58" s="932">
        <f t="shared" si="92"/>
        <v>28152</v>
      </c>
      <c r="G58" s="29">
        <v>3629</v>
      </c>
      <c r="H58" s="27"/>
      <c r="I58" s="53">
        <f t="shared" si="3"/>
        <v>3629</v>
      </c>
      <c r="J58" s="417">
        <v>1134</v>
      </c>
      <c r="K58" s="417"/>
      <c r="L58" s="699">
        <f t="shared" si="4"/>
        <v>1134</v>
      </c>
      <c r="M58" s="417"/>
      <c r="N58" s="417"/>
      <c r="O58" s="699">
        <f t="shared" si="5"/>
        <v>0</v>
      </c>
      <c r="P58" s="417"/>
      <c r="Q58" s="417"/>
      <c r="R58" s="699">
        <f t="shared" si="18"/>
        <v>0</v>
      </c>
      <c r="S58" s="417"/>
      <c r="T58" s="417"/>
      <c r="U58" s="699">
        <f t="shared" si="93"/>
        <v>0</v>
      </c>
      <c r="V58" s="417"/>
      <c r="W58" s="417"/>
      <c r="X58" s="699">
        <f t="shared" si="94"/>
        <v>0</v>
      </c>
      <c r="Y58" s="417"/>
      <c r="Z58" s="417"/>
      <c r="AA58" s="699">
        <f t="shared" si="8"/>
        <v>0</v>
      </c>
      <c r="AB58" s="417"/>
      <c r="AC58" s="417">
        <v>23389</v>
      </c>
      <c r="AD58" s="1015">
        <f t="shared" si="9"/>
        <v>23389</v>
      </c>
      <c r="AE58" s="417"/>
      <c r="AF58" s="417"/>
      <c r="AG58" s="895">
        <f t="shared" si="95"/>
        <v>0</v>
      </c>
    </row>
    <row r="59" spans="1:33" s="42" customFormat="1" ht="12.75" customHeight="1" x14ac:dyDescent="0.2">
      <c r="A59" s="473" t="s">
        <v>132</v>
      </c>
      <c r="B59" s="1170" t="s">
        <v>160</v>
      </c>
      <c r="C59" s="1143"/>
      <c r="D59" s="939">
        <f t="shared" si="90"/>
        <v>26046</v>
      </c>
      <c r="E59" s="931">
        <f t="shared" si="91"/>
        <v>110014</v>
      </c>
      <c r="F59" s="932">
        <f t="shared" si="92"/>
        <v>136060</v>
      </c>
      <c r="G59" s="535">
        <f>SUM(G55:G58)</f>
        <v>19568</v>
      </c>
      <c r="H59" s="535">
        <f>SUM(H55:H58)</f>
        <v>0</v>
      </c>
      <c r="I59" s="53">
        <f t="shared" si="3"/>
        <v>19568</v>
      </c>
      <c r="J59" s="699">
        <f>SUM(J55:J58)</f>
        <v>6478</v>
      </c>
      <c r="K59" s="699">
        <f>SUM(K55:K58)</f>
        <v>0</v>
      </c>
      <c r="L59" s="699">
        <f t="shared" si="4"/>
        <v>6478</v>
      </c>
      <c r="M59" s="699">
        <f>SUM(M55:M58)</f>
        <v>0</v>
      </c>
      <c r="N59" s="699">
        <f>SUM(N55:N58)</f>
        <v>0</v>
      </c>
      <c r="O59" s="699">
        <f t="shared" si="5"/>
        <v>0</v>
      </c>
      <c r="P59" s="699">
        <f>SUM(P55:P58)</f>
        <v>0</v>
      </c>
      <c r="Q59" s="699">
        <f>SUM(Q55:Q58)</f>
        <v>0</v>
      </c>
      <c r="R59" s="699">
        <f t="shared" si="18"/>
        <v>0</v>
      </c>
      <c r="S59" s="699">
        <f>SUM(S55:S58)</f>
        <v>0</v>
      </c>
      <c r="T59" s="699">
        <f>SUM(T55:T58)</f>
        <v>0</v>
      </c>
      <c r="U59" s="699">
        <f t="shared" si="93"/>
        <v>0</v>
      </c>
      <c r="V59" s="699">
        <f>SUM(V55:V58)</f>
        <v>0</v>
      </c>
      <c r="W59" s="699">
        <f>SUM(W55:W58)</f>
        <v>0</v>
      </c>
      <c r="X59" s="699">
        <f t="shared" si="94"/>
        <v>0</v>
      </c>
      <c r="Y59" s="699">
        <f>SUM(Y55:Y58)</f>
        <v>0</v>
      </c>
      <c r="Z59" s="699">
        <f>SUM(Z55:Z58)</f>
        <v>0</v>
      </c>
      <c r="AA59" s="699">
        <f t="shared" si="8"/>
        <v>0</v>
      </c>
      <c r="AB59" s="699">
        <f>SUM(AB55:AB58)</f>
        <v>0</v>
      </c>
      <c r="AC59" s="699">
        <f>SUM(AC55:AC58)</f>
        <v>110014</v>
      </c>
      <c r="AD59" s="1015">
        <f t="shared" si="9"/>
        <v>110014</v>
      </c>
      <c r="AE59" s="699">
        <f>SUM(AE55:AE58)</f>
        <v>0</v>
      </c>
      <c r="AF59" s="699">
        <f>SUM(AF55:AF58)</f>
        <v>0</v>
      </c>
      <c r="AG59" s="895">
        <f t="shared" si="95"/>
        <v>0</v>
      </c>
    </row>
    <row r="60" spans="1:33" x14ac:dyDescent="0.2">
      <c r="A60" s="475"/>
      <c r="B60" s="688"/>
      <c r="C60" s="296"/>
      <c r="D60" s="940"/>
      <c r="E60" s="933"/>
      <c r="F60" s="934"/>
      <c r="G60" s="56"/>
      <c r="H60" s="56"/>
      <c r="I60" s="192"/>
      <c r="J60" s="575"/>
      <c r="K60" s="575"/>
      <c r="L60" s="837"/>
      <c r="M60" s="575"/>
      <c r="N60" s="575"/>
      <c r="O60" s="837"/>
      <c r="P60" s="575"/>
      <c r="Q60" s="575"/>
      <c r="R60" s="837"/>
      <c r="S60" s="575"/>
      <c r="T60" s="575"/>
      <c r="U60" s="837"/>
      <c r="V60" s="575"/>
      <c r="W60" s="575"/>
      <c r="X60" s="837"/>
      <c r="Y60" s="575"/>
      <c r="Z60" s="575"/>
      <c r="AA60" s="837"/>
      <c r="AB60" s="575"/>
      <c r="AC60" s="575"/>
      <c r="AD60" s="837"/>
      <c r="AE60" s="1017"/>
      <c r="AF60" s="575"/>
      <c r="AG60" s="896"/>
    </row>
    <row r="61" spans="1:33" hidden="1" x14ac:dyDescent="0.2">
      <c r="A61" s="92" t="s">
        <v>379</v>
      </c>
      <c r="B61" s="1190" t="s">
        <v>380</v>
      </c>
      <c r="C61" s="1191"/>
      <c r="D61" s="940">
        <f t="shared" si="67"/>
        <v>0</v>
      </c>
      <c r="E61" s="933">
        <f t="shared" si="68"/>
        <v>0</v>
      </c>
      <c r="F61" s="934">
        <f t="shared" si="69"/>
        <v>0</v>
      </c>
      <c r="G61" s="56"/>
      <c r="H61" s="56"/>
      <c r="I61" s="192">
        <f t="shared" si="3"/>
        <v>0</v>
      </c>
      <c r="J61" s="575"/>
      <c r="K61" s="575"/>
      <c r="L61" s="837">
        <f t="shared" si="4"/>
        <v>0</v>
      </c>
      <c r="M61" s="575"/>
      <c r="N61" s="575"/>
      <c r="O61" s="837">
        <f t="shared" si="5"/>
        <v>0</v>
      </c>
      <c r="P61" s="575"/>
      <c r="Q61" s="575"/>
      <c r="R61" s="837">
        <f t="shared" si="18"/>
        <v>0</v>
      </c>
      <c r="S61" s="575"/>
      <c r="T61" s="575"/>
      <c r="U61" s="837">
        <f t="shared" ref="U61:U63" si="96">+T61+S61</f>
        <v>0</v>
      </c>
      <c r="V61" s="575"/>
      <c r="W61" s="575"/>
      <c r="X61" s="837">
        <f t="shared" ref="X61:X63" si="97">+W61+V61</f>
        <v>0</v>
      </c>
      <c r="Y61" s="575"/>
      <c r="Z61" s="575"/>
      <c r="AA61" s="837">
        <f t="shared" si="8"/>
        <v>0</v>
      </c>
      <c r="AB61" s="575"/>
      <c r="AC61" s="575"/>
      <c r="AD61" s="837">
        <f t="shared" si="9"/>
        <v>0</v>
      </c>
      <c r="AE61" s="1017"/>
      <c r="AF61" s="575"/>
      <c r="AG61" s="896">
        <f t="shared" ref="AG61:AG64" si="98">+AE61+AF61</f>
        <v>0</v>
      </c>
    </row>
    <row r="62" spans="1:33" hidden="1" x14ac:dyDescent="0.2">
      <c r="A62" s="92" t="s">
        <v>392</v>
      </c>
      <c r="B62" s="1190" t="s">
        <v>393</v>
      </c>
      <c r="C62" s="1191"/>
      <c r="D62" s="940">
        <f t="shared" si="67"/>
        <v>0</v>
      </c>
      <c r="E62" s="933">
        <f t="shared" si="68"/>
        <v>0</v>
      </c>
      <c r="F62" s="934">
        <f t="shared" si="69"/>
        <v>0</v>
      </c>
      <c r="G62" s="56"/>
      <c r="H62" s="56"/>
      <c r="I62" s="192">
        <f t="shared" si="3"/>
        <v>0</v>
      </c>
      <c r="J62" s="575"/>
      <c r="K62" s="575"/>
      <c r="L62" s="837">
        <f t="shared" si="4"/>
        <v>0</v>
      </c>
      <c r="M62" s="575"/>
      <c r="N62" s="575"/>
      <c r="O62" s="837">
        <f t="shared" si="5"/>
        <v>0</v>
      </c>
      <c r="P62" s="575"/>
      <c r="Q62" s="575"/>
      <c r="R62" s="837">
        <f t="shared" si="18"/>
        <v>0</v>
      </c>
      <c r="S62" s="575"/>
      <c r="T62" s="575"/>
      <c r="U62" s="837">
        <f t="shared" si="96"/>
        <v>0</v>
      </c>
      <c r="V62" s="575"/>
      <c r="W62" s="575"/>
      <c r="X62" s="837">
        <f t="shared" si="97"/>
        <v>0</v>
      </c>
      <c r="Y62" s="575"/>
      <c r="Z62" s="575"/>
      <c r="AA62" s="837">
        <f t="shared" si="8"/>
        <v>0</v>
      </c>
      <c r="AB62" s="575"/>
      <c r="AC62" s="575"/>
      <c r="AD62" s="837">
        <f t="shared" si="9"/>
        <v>0</v>
      </c>
      <c r="AE62" s="1017"/>
      <c r="AF62" s="575"/>
      <c r="AG62" s="896">
        <f t="shared" si="98"/>
        <v>0</v>
      </c>
    </row>
    <row r="63" spans="1:33" ht="12.75" hidden="1" customHeight="1" x14ac:dyDescent="0.2">
      <c r="A63" s="92" t="s">
        <v>621</v>
      </c>
      <c r="B63" s="1190" t="s">
        <v>394</v>
      </c>
      <c r="C63" s="1191"/>
      <c r="D63" s="940">
        <f t="shared" si="67"/>
        <v>0</v>
      </c>
      <c r="E63" s="933">
        <f t="shared" si="68"/>
        <v>0</v>
      </c>
      <c r="F63" s="934">
        <f t="shared" si="69"/>
        <v>0</v>
      </c>
      <c r="G63" s="56"/>
      <c r="H63" s="56"/>
      <c r="I63" s="192">
        <f t="shared" si="3"/>
        <v>0</v>
      </c>
      <c r="J63" s="575"/>
      <c r="K63" s="575"/>
      <c r="L63" s="837">
        <f t="shared" si="4"/>
        <v>0</v>
      </c>
      <c r="M63" s="575"/>
      <c r="N63" s="575"/>
      <c r="O63" s="837">
        <f t="shared" si="5"/>
        <v>0</v>
      </c>
      <c r="P63" s="575"/>
      <c r="Q63" s="575"/>
      <c r="R63" s="837">
        <f t="shared" si="18"/>
        <v>0</v>
      </c>
      <c r="S63" s="575"/>
      <c r="T63" s="575"/>
      <c r="U63" s="837">
        <f t="shared" si="96"/>
        <v>0</v>
      </c>
      <c r="V63" s="575"/>
      <c r="W63" s="575"/>
      <c r="X63" s="837">
        <f t="shared" si="97"/>
        <v>0</v>
      </c>
      <c r="Y63" s="575"/>
      <c r="Z63" s="575"/>
      <c r="AA63" s="837">
        <f t="shared" si="8"/>
        <v>0</v>
      </c>
      <c r="AB63" s="575"/>
      <c r="AC63" s="575"/>
      <c r="AD63" s="837">
        <f t="shared" si="9"/>
        <v>0</v>
      </c>
      <c r="AE63" s="1017"/>
      <c r="AF63" s="575"/>
      <c r="AG63" s="896">
        <f t="shared" si="98"/>
        <v>0</v>
      </c>
    </row>
    <row r="64" spans="1:33" s="42" customFormat="1" ht="12.75" customHeight="1" x14ac:dyDescent="0.2">
      <c r="A64" s="473" t="s">
        <v>134</v>
      </c>
      <c r="B64" s="1170" t="s">
        <v>158</v>
      </c>
      <c r="C64" s="1143"/>
      <c r="D64" s="939">
        <f t="shared" ref="D64" si="99">+G64+J64+M64+P64+AB64+Y64+AE64+S64+V64</f>
        <v>0</v>
      </c>
      <c r="E64" s="931">
        <f t="shared" ref="E64" si="100">+H64+K64+N64+Q64+AC64+Z64+AF64+T64+W64</f>
        <v>0</v>
      </c>
      <c r="F64" s="932">
        <f t="shared" ref="F64" si="101">+I64+L64+O64+R64+AD64+AA64+AG64+U64+X64</f>
        <v>0</v>
      </c>
      <c r="G64" s="535">
        <f t="shared" ref="G64:Q64" si="102">SUM(G61:G63)</f>
        <v>0</v>
      </c>
      <c r="H64" s="53">
        <f t="shared" si="102"/>
        <v>0</v>
      </c>
      <c r="I64" s="53">
        <f t="shared" si="3"/>
        <v>0</v>
      </c>
      <c r="J64" s="699">
        <f t="shared" si="102"/>
        <v>0</v>
      </c>
      <c r="K64" s="699">
        <f t="shared" si="102"/>
        <v>0</v>
      </c>
      <c r="L64" s="699">
        <f t="shared" si="4"/>
        <v>0</v>
      </c>
      <c r="M64" s="699">
        <f t="shared" si="102"/>
        <v>0</v>
      </c>
      <c r="N64" s="699">
        <f t="shared" si="102"/>
        <v>0</v>
      </c>
      <c r="O64" s="699">
        <f t="shared" si="5"/>
        <v>0</v>
      </c>
      <c r="P64" s="699">
        <f t="shared" si="102"/>
        <v>0</v>
      </c>
      <c r="Q64" s="699">
        <f t="shared" si="102"/>
        <v>0</v>
      </c>
      <c r="R64" s="699">
        <f t="shared" si="18"/>
        <v>0</v>
      </c>
      <c r="S64" s="699">
        <f t="shared" ref="S64:U64" si="103">SUM(S61:S63)</f>
        <v>0</v>
      </c>
      <c r="T64" s="699">
        <f t="shared" si="103"/>
        <v>0</v>
      </c>
      <c r="U64" s="699">
        <f t="shared" si="103"/>
        <v>0</v>
      </c>
      <c r="V64" s="699">
        <f t="shared" ref="V64:X64" si="104">SUM(V61:V63)</f>
        <v>0</v>
      </c>
      <c r="W64" s="699">
        <f t="shared" si="104"/>
        <v>0</v>
      </c>
      <c r="X64" s="699">
        <f t="shared" si="104"/>
        <v>0</v>
      </c>
      <c r="Y64" s="699">
        <f t="shared" ref="Y64:AA64" si="105">SUM(Y61:Y63)</f>
        <v>0</v>
      </c>
      <c r="Z64" s="699">
        <f t="shared" si="105"/>
        <v>0</v>
      </c>
      <c r="AA64" s="699">
        <f t="shared" si="105"/>
        <v>0</v>
      </c>
      <c r="AB64" s="699">
        <f t="shared" ref="AB64:AC64" si="106">SUM(AB61:AB63)</f>
        <v>0</v>
      </c>
      <c r="AC64" s="699">
        <f t="shared" si="106"/>
        <v>0</v>
      </c>
      <c r="AD64" s="1015">
        <f t="shared" si="9"/>
        <v>0</v>
      </c>
      <c r="AE64" s="699">
        <f t="shared" ref="AE64:AF64" si="107">SUM(AE61:AE63)</f>
        <v>0</v>
      </c>
      <c r="AF64" s="699">
        <f t="shared" si="107"/>
        <v>0</v>
      </c>
      <c r="AG64" s="895">
        <f t="shared" si="98"/>
        <v>0</v>
      </c>
    </row>
    <row r="65" spans="1:33" x14ac:dyDescent="0.2">
      <c r="A65" s="475"/>
      <c r="B65" s="472"/>
      <c r="C65" s="706"/>
      <c r="D65" s="940"/>
      <c r="E65" s="933"/>
      <c r="F65" s="934"/>
      <c r="G65" s="56"/>
      <c r="H65" s="56"/>
      <c r="I65" s="192"/>
      <c r="J65" s="575"/>
      <c r="K65" s="575"/>
      <c r="L65" s="837"/>
      <c r="M65" s="575"/>
      <c r="N65" s="575"/>
      <c r="O65" s="837"/>
      <c r="P65" s="575"/>
      <c r="Q65" s="575"/>
      <c r="R65" s="837"/>
      <c r="S65" s="575"/>
      <c r="T65" s="575"/>
      <c r="U65" s="837"/>
      <c r="V65" s="575"/>
      <c r="W65" s="575"/>
      <c r="X65" s="837"/>
      <c r="Y65" s="575"/>
      <c r="Z65" s="575"/>
      <c r="AA65" s="837"/>
      <c r="AB65" s="575"/>
      <c r="AC65" s="575"/>
      <c r="AD65" s="837"/>
      <c r="AE65" s="1017"/>
      <c r="AF65" s="575"/>
      <c r="AG65" s="896"/>
    </row>
    <row r="66" spans="1:33" s="42" customFormat="1" ht="12.75" customHeight="1" x14ac:dyDescent="0.2">
      <c r="A66" s="700" t="s">
        <v>135</v>
      </c>
      <c r="B66" s="1170" t="s">
        <v>157</v>
      </c>
      <c r="C66" s="1143"/>
      <c r="D66" s="939">
        <f t="shared" ref="D66" si="108">+G66+J66+M66+P66+AB66+Y66+AE66+S66+V66</f>
        <v>808015</v>
      </c>
      <c r="E66" s="931">
        <f t="shared" ref="E66" si="109">+H66+K66+N66+Q66+AC66+Z66+AF66+T66+W66</f>
        <v>38802</v>
      </c>
      <c r="F66" s="932">
        <f t="shared" ref="F66" si="110">+I66+L66+O66+R66+AD66+AA66+AG66+U66+X66</f>
        <v>846817</v>
      </c>
      <c r="G66" s="535">
        <f t="shared" ref="G66:Q66" si="111">+G64+G59+G53+G44+G35+G9+G7</f>
        <v>54525</v>
      </c>
      <c r="H66" s="53">
        <f t="shared" si="111"/>
        <v>3941</v>
      </c>
      <c r="I66" s="53">
        <f t="shared" si="3"/>
        <v>58466</v>
      </c>
      <c r="J66" s="699">
        <f t="shared" si="111"/>
        <v>212548</v>
      </c>
      <c r="K66" s="699">
        <f t="shared" si="111"/>
        <v>0</v>
      </c>
      <c r="L66" s="699">
        <f t="shared" si="4"/>
        <v>212548</v>
      </c>
      <c r="M66" s="699">
        <f t="shared" si="111"/>
        <v>130149</v>
      </c>
      <c r="N66" s="699">
        <f t="shared" si="111"/>
        <v>0</v>
      </c>
      <c r="O66" s="699">
        <f t="shared" si="5"/>
        <v>130149</v>
      </c>
      <c r="P66" s="699">
        <f t="shared" si="111"/>
        <v>4385</v>
      </c>
      <c r="Q66" s="699">
        <f t="shared" si="111"/>
        <v>0</v>
      </c>
      <c r="R66" s="699">
        <f t="shared" si="18"/>
        <v>4385</v>
      </c>
      <c r="S66" s="699">
        <f t="shared" ref="S66:U66" si="112">+S64+S59+S53+S44+S35+S9+S7</f>
        <v>719</v>
      </c>
      <c r="T66" s="699">
        <f t="shared" si="112"/>
        <v>6048</v>
      </c>
      <c r="U66" s="699">
        <f t="shared" si="112"/>
        <v>6767</v>
      </c>
      <c r="V66" s="699">
        <f t="shared" ref="V66:X66" si="113">+V64+V59+V53+V44+V35+V9+V7</f>
        <v>0</v>
      </c>
      <c r="W66" s="699">
        <f t="shared" si="113"/>
        <v>1206</v>
      </c>
      <c r="X66" s="699">
        <f t="shared" si="113"/>
        <v>1206</v>
      </c>
      <c r="Y66" s="699">
        <f t="shared" ref="Y66:AA66" si="114">+Y64+Y59+Y53+Y44+Y35+Y9+Y7</f>
        <v>1489</v>
      </c>
      <c r="Z66" s="699">
        <f t="shared" si="114"/>
        <v>7593</v>
      </c>
      <c r="AA66" s="699">
        <f t="shared" si="114"/>
        <v>9082</v>
      </c>
      <c r="AB66" s="699">
        <f t="shared" ref="AB66:AC66" si="115">+AB64+AB59+AB53+AB44+AB35+AB9+AB7</f>
        <v>400000</v>
      </c>
      <c r="AC66" s="699">
        <f t="shared" si="115"/>
        <v>20014</v>
      </c>
      <c r="AD66" s="1015">
        <f t="shared" si="9"/>
        <v>420014</v>
      </c>
      <c r="AE66" s="699">
        <f t="shared" ref="AE66:AF66" si="116">+AE64+AE59+AE53+AE44+AE35+AE9+AE7</f>
        <v>4200</v>
      </c>
      <c r="AF66" s="699">
        <f t="shared" si="116"/>
        <v>0</v>
      </c>
      <c r="AG66" s="895">
        <f t="shared" ref="AG66" si="117">+AE66+AF66</f>
        <v>4200</v>
      </c>
    </row>
    <row r="67" spans="1:33" x14ac:dyDescent="0.2">
      <c r="A67" s="93"/>
      <c r="C67" s="707"/>
      <c r="D67" s="940"/>
      <c r="E67" s="933"/>
      <c r="F67" s="934"/>
      <c r="I67" s="192"/>
      <c r="L67" s="837"/>
      <c r="O67" s="837"/>
      <c r="R67" s="837"/>
      <c r="U67" s="837"/>
      <c r="X67" s="837"/>
      <c r="AA67" s="837"/>
      <c r="AD67" s="837"/>
      <c r="AE67" s="1018"/>
      <c r="AF67" s="590"/>
      <c r="AG67" s="896"/>
    </row>
    <row r="68" spans="1:33" ht="12.75" customHeight="1" thickBot="1" x14ac:dyDescent="0.25">
      <c r="A68" s="701" t="s">
        <v>376</v>
      </c>
      <c r="B68" s="1209" t="s">
        <v>377</v>
      </c>
      <c r="C68" s="1210"/>
      <c r="D68" s="941">
        <f t="shared" ref="D68" si="118">+G68+J68+M68+P68+AB68+Y68+AE68+S68+V68</f>
        <v>0</v>
      </c>
      <c r="E68" s="936">
        <f t="shared" ref="E68" si="119">+H68+K68+N68+Q68+AC68+Z68+AF68+T68+W68</f>
        <v>0</v>
      </c>
      <c r="F68" s="937">
        <f t="shared" ref="F68" si="120">+I68+L68+O68+R68+AD68+AA68+AG68+U68+X68</f>
        <v>0</v>
      </c>
      <c r="G68" s="708"/>
      <c r="H68" s="702"/>
      <c r="I68" s="702">
        <f t="shared" si="3"/>
        <v>0</v>
      </c>
      <c r="J68" s="703"/>
      <c r="K68" s="703"/>
      <c r="L68" s="703">
        <f t="shared" si="4"/>
        <v>0</v>
      </c>
      <c r="M68" s="703"/>
      <c r="N68" s="703"/>
      <c r="O68" s="703">
        <f>+N68+M68</f>
        <v>0</v>
      </c>
      <c r="P68" s="703"/>
      <c r="Q68" s="703"/>
      <c r="R68" s="703">
        <f t="shared" si="18"/>
        <v>0</v>
      </c>
      <c r="S68" s="703"/>
      <c r="T68" s="703"/>
      <c r="U68" s="703">
        <f t="shared" ref="U68" si="121">+T68+S68</f>
        <v>0</v>
      </c>
      <c r="V68" s="703"/>
      <c r="W68" s="703"/>
      <c r="X68" s="703">
        <f t="shared" ref="X68" si="122">+W68+V68</f>
        <v>0</v>
      </c>
      <c r="Y68" s="703"/>
      <c r="Z68" s="703"/>
      <c r="AA68" s="703">
        <f t="shared" si="8"/>
        <v>0</v>
      </c>
      <c r="AB68" s="703"/>
      <c r="AC68" s="703"/>
      <c r="AD68" s="1016">
        <f t="shared" si="9"/>
        <v>0</v>
      </c>
      <c r="AE68" s="703"/>
      <c r="AF68" s="703"/>
      <c r="AG68" s="897">
        <f t="shared" ref="AG68" si="123">+AE68+AF68</f>
        <v>0</v>
      </c>
    </row>
  </sheetData>
  <mergeCells count="78">
    <mergeCell ref="B68:C68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4:C44"/>
    <mergeCell ref="B19:C19"/>
    <mergeCell ref="B32:C32"/>
    <mergeCell ref="B21:C21"/>
    <mergeCell ref="B63:C63"/>
    <mergeCell ref="AB3:AD3"/>
    <mergeCell ref="B6:C6"/>
    <mergeCell ref="A2:A4"/>
    <mergeCell ref="B2:C4"/>
    <mergeCell ref="D2:F2"/>
    <mergeCell ref="G2:I2"/>
    <mergeCell ref="B5:C5"/>
    <mergeCell ref="J2:L2"/>
    <mergeCell ref="M2:O2"/>
    <mergeCell ref="P2:R2"/>
    <mergeCell ref="D3:F3"/>
    <mergeCell ref="G3:I3"/>
    <mergeCell ref="J3:L3"/>
    <mergeCell ref="M3:O3"/>
    <mergeCell ref="P3:R3"/>
    <mergeCell ref="B43:C43"/>
    <mergeCell ref="B64:C64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B62:C62"/>
    <mergeCell ref="B22:C22"/>
    <mergeCell ref="B23:C23"/>
    <mergeCell ref="B24:C24"/>
    <mergeCell ref="B25:C25"/>
    <mergeCell ref="B26:C26"/>
    <mergeCell ref="B61:C61"/>
    <mergeCell ref="B27:C27"/>
    <mergeCell ref="B28:C28"/>
    <mergeCell ref="B29:C29"/>
    <mergeCell ref="B30:C30"/>
    <mergeCell ref="B31:C31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V3:X3"/>
    <mergeCell ref="S2:U2"/>
    <mergeCell ref="S3:U3"/>
    <mergeCell ref="AE2:AG2"/>
    <mergeCell ref="AE3:AG3"/>
    <mergeCell ref="Y2:AA2"/>
    <mergeCell ref="Y3:AA3"/>
    <mergeCell ref="AB2:AD2"/>
    <mergeCell ref="V2:X2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8" orientation="landscape" cellComments="asDisplayed" r:id="rId1"/>
  <headerFooter>
    <oddHeader>&amp;C&amp;"Times New Roman,Félkövér"&amp;12Martonvásár Város Önkormányzatának kiadásai 2019.
Városfejlesztési feladatok saját forrásból&amp;R&amp;"Times New Roman,Félkövér"&amp;12 5/b. melléklet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5"/>
  <sheetViews>
    <sheetView topLeftCell="A2" zoomScaleNormal="100" workbookViewId="0">
      <pane xSplit="3" ySplit="3" topLeftCell="D34" activePane="bottomRight" state="frozen"/>
      <selection activeCell="B34" sqref="B34"/>
      <selection pane="topRight" activeCell="B34" sqref="B34"/>
      <selection pane="bottomLeft" activeCell="B34" sqref="B34"/>
      <selection pane="bottomRight" activeCell="T52" sqref="T52"/>
    </sheetView>
  </sheetViews>
  <sheetFormatPr defaultColWidth="9.140625" defaultRowHeight="15" x14ac:dyDescent="0.25"/>
  <cols>
    <col min="1" max="1" width="8.140625" style="693" customWidth="1"/>
    <col min="2" max="2" width="7.140625" style="25" customWidth="1"/>
    <col min="3" max="3" width="31" style="25" customWidth="1"/>
    <col min="4" max="4" width="11.42578125" style="590" customWidth="1"/>
    <col min="5" max="5" width="10.28515625" style="590" customWidth="1"/>
    <col min="6" max="6" width="10.85546875" style="590" customWidth="1"/>
    <col min="7" max="7" width="8" style="17" customWidth="1"/>
    <col min="8" max="8" width="7.140625" style="17" customWidth="1"/>
    <col min="9" max="9" width="8.140625" style="17" customWidth="1"/>
    <col min="10" max="10" width="7.85546875" style="17" customWidth="1"/>
    <col min="11" max="11" width="7.7109375" style="17" customWidth="1"/>
    <col min="12" max="27" width="7.85546875" style="17" customWidth="1"/>
    <col min="28" max="28" width="7.140625" style="17" customWidth="1"/>
    <col min="29" max="29" width="8" style="17" customWidth="1"/>
    <col min="30" max="30" width="7.5703125" style="17" customWidth="1"/>
    <col min="31" max="31" width="8" style="17" customWidth="1"/>
    <col min="32" max="32" width="7.85546875" style="17" customWidth="1"/>
    <col min="33" max="33" width="7.28515625" style="17" customWidth="1"/>
    <col min="34" max="36" width="8.85546875" style="1" customWidth="1"/>
    <col min="37" max="16384" width="9.140625" style="17"/>
  </cols>
  <sheetData>
    <row r="1" spans="1:33" s="1" customFormat="1" ht="12.75" customHeight="1" thickBot="1" x14ac:dyDescent="0.3">
      <c r="A1" s="693"/>
      <c r="B1" s="25"/>
      <c r="C1" s="25"/>
      <c r="D1" s="756"/>
      <c r="E1" s="756"/>
      <c r="F1" s="756"/>
      <c r="AE1" s="60" t="s">
        <v>391</v>
      </c>
      <c r="AF1" s="60"/>
      <c r="AG1" s="60"/>
    </row>
    <row r="2" spans="1:33" s="31" customFormat="1" ht="28.5" customHeight="1" x14ac:dyDescent="0.25">
      <c r="A2" s="1196" t="s">
        <v>0</v>
      </c>
      <c r="B2" s="1198" t="s">
        <v>182</v>
      </c>
      <c r="C2" s="1199"/>
      <c r="D2" s="1211" t="s">
        <v>180</v>
      </c>
      <c r="E2" s="1185"/>
      <c r="F2" s="1186"/>
      <c r="G2" s="1189" t="s">
        <v>684</v>
      </c>
      <c r="H2" s="1183"/>
      <c r="I2" s="1183"/>
      <c r="J2" s="1183" t="s">
        <v>685</v>
      </c>
      <c r="K2" s="1183"/>
      <c r="L2" s="1183"/>
      <c r="M2" s="1214" t="s">
        <v>786</v>
      </c>
      <c r="N2" s="1215"/>
      <c r="O2" s="1189"/>
      <c r="P2" s="1214" t="s">
        <v>780</v>
      </c>
      <c r="Q2" s="1215"/>
      <c r="R2" s="1189"/>
      <c r="S2" s="1214" t="s">
        <v>917</v>
      </c>
      <c r="T2" s="1215"/>
      <c r="U2" s="1189"/>
      <c r="V2" s="1208" t="s">
        <v>812</v>
      </c>
      <c r="W2" s="1208"/>
      <c r="X2" s="1208"/>
      <c r="Y2" s="1208" t="s">
        <v>863</v>
      </c>
      <c r="Z2" s="1208"/>
      <c r="AA2" s="1208"/>
      <c r="AB2" s="1208" t="s">
        <v>813</v>
      </c>
      <c r="AC2" s="1208"/>
      <c r="AD2" s="1208"/>
      <c r="AE2" s="1208" t="s">
        <v>807</v>
      </c>
      <c r="AF2" s="1208"/>
      <c r="AG2" s="1208"/>
    </row>
    <row r="3" spans="1:33" s="31" customFormat="1" ht="12.75" x14ac:dyDescent="0.25">
      <c r="A3" s="1197"/>
      <c r="B3" s="1169"/>
      <c r="C3" s="1200"/>
      <c r="D3" s="1212"/>
      <c r="E3" s="1181"/>
      <c r="F3" s="1187"/>
      <c r="G3" s="1207" t="s">
        <v>294</v>
      </c>
      <c r="H3" s="1208"/>
      <c r="I3" s="1208"/>
      <c r="J3" s="1208" t="s">
        <v>294</v>
      </c>
      <c r="K3" s="1208"/>
      <c r="L3" s="1208"/>
      <c r="M3" s="1208" t="s">
        <v>294</v>
      </c>
      <c r="N3" s="1208"/>
      <c r="O3" s="1208"/>
      <c r="P3" s="1208" t="s">
        <v>294</v>
      </c>
      <c r="Q3" s="1208"/>
      <c r="R3" s="1208"/>
      <c r="S3" s="1208" t="s">
        <v>294</v>
      </c>
      <c r="T3" s="1208"/>
      <c r="U3" s="1208"/>
      <c r="V3" s="1216" t="s">
        <v>294</v>
      </c>
      <c r="W3" s="1217"/>
      <c r="X3" s="1207"/>
      <c r="Y3" s="1208" t="s">
        <v>781</v>
      </c>
      <c r="Z3" s="1208"/>
      <c r="AA3" s="1208"/>
      <c r="AB3" s="1208" t="s">
        <v>294</v>
      </c>
      <c r="AC3" s="1208"/>
      <c r="AD3" s="1208"/>
      <c r="AE3" s="1208" t="s">
        <v>294</v>
      </c>
      <c r="AF3" s="1208"/>
      <c r="AG3" s="1213"/>
    </row>
    <row r="4" spans="1:33" s="16" customFormat="1" ht="38.25" x14ac:dyDescent="0.25">
      <c r="A4" s="1197"/>
      <c r="B4" s="1169"/>
      <c r="C4" s="1200"/>
      <c r="D4" s="892" t="s">
        <v>912</v>
      </c>
      <c r="E4" s="892" t="s">
        <v>727</v>
      </c>
      <c r="F4" s="892" t="s">
        <v>950</v>
      </c>
      <c r="G4" s="890" t="s">
        <v>912</v>
      </c>
      <c r="H4" s="890" t="s">
        <v>727</v>
      </c>
      <c r="I4" s="890" t="s">
        <v>950</v>
      </c>
      <c r="J4" s="1070" t="s">
        <v>912</v>
      </c>
      <c r="K4" s="1070" t="s">
        <v>727</v>
      </c>
      <c r="L4" s="1070" t="s">
        <v>950</v>
      </c>
      <c r="M4" s="1070" t="s">
        <v>912</v>
      </c>
      <c r="N4" s="1070" t="s">
        <v>727</v>
      </c>
      <c r="O4" s="1070" t="s">
        <v>950</v>
      </c>
      <c r="P4" s="1070" t="s">
        <v>912</v>
      </c>
      <c r="Q4" s="1070" t="s">
        <v>727</v>
      </c>
      <c r="R4" s="1070" t="s">
        <v>950</v>
      </c>
      <c r="S4" s="1070" t="s">
        <v>912</v>
      </c>
      <c r="T4" s="1070" t="s">
        <v>727</v>
      </c>
      <c r="U4" s="1070" t="s">
        <v>950</v>
      </c>
      <c r="V4" s="1070" t="s">
        <v>912</v>
      </c>
      <c r="W4" s="1070" t="s">
        <v>727</v>
      </c>
      <c r="X4" s="1070" t="s">
        <v>950</v>
      </c>
      <c r="Y4" s="1070" t="s">
        <v>912</v>
      </c>
      <c r="Z4" s="1070" t="s">
        <v>727</v>
      </c>
      <c r="AA4" s="1070" t="s">
        <v>950</v>
      </c>
      <c r="AB4" s="1070" t="s">
        <v>912</v>
      </c>
      <c r="AC4" s="1070" t="s">
        <v>727</v>
      </c>
      <c r="AD4" s="1070" t="s">
        <v>950</v>
      </c>
      <c r="AE4" s="1070" t="s">
        <v>912</v>
      </c>
      <c r="AF4" s="1070" t="s">
        <v>727</v>
      </c>
      <c r="AG4" s="1070" t="s">
        <v>950</v>
      </c>
    </row>
    <row r="5" spans="1:33" s="42" customFormat="1" ht="12.75" customHeight="1" x14ac:dyDescent="0.2">
      <c r="A5" s="473" t="s">
        <v>27</v>
      </c>
      <c r="B5" s="1170" t="s">
        <v>174</v>
      </c>
      <c r="C5" s="1143"/>
      <c r="D5" s="930">
        <f t="shared" ref="D5:F7" si="0">+G5+J5+AB5+AE5+M5+V5+Y5+P5+S5</f>
        <v>0</v>
      </c>
      <c r="E5" s="931">
        <f t="shared" si="0"/>
        <v>0</v>
      </c>
      <c r="F5" s="932">
        <f t="shared" si="0"/>
        <v>0</v>
      </c>
      <c r="G5" s="535"/>
      <c r="H5" s="53"/>
      <c r="I5" s="53">
        <f>+H5+G5</f>
        <v>0</v>
      </c>
      <c r="J5" s="53"/>
      <c r="K5" s="53"/>
      <c r="L5" s="53">
        <f>+K5+J5</f>
        <v>0</v>
      </c>
      <c r="M5" s="53"/>
      <c r="N5" s="53"/>
      <c r="O5" s="53">
        <f>+N5+M5</f>
        <v>0</v>
      </c>
      <c r="P5" s="53"/>
      <c r="Q5" s="53"/>
      <c r="R5" s="53">
        <f>+Q5+P5</f>
        <v>0</v>
      </c>
      <c r="S5" s="53"/>
      <c r="T5" s="53"/>
      <c r="U5" s="53">
        <f>+T5+S5</f>
        <v>0</v>
      </c>
      <c r="V5" s="53"/>
      <c r="W5" s="53"/>
      <c r="X5" s="53">
        <f>+W5+V5</f>
        <v>0</v>
      </c>
      <c r="Y5" s="53"/>
      <c r="Z5" s="53"/>
      <c r="AA5" s="53">
        <f>+Z5+Y5</f>
        <v>0</v>
      </c>
      <c r="AB5" s="53"/>
      <c r="AC5" s="53"/>
      <c r="AD5" s="53">
        <f>+AB5+AC5</f>
        <v>0</v>
      </c>
      <c r="AE5" s="53"/>
      <c r="AF5" s="53"/>
      <c r="AG5" s="474">
        <f>+AF5+AE5</f>
        <v>0</v>
      </c>
    </row>
    <row r="6" spans="1:33" s="42" customFormat="1" ht="12.75" customHeight="1" x14ac:dyDescent="0.2">
      <c r="A6" s="473" t="s">
        <v>33</v>
      </c>
      <c r="B6" s="1170" t="s">
        <v>173</v>
      </c>
      <c r="C6" s="1143"/>
      <c r="D6" s="930">
        <f t="shared" si="0"/>
        <v>11420</v>
      </c>
      <c r="E6" s="931">
        <f t="shared" si="0"/>
        <v>0</v>
      </c>
      <c r="F6" s="932">
        <f t="shared" si="0"/>
        <v>11420</v>
      </c>
      <c r="G6" s="535"/>
      <c r="H6" s="53"/>
      <c r="I6" s="53">
        <f t="shared" ref="I6:I65" si="1">+H6+G6</f>
        <v>0</v>
      </c>
      <c r="J6" s="53"/>
      <c r="K6" s="53"/>
      <c r="L6" s="53">
        <f t="shared" ref="L6:L65" si="2">+K6+J6</f>
        <v>0</v>
      </c>
      <c r="M6" s="53">
        <v>3720</v>
      </c>
      <c r="N6" s="53"/>
      <c r="O6" s="53">
        <f t="shared" ref="O6:O65" si="3">+N6+M6</f>
        <v>3720</v>
      </c>
      <c r="P6" s="53">
        <v>4070</v>
      </c>
      <c r="Q6" s="53"/>
      <c r="R6" s="53">
        <f t="shared" ref="R6:R65" si="4">+Q6+P6</f>
        <v>4070</v>
      </c>
      <c r="S6" s="53">
        <v>3630</v>
      </c>
      <c r="T6" s="53"/>
      <c r="U6" s="53">
        <f t="shared" ref="U6:U65" si="5">+T6+S6</f>
        <v>3630</v>
      </c>
      <c r="V6" s="53"/>
      <c r="W6" s="53"/>
      <c r="X6" s="53">
        <f t="shared" ref="X6:X65" si="6">+W6+V6</f>
        <v>0</v>
      </c>
      <c r="Y6" s="53"/>
      <c r="Z6" s="53"/>
      <c r="AA6" s="53">
        <f t="shared" ref="AA6:AA65" si="7">+Z6+Y6</f>
        <v>0</v>
      </c>
      <c r="AB6" s="53"/>
      <c r="AC6" s="53"/>
      <c r="AD6" s="53">
        <f t="shared" ref="AD6:AD65" si="8">+AB6+AC6</f>
        <v>0</v>
      </c>
      <c r="AE6" s="53"/>
      <c r="AF6" s="53"/>
      <c r="AG6" s="474">
        <f t="shared" ref="AG6:AG65" si="9">+AF6+AE6</f>
        <v>0</v>
      </c>
    </row>
    <row r="7" spans="1:33" s="42" customFormat="1" ht="12.75" customHeight="1" x14ac:dyDescent="0.2">
      <c r="A7" s="473" t="s">
        <v>34</v>
      </c>
      <c r="B7" s="1170" t="s">
        <v>172</v>
      </c>
      <c r="C7" s="1143"/>
      <c r="D7" s="930">
        <f t="shared" si="0"/>
        <v>11420</v>
      </c>
      <c r="E7" s="931">
        <f t="shared" si="0"/>
        <v>0</v>
      </c>
      <c r="F7" s="932">
        <f t="shared" si="0"/>
        <v>11420</v>
      </c>
      <c r="G7" s="53">
        <f>+G6+G5</f>
        <v>0</v>
      </c>
      <c r="H7" s="53">
        <f t="shared" ref="H7" si="10">+H6+H5</f>
        <v>0</v>
      </c>
      <c r="I7" s="53">
        <f t="shared" si="1"/>
        <v>0</v>
      </c>
      <c r="J7" s="53">
        <f>+J6+J5</f>
        <v>0</v>
      </c>
      <c r="K7" s="53">
        <f t="shared" ref="K7" si="11">+K6+K5</f>
        <v>0</v>
      </c>
      <c r="L7" s="53">
        <f t="shared" si="2"/>
        <v>0</v>
      </c>
      <c r="M7" s="53">
        <f>+M6+M5</f>
        <v>3720</v>
      </c>
      <c r="N7" s="53">
        <f t="shared" ref="N7" si="12">+N6+N5</f>
        <v>0</v>
      </c>
      <c r="O7" s="53">
        <f t="shared" si="3"/>
        <v>3720</v>
      </c>
      <c r="P7" s="53">
        <f>+P6+P5</f>
        <v>4070</v>
      </c>
      <c r="Q7" s="53">
        <f t="shared" ref="Q7" si="13">+Q6+Q5</f>
        <v>0</v>
      </c>
      <c r="R7" s="53">
        <f t="shared" si="4"/>
        <v>4070</v>
      </c>
      <c r="S7" s="53">
        <f>+S6+S5</f>
        <v>3630</v>
      </c>
      <c r="T7" s="53">
        <f t="shared" ref="T7" si="14">+T6+T5</f>
        <v>0</v>
      </c>
      <c r="U7" s="53">
        <f t="shared" si="5"/>
        <v>3630</v>
      </c>
      <c r="V7" s="53">
        <f>+V6+V5</f>
        <v>0</v>
      </c>
      <c r="W7" s="53">
        <f t="shared" ref="W7:Z7" si="15">+W6+W5</f>
        <v>0</v>
      </c>
      <c r="X7" s="53">
        <f t="shared" si="15"/>
        <v>0</v>
      </c>
      <c r="Y7" s="53">
        <f>+Y6+Y5</f>
        <v>0</v>
      </c>
      <c r="Z7" s="53">
        <f t="shared" si="15"/>
        <v>0</v>
      </c>
      <c r="AA7" s="53">
        <f t="shared" si="7"/>
        <v>0</v>
      </c>
      <c r="AB7" s="53">
        <f>+AB6+AB5</f>
        <v>0</v>
      </c>
      <c r="AC7" s="53">
        <f t="shared" ref="AC7" si="16">+AC6+AC5</f>
        <v>0</v>
      </c>
      <c r="AD7" s="53">
        <f t="shared" si="8"/>
        <v>0</v>
      </c>
      <c r="AE7" s="53">
        <f>+AE6+AE5</f>
        <v>0</v>
      </c>
      <c r="AF7" s="53">
        <f t="shared" ref="AF7" si="17">+AF6+AF5</f>
        <v>0</v>
      </c>
      <c r="AG7" s="474">
        <f t="shared" si="9"/>
        <v>0</v>
      </c>
    </row>
    <row r="8" spans="1:33" ht="12" customHeight="1" x14ac:dyDescent="0.25">
      <c r="A8" s="475"/>
      <c r="B8" s="688"/>
      <c r="C8" s="296"/>
      <c r="D8" s="933"/>
      <c r="E8" s="933"/>
      <c r="F8" s="934"/>
      <c r="G8" s="56"/>
      <c r="H8" s="56"/>
      <c r="I8" s="192"/>
      <c r="J8" s="56"/>
      <c r="K8" s="56"/>
      <c r="L8" s="192"/>
      <c r="M8" s="56"/>
      <c r="N8" s="56"/>
      <c r="O8" s="192"/>
      <c r="P8" s="56"/>
      <c r="Q8" s="56"/>
      <c r="R8" s="192"/>
      <c r="S8" s="56"/>
      <c r="T8" s="56"/>
      <c r="U8" s="192"/>
      <c r="V8" s="56"/>
      <c r="W8" s="56"/>
      <c r="X8" s="192"/>
      <c r="Y8" s="56"/>
      <c r="Z8" s="56"/>
      <c r="AA8" s="192"/>
      <c r="AB8" s="56"/>
      <c r="AC8" s="56"/>
      <c r="AD8" s="192"/>
      <c r="AE8" s="56"/>
      <c r="AF8" s="56"/>
      <c r="AG8" s="536"/>
    </row>
    <row r="9" spans="1:33" s="42" customFormat="1" ht="12.75" customHeight="1" x14ac:dyDescent="0.2">
      <c r="A9" s="473" t="s">
        <v>35</v>
      </c>
      <c r="B9" s="1170" t="s">
        <v>171</v>
      </c>
      <c r="C9" s="1143"/>
      <c r="D9" s="930">
        <f>+G9+J9+AB9+AE9+M9+V9+Y9+P9+S9</f>
        <v>2004</v>
      </c>
      <c r="E9" s="931">
        <f>+H9+K9+AC9+AF9+N9+W9+Z9+Q9+T9</f>
        <v>0</v>
      </c>
      <c r="F9" s="932">
        <f>+I9+L9+AD9+AG9+O9+X9+AA9+R9+U9</f>
        <v>2004</v>
      </c>
      <c r="G9" s="535"/>
      <c r="H9" s="53"/>
      <c r="I9" s="53">
        <f t="shared" si="1"/>
        <v>0</v>
      </c>
      <c r="J9" s="53"/>
      <c r="K9" s="53"/>
      <c r="L9" s="53">
        <f t="shared" si="2"/>
        <v>0</v>
      </c>
      <c r="M9" s="53">
        <v>653</v>
      </c>
      <c r="N9" s="53"/>
      <c r="O9" s="53">
        <f t="shared" si="3"/>
        <v>653</v>
      </c>
      <c r="P9" s="53">
        <v>714</v>
      </c>
      <c r="Q9" s="53"/>
      <c r="R9" s="53">
        <f t="shared" si="4"/>
        <v>714</v>
      </c>
      <c r="S9" s="53">
        <v>637</v>
      </c>
      <c r="T9" s="53"/>
      <c r="U9" s="53">
        <f t="shared" si="5"/>
        <v>637</v>
      </c>
      <c r="V9" s="53"/>
      <c r="W9" s="53"/>
      <c r="X9" s="53">
        <f t="shared" si="6"/>
        <v>0</v>
      </c>
      <c r="Y9" s="53"/>
      <c r="Z9" s="53"/>
      <c r="AA9" s="53">
        <f t="shared" si="7"/>
        <v>0</v>
      </c>
      <c r="AB9" s="53"/>
      <c r="AC9" s="53"/>
      <c r="AD9" s="53">
        <f t="shared" si="8"/>
        <v>0</v>
      </c>
      <c r="AE9" s="53"/>
      <c r="AF9" s="53"/>
      <c r="AG9" s="474">
        <f t="shared" si="9"/>
        <v>0</v>
      </c>
    </row>
    <row r="10" spans="1:33" ht="11.25" customHeight="1" x14ac:dyDescent="0.25">
      <c r="A10" s="92"/>
      <c r="C10" s="297"/>
      <c r="D10" s="933"/>
      <c r="E10" s="933"/>
      <c r="F10" s="934"/>
      <c r="G10" s="56"/>
      <c r="H10" s="56"/>
      <c r="I10" s="192"/>
      <c r="J10" s="56"/>
      <c r="K10" s="56"/>
      <c r="L10" s="192"/>
      <c r="M10" s="56"/>
      <c r="N10" s="56"/>
      <c r="O10" s="192"/>
      <c r="P10" s="56"/>
      <c r="Q10" s="56"/>
      <c r="R10" s="192"/>
      <c r="S10" s="56"/>
      <c r="T10" s="56"/>
      <c r="U10" s="192"/>
      <c r="V10" s="56"/>
      <c r="W10" s="56"/>
      <c r="X10" s="192"/>
      <c r="Y10" s="56"/>
      <c r="Z10" s="56"/>
      <c r="AA10" s="192"/>
      <c r="AB10" s="56"/>
      <c r="AC10" s="56"/>
      <c r="AD10" s="192"/>
      <c r="AE10" s="56"/>
      <c r="AF10" s="56"/>
      <c r="AG10" s="536"/>
    </row>
    <row r="11" spans="1:33" ht="12.75" customHeight="1" x14ac:dyDescent="0.25">
      <c r="A11" s="476" t="s">
        <v>42</v>
      </c>
      <c r="B11" s="1171" t="s">
        <v>41</v>
      </c>
      <c r="C11" s="1145"/>
      <c r="D11" s="930">
        <f t="shared" ref="D11:D35" si="18">+G11+J11+AB11+AE11+M11+V11+Y11+P11+S11</f>
        <v>0</v>
      </c>
      <c r="E11" s="931">
        <f t="shared" ref="E11:E35" si="19">+H11+K11+AC11+AF11+N11+W11+Z11+Q11+T11</f>
        <v>33</v>
      </c>
      <c r="F11" s="932">
        <f t="shared" ref="F11:F35" si="20">+I11+L11+AD11+AG11+O11+X11+AA11+R11+U11</f>
        <v>33</v>
      </c>
      <c r="G11" s="29"/>
      <c r="H11" s="27"/>
      <c r="I11" s="53">
        <f t="shared" si="1"/>
        <v>0</v>
      </c>
      <c r="J11" s="27"/>
      <c r="K11" s="27">
        <v>33</v>
      </c>
      <c r="L11" s="53">
        <f t="shared" si="2"/>
        <v>33</v>
      </c>
      <c r="M11" s="27"/>
      <c r="N11" s="27"/>
      <c r="O11" s="53">
        <f t="shared" si="3"/>
        <v>0</v>
      </c>
      <c r="P11" s="27"/>
      <c r="Q11" s="27"/>
      <c r="R11" s="53">
        <f t="shared" si="4"/>
        <v>0</v>
      </c>
      <c r="S11" s="27"/>
      <c r="T11" s="27"/>
      <c r="U11" s="53">
        <f t="shared" si="5"/>
        <v>0</v>
      </c>
      <c r="V11" s="27"/>
      <c r="W11" s="27"/>
      <c r="X11" s="53">
        <f t="shared" si="6"/>
        <v>0</v>
      </c>
      <c r="Y11" s="27"/>
      <c r="Z11" s="27"/>
      <c r="AA11" s="53">
        <f t="shared" si="7"/>
        <v>0</v>
      </c>
      <c r="AB11" s="27"/>
      <c r="AC11" s="27"/>
      <c r="AD11" s="53">
        <f t="shared" si="8"/>
        <v>0</v>
      </c>
      <c r="AE11" s="27"/>
      <c r="AF11" s="27"/>
      <c r="AG11" s="474">
        <f t="shared" si="9"/>
        <v>0</v>
      </c>
    </row>
    <row r="12" spans="1:33" ht="12.75" customHeight="1" x14ac:dyDescent="0.25">
      <c r="A12" s="476" t="s">
        <v>44</v>
      </c>
      <c r="B12" s="1171" t="s">
        <v>43</v>
      </c>
      <c r="C12" s="1145"/>
      <c r="D12" s="930">
        <f t="shared" si="18"/>
        <v>1442</v>
      </c>
      <c r="E12" s="931">
        <f t="shared" si="19"/>
        <v>114</v>
      </c>
      <c r="F12" s="932">
        <f t="shared" si="20"/>
        <v>1556</v>
      </c>
      <c r="G12" s="29"/>
      <c r="H12" s="27"/>
      <c r="I12" s="53">
        <f t="shared" si="1"/>
        <v>0</v>
      </c>
      <c r="J12" s="27"/>
      <c r="K12" s="27"/>
      <c r="L12" s="53">
        <f t="shared" si="2"/>
        <v>0</v>
      </c>
      <c r="M12" s="27"/>
      <c r="N12" s="27"/>
      <c r="O12" s="53">
        <f t="shared" si="3"/>
        <v>0</v>
      </c>
      <c r="P12" s="27">
        <v>680</v>
      </c>
      <c r="Q12" s="27">
        <v>72</v>
      </c>
      <c r="R12" s="53">
        <f t="shared" si="4"/>
        <v>752</v>
      </c>
      <c r="S12" s="27">
        <v>762</v>
      </c>
      <c r="T12" s="27">
        <v>42</v>
      </c>
      <c r="U12" s="53">
        <f t="shared" si="5"/>
        <v>804</v>
      </c>
      <c r="V12" s="27">
        <v>0</v>
      </c>
      <c r="W12" s="27"/>
      <c r="X12" s="53">
        <f t="shared" si="6"/>
        <v>0</v>
      </c>
      <c r="Y12" s="27"/>
      <c r="Z12" s="27"/>
      <c r="AA12" s="53">
        <f t="shared" si="7"/>
        <v>0</v>
      </c>
      <c r="AB12" s="27"/>
      <c r="AC12" s="27"/>
      <c r="AD12" s="53">
        <f t="shared" si="8"/>
        <v>0</v>
      </c>
      <c r="AE12" s="27"/>
      <c r="AF12" s="27"/>
      <c r="AG12" s="474">
        <f t="shared" si="9"/>
        <v>0</v>
      </c>
    </row>
    <row r="13" spans="1:33" ht="12.75" customHeight="1" x14ac:dyDescent="0.25">
      <c r="A13" s="476" t="s">
        <v>46</v>
      </c>
      <c r="B13" s="1171" t="s">
        <v>45</v>
      </c>
      <c r="C13" s="1145"/>
      <c r="D13" s="930">
        <f t="shared" si="18"/>
        <v>0</v>
      </c>
      <c r="E13" s="931">
        <f t="shared" si="19"/>
        <v>0</v>
      </c>
      <c r="F13" s="932">
        <f t="shared" si="20"/>
        <v>0</v>
      </c>
      <c r="G13" s="29"/>
      <c r="H13" s="27"/>
      <c r="I13" s="53">
        <f t="shared" si="1"/>
        <v>0</v>
      </c>
      <c r="J13" s="27"/>
      <c r="K13" s="27"/>
      <c r="L13" s="53">
        <f t="shared" si="2"/>
        <v>0</v>
      </c>
      <c r="M13" s="27"/>
      <c r="N13" s="27"/>
      <c r="O13" s="53">
        <f t="shared" si="3"/>
        <v>0</v>
      </c>
      <c r="P13" s="27"/>
      <c r="Q13" s="27"/>
      <c r="R13" s="53">
        <f t="shared" si="4"/>
        <v>0</v>
      </c>
      <c r="S13" s="27"/>
      <c r="T13" s="27"/>
      <c r="U13" s="53">
        <f t="shared" si="5"/>
        <v>0</v>
      </c>
      <c r="V13" s="27"/>
      <c r="W13" s="27"/>
      <c r="X13" s="53">
        <f t="shared" si="6"/>
        <v>0</v>
      </c>
      <c r="Y13" s="27"/>
      <c r="Z13" s="27"/>
      <c r="AA13" s="53">
        <f t="shared" si="7"/>
        <v>0</v>
      </c>
      <c r="AB13" s="27"/>
      <c r="AC13" s="27"/>
      <c r="AD13" s="53">
        <f t="shared" si="8"/>
        <v>0</v>
      </c>
      <c r="AE13" s="27"/>
      <c r="AF13" s="27"/>
      <c r="AG13" s="474">
        <f t="shared" si="9"/>
        <v>0</v>
      </c>
    </row>
    <row r="14" spans="1:33" s="42" customFormat="1" ht="12.75" customHeight="1" x14ac:dyDescent="0.2">
      <c r="A14" s="473" t="s">
        <v>47</v>
      </c>
      <c r="B14" s="1170" t="s">
        <v>170</v>
      </c>
      <c r="C14" s="1143"/>
      <c r="D14" s="930">
        <f t="shared" si="18"/>
        <v>1442</v>
      </c>
      <c r="E14" s="931">
        <f t="shared" si="19"/>
        <v>147</v>
      </c>
      <c r="F14" s="932">
        <f t="shared" si="20"/>
        <v>1589</v>
      </c>
      <c r="G14" s="535">
        <f>SUM(G11:G13)</f>
        <v>0</v>
      </c>
      <c r="H14" s="53">
        <f t="shared" ref="H14:AC14" si="21">SUM(H11:H13)</f>
        <v>0</v>
      </c>
      <c r="I14" s="53">
        <f t="shared" si="1"/>
        <v>0</v>
      </c>
      <c r="J14" s="53">
        <f t="shared" si="21"/>
        <v>0</v>
      </c>
      <c r="K14" s="53">
        <f t="shared" si="21"/>
        <v>33</v>
      </c>
      <c r="L14" s="53">
        <f t="shared" si="2"/>
        <v>33</v>
      </c>
      <c r="M14" s="53">
        <f t="shared" si="21"/>
        <v>0</v>
      </c>
      <c r="N14" s="53">
        <f t="shared" si="21"/>
        <v>0</v>
      </c>
      <c r="O14" s="53">
        <f t="shared" si="3"/>
        <v>0</v>
      </c>
      <c r="P14" s="53">
        <f t="shared" si="21"/>
        <v>680</v>
      </c>
      <c r="Q14" s="53">
        <f t="shared" si="21"/>
        <v>72</v>
      </c>
      <c r="R14" s="53">
        <f t="shared" si="4"/>
        <v>752</v>
      </c>
      <c r="S14" s="53">
        <f t="shared" si="21"/>
        <v>762</v>
      </c>
      <c r="T14" s="53">
        <f t="shared" si="21"/>
        <v>42</v>
      </c>
      <c r="U14" s="53">
        <f t="shared" si="5"/>
        <v>804</v>
      </c>
      <c r="V14" s="53">
        <f t="shared" si="21"/>
        <v>0</v>
      </c>
      <c r="W14" s="53">
        <f t="shared" si="21"/>
        <v>0</v>
      </c>
      <c r="X14" s="53">
        <f t="shared" si="6"/>
        <v>0</v>
      </c>
      <c r="Y14" s="53">
        <f t="shared" si="21"/>
        <v>0</v>
      </c>
      <c r="Z14" s="53">
        <f t="shared" si="21"/>
        <v>0</v>
      </c>
      <c r="AA14" s="53">
        <f t="shared" si="7"/>
        <v>0</v>
      </c>
      <c r="AB14" s="53">
        <f t="shared" si="21"/>
        <v>0</v>
      </c>
      <c r="AC14" s="53">
        <f t="shared" si="21"/>
        <v>0</v>
      </c>
      <c r="AD14" s="53">
        <f t="shared" si="8"/>
        <v>0</v>
      </c>
      <c r="AE14" s="53">
        <f>SUM(AE11:AE13)</f>
        <v>0</v>
      </c>
      <c r="AF14" s="53">
        <f>SUM(AF11:AF13)</f>
        <v>0</v>
      </c>
      <c r="AG14" s="474">
        <f t="shared" si="9"/>
        <v>0</v>
      </c>
    </row>
    <row r="15" spans="1:33" ht="12.75" customHeight="1" x14ac:dyDescent="0.25">
      <c r="A15" s="476" t="s">
        <v>49</v>
      </c>
      <c r="B15" s="1171" t="s">
        <v>48</v>
      </c>
      <c r="C15" s="1145"/>
      <c r="D15" s="930">
        <f t="shared" si="18"/>
        <v>0</v>
      </c>
      <c r="E15" s="931">
        <f t="shared" si="19"/>
        <v>0</v>
      </c>
      <c r="F15" s="932">
        <f t="shared" si="20"/>
        <v>0</v>
      </c>
      <c r="G15" s="29"/>
      <c r="H15" s="27"/>
      <c r="I15" s="53">
        <f t="shared" si="1"/>
        <v>0</v>
      </c>
      <c r="J15" s="27"/>
      <c r="K15" s="27"/>
      <c r="L15" s="53">
        <f t="shared" si="2"/>
        <v>0</v>
      </c>
      <c r="M15" s="27"/>
      <c r="N15" s="27"/>
      <c r="O15" s="53">
        <f t="shared" si="3"/>
        <v>0</v>
      </c>
      <c r="P15" s="27"/>
      <c r="Q15" s="27"/>
      <c r="R15" s="53">
        <f t="shared" si="4"/>
        <v>0</v>
      </c>
      <c r="S15" s="27"/>
      <c r="T15" s="27"/>
      <c r="U15" s="53">
        <f t="shared" si="5"/>
        <v>0</v>
      </c>
      <c r="V15" s="27"/>
      <c r="W15" s="27"/>
      <c r="X15" s="53">
        <f t="shared" si="6"/>
        <v>0</v>
      </c>
      <c r="Y15" s="27"/>
      <c r="Z15" s="27"/>
      <c r="AA15" s="53">
        <f t="shared" si="7"/>
        <v>0</v>
      </c>
      <c r="AB15" s="27"/>
      <c r="AC15" s="27"/>
      <c r="AD15" s="53">
        <f t="shared" si="8"/>
        <v>0</v>
      </c>
      <c r="AE15" s="27"/>
      <c r="AF15" s="27"/>
      <c r="AG15" s="474">
        <f t="shared" si="9"/>
        <v>0</v>
      </c>
    </row>
    <row r="16" spans="1:33" ht="12.75" customHeight="1" x14ac:dyDescent="0.25">
      <c r="A16" s="476" t="s">
        <v>51</v>
      </c>
      <c r="B16" s="1171" t="s">
        <v>50</v>
      </c>
      <c r="C16" s="1145"/>
      <c r="D16" s="930">
        <f t="shared" si="18"/>
        <v>0</v>
      </c>
      <c r="E16" s="931">
        <f t="shared" si="19"/>
        <v>0</v>
      </c>
      <c r="F16" s="932">
        <f t="shared" si="20"/>
        <v>0</v>
      </c>
      <c r="G16" s="29"/>
      <c r="H16" s="27"/>
      <c r="I16" s="53">
        <f t="shared" si="1"/>
        <v>0</v>
      </c>
      <c r="J16" s="27"/>
      <c r="K16" s="27"/>
      <c r="L16" s="53">
        <f t="shared" si="2"/>
        <v>0</v>
      </c>
      <c r="M16" s="27"/>
      <c r="N16" s="27"/>
      <c r="O16" s="53">
        <f t="shared" si="3"/>
        <v>0</v>
      </c>
      <c r="P16" s="27"/>
      <c r="Q16" s="27"/>
      <c r="R16" s="53">
        <f t="shared" si="4"/>
        <v>0</v>
      </c>
      <c r="S16" s="27"/>
      <c r="T16" s="27"/>
      <c r="U16" s="53">
        <f t="shared" si="5"/>
        <v>0</v>
      </c>
      <c r="V16" s="27"/>
      <c r="W16" s="27"/>
      <c r="X16" s="53">
        <f t="shared" si="6"/>
        <v>0</v>
      </c>
      <c r="Y16" s="27"/>
      <c r="Z16" s="27"/>
      <c r="AA16" s="53">
        <f t="shared" si="7"/>
        <v>0</v>
      </c>
      <c r="AB16" s="27"/>
      <c r="AC16" s="27"/>
      <c r="AD16" s="53">
        <f t="shared" si="8"/>
        <v>0</v>
      </c>
      <c r="AE16" s="27"/>
      <c r="AF16" s="27"/>
      <c r="AG16" s="474">
        <f t="shared" si="9"/>
        <v>0</v>
      </c>
    </row>
    <row r="17" spans="1:33" s="42" customFormat="1" ht="12.75" customHeight="1" x14ac:dyDescent="0.2">
      <c r="A17" s="473" t="s">
        <v>52</v>
      </c>
      <c r="B17" s="1170" t="s">
        <v>169</v>
      </c>
      <c r="C17" s="1143"/>
      <c r="D17" s="930">
        <f t="shared" si="18"/>
        <v>0</v>
      </c>
      <c r="E17" s="931">
        <f t="shared" si="19"/>
        <v>0</v>
      </c>
      <c r="F17" s="932">
        <f t="shared" si="20"/>
        <v>0</v>
      </c>
      <c r="G17" s="535">
        <f>+G15+G16</f>
        <v>0</v>
      </c>
      <c r="H17" s="53">
        <f t="shared" ref="H17:AC17" si="22">+H15+H16</f>
        <v>0</v>
      </c>
      <c r="I17" s="53">
        <f t="shared" si="1"/>
        <v>0</v>
      </c>
      <c r="J17" s="53">
        <f t="shared" si="22"/>
        <v>0</v>
      </c>
      <c r="K17" s="53">
        <f t="shared" si="22"/>
        <v>0</v>
      </c>
      <c r="L17" s="53">
        <f t="shared" si="2"/>
        <v>0</v>
      </c>
      <c r="M17" s="53">
        <f t="shared" si="22"/>
        <v>0</v>
      </c>
      <c r="N17" s="53">
        <f t="shared" si="22"/>
        <v>0</v>
      </c>
      <c r="O17" s="53">
        <f t="shared" si="3"/>
        <v>0</v>
      </c>
      <c r="P17" s="53">
        <f t="shared" si="22"/>
        <v>0</v>
      </c>
      <c r="Q17" s="53">
        <f t="shared" si="22"/>
        <v>0</v>
      </c>
      <c r="R17" s="53">
        <f t="shared" si="4"/>
        <v>0</v>
      </c>
      <c r="S17" s="53">
        <f t="shared" si="22"/>
        <v>0</v>
      </c>
      <c r="T17" s="53">
        <f t="shared" si="22"/>
        <v>0</v>
      </c>
      <c r="U17" s="53">
        <f t="shared" si="5"/>
        <v>0</v>
      </c>
      <c r="V17" s="53">
        <f t="shared" si="22"/>
        <v>0</v>
      </c>
      <c r="W17" s="53">
        <f t="shared" si="22"/>
        <v>0</v>
      </c>
      <c r="X17" s="53">
        <f t="shared" si="6"/>
        <v>0</v>
      </c>
      <c r="Y17" s="53">
        <f t="shared" si="22"/>
        <v>0</v>
      </c>
      <c r="Z17" s="53">
        <f t="shared" si="22"/>
        <v>0</v>
      </c>
      <c r="AA17" s="53">
        <f t="shared" si="7"/>
        <v>0</v>
      </c>
      <c r="AB17" s="53">
        <f t="shared" si="22"/>
        <v>0</v>
      </c>
      <c r="AC17" s="53">
        <f t="shared" si="22"/>
        <v>0</v>
      </c>
      <c r="AD17" s="53">
        <f t="shared" si="8"/>
        <v>0</v>
      </c>
      <c r="AE17" s="53">
        <f>+AE15+AE16</f>
        <v>0</v>
      </c>
      <c r="AF17" s="53">
        <f>+AF15+AF16</f>
        <v>0</v>
      </c>
      <c r="AG17" s="474">
        <f t="shared" si="9"/>
        <v>0</v>
      </c>
    </row>
    <row r="18" spans="1:33" ht="12.75" customHeight="1" x14ac:dyDescent="0.25">
      <c r="A18" s="476" t="s">
        <v>54</v>
      </c>
      <c r="B18" s="1171" t="s">
        <v>53</v>
      </c>
      <c r="C18" s="1145"/>
      <c r="D18" s="930">
        <f t="shared" si="18"/>
        <v>0</v>
      </c>
      <c r="E18" s="931">
        <f t="shared" si="19"/>
        <v>0</v>
      </c>
      <c r="F18" s="932">
        <f t="shared" si="20"/>
        <v>0</v>
      </c>
      <c r="G18" s="29"/>
      <c r="H18" s="27"/>
      <c r="I18" s="53">
        <f t="shared" si="1"/>
        <v>0</v>
      </c>
      <c r="J18" s="27"/>
      <c r="K18" s="27"/>
      <c r="L18" s="53">
        <f t="shared" si="2"/>
        <v>0</v>
      </c>
      <c r="M18" s="27"/>
      <c r="N18" s="27"/>
      <c r="O18" s="53">
        <f t="shared" si="3"/>
        <v>0</v>
      </c>
      <c r="P18" s="27"/>
      <c r="Q18" s="27"/>
      <c r="R18" s="53">
        <f t="shared" si="4"/>
        <v>0</v>
      </c>
      <c r="S18" s="27"/>
      <c r="T18" s="27"/>
      <c r="U18" s="53">
        <f t="shared" si="5"/>
        <v>0</v>
      </c>
      <c r="V18" s="27"/>
      <c r="W18" s="27"/>
      <c r="X18" s="53">
        <f t="shared" si="6"/>
        <v>0</v>
      </c>
      <c r="Y18" s="27"/>
      <c r="Z18" s="27"/>
      <c r="AA18" s="53">
        <f t="shared" si="7"/>
        <v>0</v>
      </c>
      <c r="AB18" s="27"/>
      <c r="AC18" s="27"/>
      <c r="AD18" s="53">
        <f t="shared" si="8"/>
        <v>0</v>
      </c>
      <c r="AE18" s="27"/>
      <c r="AF18" s="27"/>
      <c r="AG18" s="474">
        <f t="shared" si="9"/>
        <v>0</v>
      </c>
    </row>
    <row r="19" spans="1:33" ht="12.75" customHeight="1" x14ac:dyDescent="0.25">
      <c r="A19" s="476" t="s">
        <v>56</v>
      </c>
      <c r="B19" s="1171" t="s">
        <v>55</v>
      </c>
      <c r="C19" s="1145"/>
      <c r="D19" s="930">
        <f t="shared" si="18"/>
        <v>0</v>
      </c>
      <c r="E19" s="931">
        <f t="shared" si="19"/>
        <v>0</v>
      </c>
      <c r="F19" s="932">
        <f t="shared" si="20"/>
        <v>0</v>
      </c>
      <c r="G19" s="29"/>
      <c r="H19" s="27"/>
      <c r="I19" s="53">
        <f t="shared" si="1"/>
        <v>0</v>
      </c>
      <c r="J19" s="27"/>
      <c r="K19" s="27"/>
      <c r="L19" s="53">
        <f t="shared" si="2"/>
        <v>0</v>
      </c>
      <c r="M19" s="27"/>
      <c r="N19" s="27"/>
      <c r="O19" s="53">
        <f t="shared" si="3"/>
        <v>0</v>
      </c>
      <c r="P19" s="27"/>
      <c r="Q19" s="27"/>
      <c r="R19" s="53">
        <f t="shared" si="4"/>
        <v>0</v>
      </c>
      <c r="S19" s="27"/>
      <c r="T19" s="27"/>
      <c r="U19" s="53">
        <f t="shared" si="5"/>
        <v>0</v>
      </c>
      <c r="V19" s="27"/>
      <c r="W19" s="27"/>
      <c r="X19" s="53">
        <f t="shared" si="6"/>
        <v>0</v>
      </c>
      <c r="Y19" s="27"/>
      <c r="Z19" s="27"/>
      <c r="AA19" s="53">
        <f t="shared" si="7"/>
        <v>0</v>
      </c>
      <c r="AB19" s="27"/>
      <c r="AC19" s="27"/>
      <c r="AD19" s="53">
        <f t="shared" si="8"/>
        <v>0</v>
      </c>
      <c r="AE19" s="27"/>
      <c r="AF19" s="27"/>
      <c r="AG19" s="474">
        <f t="shared" si="9"/>
        <v>0</v>
      </c>
    </row>
    <row r="20" spans="1:33" ht="12.75" customHeight="1" x14ac:dyDescent="0.25">
      <c r="A20" s="476" t="s">
        <v>57</v>
      </c>
      <c r="B20" s="1171" t="s">
        <v>167</v>
      </c>
      <c r="C20" s="1145"/>
      <c r="D20" s="930">
        <f t="shared" si="18"/>
        <v>0</v>
      </c>
      <c r="E20" s="931">
        <f t="shared" si="19"/>
        <v>0</v>
      </c>
      <c r="F20" s="932">
        <f t="shared" si="20"/>
        <v>0</v>
      </c>
      <c r="G20" s="29"/>
      <c r="H20" s="27"/>
      <c r="I20" s="53">
        <f t="shared" si="1"/>
        <v>0</v>
      </c>
      <c r="J20" s="27"/>
      <c r="K20" s="27"/>
      <c r="L20" s="53">
        <f t="shared" si="2"/>
        <v>0</v>
      </c>
      <c r="M20" s="27"/>
      <c r="N20" s="27"/>
      <c r="O20" s="53">
        <f t="shared" si="3"/>
        <v>0</v>
      </c>
      <c r="P20" s="27"/>
      <c r="Q20" s="27"/>
      <c r="R20" s="53">
        <f t="shared" si="4"/>
        <v>0</v>
      </c>
      <c r="S20" s="27"/>
      <c r="T20" s="27"/>
      <c r="U20" s="53">
        <f t="shared" si="5"/>
        <v>0</v>
      </c>
      <c r="V20" s="27"/>
      <c r="W20" s="27"/>
      <c r="X20" s="53">
        <f t="shared" si="6"/>
        <v>0</v>
      </c>
      <c r="Y20" s="27"/>
      <c r="Z20" s="27"/>
      <c r="AA20" s="53">
        <f t="shared" si="7"/>
        <v>0</v>
      </c>
      <c r="AB20" s="27"/>
      <c r="AC20" s="27"/>
      <c r="AD20" s="53">
        <f t="shared" si="8"/>
        <v>0</v>
      </c>
      <c r="AE20" s="27"/>
      <c r="AF20" s="27"/>
      <c r="AG20" s="474">
        <f t="shared" si="9"/>
        <v>0</v>
      </c>
    </row>
    <row r="21" spans="1:33" ht="12.75" customHeight="1" x14ac:dyDescent="0.25">
      <c r="A21" s="476" t="s">
        <v>59</v>
      </c>
      <c r="B21" s="1171" t="s">
        <v>58</v>
      </c>
      <c r="C21" s="1145"/>
      <c r="D21" s="930">
        <f t="shared" si="18"/>
        <v>0</v>
      </c>
      <c r="E21" s="931">
        <f t="shared" si="19"/>
        <v>0</v>
      </c>
      <c r="F21" s="932">
        <f t="shared" si="20"/>
        <v>0</v>
      </c>
      <c r="G21" s="29"/>
      <c r="H21" s="27"/>
      <c r="I21" s="53">
        <f t="shared" si="1"/>
        <v>0</v>
      </c>
      <c r="J21" s="27"/>
      <c r="K21" s="27"/>
      <c r="L21" s="53">
        <f t="shared" si="2"/>
        <v>0</v>
      </c>
      <c r="M21" s="27"/>
      <c r="N21" s="27"/>
      <c r="O21" s="53">
        <f t="shared" si="3"/>
        <v>0</v>
      </c>
      <c r="P21" s="27"/>
      <c r="Q21" s="27"/>
      <c r="R21" s="53">
        <f t="shared" si="4"/>
        <v>0</v>
      </c>
      <c r="S21" s="27"/>
      <c r="T21" s="27"/>
      <c r="U21" s="53">
        <f t="shared" si="5"/>
        <v>0</v>
      </c>
      <c r="V21" s="27"/>
      <c r="W21" s="27"/>
      <c r="X21" s="53">
        <f t="shared" si="6"/>
        <v>0</v>
      </c>
      <c r="Y21" s="27"/>
      <c r="Z21" s="27"/>
      <c r="AA21" s="53">
        <f t="shared" si="7"/>
        <v>0</v>
      </c>
      <c r="AB21" s="27"/>
      <c r="AC21" s="27"/>
      <c r="AD21" s="53">
        <f t="shared" si="8"/>
        <v>0</v>
      </c>
      <c r="AE21" s="27"/>
      <c r="AF21" s="27"/>
      <c r="AG21" s="474">
        <f t="shared" si="9"/>
        <v>0</v>
      </c>
    </row>
    <row r="22" spans="1:33" ht="12.75" customHeight="1" x14ac:dyDescent="0.25">
      <c r="A22" s="476" t="s">
        <v>60</v>
      </c>
      <c r="B22" s="1171" t="s">
        <v>166</v>
      </c>
      <c r="C22" s="1145"/>
      <c r="D22" s="930">
        <f t="shared" si="18"/>
        <v>0</v>
      </c>
      <c r="E22" s="931">
        <f t="shared" si="19"/>
        <v>0</v>
      </c>
      <c r="F22" s="932">
        <f t="shared" si="20"/>
        <v>0</v>
      </c>
      <c r="G22" s="29"/>
      <c r="H22" s="27"/>
      <c r="I22" s="53">
        <f t="shared" si="1"/>
        <v>0</v>
      </c>
      <c r="J22" s="27"/>
      <c r="K22" s="27"/>
      <c r="L22" s="53">
        <f t="shared" si="2"/>
        <v>0</v>
      </c>
      <c r="M22" s="27"/>
      <c r="N22" s="27"/>
      <c r="O22" s="53">
        <f t="shared" si="3"/>
        <v>0</v>
      </c>
      <c r="P22" s="27"/>
      <c r="Q22" s="27"/>
      <c r="R22" s="53">
        <f t="shared" si="4"/>
        <v>0</v>
      </c>
      <c r="S22" s="27"/>
      <c r="T22" s="27"/>
      <c r="U22" s="53">
        <f t="shared" si="5"/>
        <v>0</v>
      </c>
      <c r="V22" s="27"/>
      <c r="W22" s="27"/>
      <c r="X22" s="53">
        <f t="shared" si="6"/>
        <v>0</v>
      </c>
      <c r="Y22" s="27"/>
      <c r="Z22" s="27"/>
      <c r="AA22" s="53">
        <f t="shared" si="7"/>
        <v>0</v>
      </c>
      <c r="AB22" s="27"/>
      <c r="AC22" s="27"/>
      <c r="AD22" s="53">
        <f t="shared" si="8"/>
        <v>0</v>
      </c>
      <c r="AE22" s="27"/>
      <c r="AF22" s="27"/>
      <c r="AG22" s="474">
        <f t="shared" si="9"/>
        <v>0</v>
      </c>
    </row>
    <row r="23" spans="1:33" ht="12.75" customHeight="1" x14ac:dyDescent="0.25">
      <c r="A23" s="476" t="s">
        <v>63</v>
      </c>
      <c r="B23" s="1171" t="s">
        <v>62</v>
      </c>
      <c r="C23" s="1145"/>
      <c r="D23" s="930">
        <f t="shared" si="18"/>
        <v>2595</v>
      </c>
      <c r="E23" s="931">
        <f t="shared" si="19"/>
        <v>241</v>
      </c>
      <c r="F23" s="932">
        <f t="shared" si="20"/>
        <v>2836</v>
      </c>
      <c r="G23" s="29"/>
      <c r="H23" s="27"/>
      <c r="I23" s="53">
        <f t="shared" si="1"/>
        <v>0</v>
      </c>
      <c r="J23" s="27"/>
      <c r="K23" s="27"/>
      <c r="L23" s="53">
        <f t="shared" si="2"/>
        <v>0</v>
      </c>
      <c r="M23" s="27">
        <v>1056</v>
      </c>
      <c r="N23" s="27"/>
      <c r="O23" s="53">
        <f t="shared" si="3"/>
        <v>1056</v>
      </c>
      <c r="P23" s="27">
        <v>200</v>
      </c>
      <c r="Q23" s="27">
        <v>99</v>
      </c>
      <c r="R23" s="53">
        <f t="shared" si="4"/>
        <v>299</v>
      </c>
      <c r="S23" s="27">
        <v>1339</v>
      </c>
      <c r="T23" s="27">
        <v>142</v>
      </c>
      <c r="U23" s="53">
        <f t="shared" si="5"/>
        <v>1481</v>
      </c>
      <c r="V23" s="27"/>
      <c r="W23" s="27"/>
      <c r="X23" s="53">
        <f t="shared" si="6"/>
        <v>0</v>
      </c>
      <c r="Y23" s="27"/>
      <c r="Z23" s="27"/>
      <c r="AA23" s="53">
        <f t="shared" si="7"/>
        <v>0</v>
      </c>
      <c r="AB23" s="27"/>
      <c r="AC23" s="27"/>
      <c r="AD23" s="53">
        <f t="shared" si="8"/>
        <v>0</v>
      </c>
      <c r="AE23" s="27"/>
      <c r="AF23" s="27"/>
      <c r="AG23" s="474">
        <f t="shared" si="9"/>
        <v>0</v>
      </c>
    </row>
    <row r="24" spans="1:33" ht="12.75" customHeight="1" x14ac:dyDescent="0.25">
      <c r="A24" s="476" t="s">
        <v>65</v>
      </c>
      <c r="B24" s="1171" t="s">
        <v>64</v>
      </c>
      <c r="C24" s="1145"/>
      <c r="D24" s="930">
        <f t="shared" si="18"/>
        <v>9300</v>
      </c>
      <c r="E24" s="931">
        <f t="shared" si="19"/>
        <v>-405</v>
      </c>
      <c r="F24" s="932">
        <f t="shared" si="20"/>
        <v>8895</v>
      </c>
      <c r="G24" s="29">
        <v>6156</v>
      </c>
      <c r="H24" s="27">
        <v>-350</v>
      </c>
      <c r="I24" s="53">
        <f t="shared" si="1"/>
        <v>5806</v>
      </c>
      <c r="J24" s="27">
        <v>181</v>
      </c>
      <c r="K24" s="27"/>
      <c r="L24" s="53">
        <f t="shared" si="2"/>
        <v>181</v>
      </c>
      <c r="M24" s="27">
        <v>638</v>
      </c>
      <c r="N24" s="27"/>
      <c r="O24" s="53">
        <f t="shared" si="3"/>
        <v>638</v>
      </c>
      <c r="P24" s="27">
        <v>97</v>
      </c>
      <c r="Q24" s="27">
        <v>-55</v>
      </c>
      <c r="R24" s="53">
        <f t="shared" si="4"/>
        <v>42</v>
      </c>
      <c r="S24" s="27"/>
      <c r="T24" s="27"/>
      <c r="U24" s="53">
        <f t="shared" si="5"/>
        <v>0</v>
      </c>
      <c r="V24" s="27">
        <v>1575</v>
      </c>
      <c r="W24" s="27"/>
      <c r="X24" s="53">
        <f t="shared" si="6"/>
        <v>1575</v>
      </c>
      <c r="Y24" s="27"/>
      <c r="Z24" s="27"/>
      <c r="AA24" s="53">
        <f t="shared" si="7"/>
        <v>0</v>
      </c>
      <c r="AB24" s="27">
        <v>100</v>
      </c>
      <c r="AC24" s="27"/>
      <c r="AD24" s="53">
        <f t="shared" si="8"/>
        <v>100</v>
      </c>
      <c r="AE24" s="27">
        <v>553</v>
      </c>
      <c r="AF24" s="27"/>
      <c r="AG24" s="474">
        <f t="shared" si="9"/>
        <v>553</v>
      </c>
    </row>
    <row r="25" spans="1:33" s="42" customFormat="1" ht="12.75" customHeight="1" x14ac:dyDescent="0.2">
      <c r="A25" s="473" t="s">
        <v>66</v>
      </c>
      <c r="B25" s="1170" t="s">
        <v>156</v>
      </c>
      <c r="C25" s="1143"/>
      <c r="D25" s="930">
        <f t="shared" si="18"/>
        <v>11895</v>
      </c>
      <c r="E25" s="931">
        <f t="shared" si="19"/>
        <v>-164</v>
      </c>
      <c r="F25" s="932">
        <f t="shared" si="20"/>
        <v>11731</v>
      </c>
      <c r="G25" s="535">
        <f t="shared" ref="G25:AF25" si="23">+G24+G23+G22+G21+G20+G19+G18</f>
        <v>6156</v>
      </c>
      <c r="H25" s="53">
        <f t="shared" si="23"/>
        <v>-350</v>
      </c>
      <c r="I25" s="53">
        <f t="shared" si="1"/>
        <v>5806</v>
      </c>
      <c r="J25" s="53">
        <f t="shared" si="23"/>
        <v>181</v>
      </c>
      <c r="K25" s="53">
        <f t="shared" si="23"/>
        <v>0</v>
      </c>
      <c r="L25" s="53">
        <f t="shared" si="2"/>
        <v>181</v>
      </c>
      <c r="M25" s="53">
        <f t="shared" si="23"/>
        <v>1694</v>
      </c>
      <c r="N25" s="53">
        <f t="shared" si="23"/>
        <v>0</v>
      </c>
      <c r="O25" s="53">
        <f t="shared" si="3"/>
        <v>1694</v>
      </c>
      <c r="P25" s="53">
        <f t="shared" si="23"/>
        <v>297</v>
      </c>
      <c r="Q25" s="53">
        <f t="shared" si="23"/>
        <v>44</v>
      </c>
      <c r="R25" s="53">
        <f t="shared" si="4"/>
        <v>341</v>
      </c>
      <c r="S25" s="53">
        <f t="shared" si="23"/>
        <v>1339</v>
      </c>
      <c r="T25" s="53">
        <f t="shared" si="23"/>
        <v>142</v>
      </c>
      <c r="U25" s="53">
        <f t="shared" si="5"/>
        <v>1481</v>
      </c>
      <c r="V25" s="53">
        <f t="shared" si="23"/>
        <v>1575</v>
      </c>
      <c r="W25" s="53">
        <f t="shared" si="23"/>
        <v>0</v>
      </c>
      <c r="X25" s="53">
        <f t="shared" si="6"/>
        <v>1575</v>
      </c>
      <c r="Y25" s="53">
        <f t="shared" si="23"/>
        <v>0</v>
      </c>
      <c r="Z25" s="53">
        <f t="shared" si="23"/>
        <v>0</v>
      </c>
      <c r="AA25" s="53">
        <f t="shared" si="7"/>
        <v>0</v>
      </c>
      <c r="AB25" s="53">
        <f t="shared" si="23"/>
        <v>100</v>
      </c>
      <c r="AC25" s="53">
        <f t="shared" si="23"/>
        <v>0</v>
      </c>
      <c r="AD25" s="53">
        <f t="shared" si="8"/>
        <v>100</v>
      </c>
      <c r="AE25" s="53">
        <f t="shared" si="23"/>
        <v>553</v>
      </c>
      <c r="AF25" s="53">
        <f t="shared" si="23"/>
        <v>0</v>
      </c>
      <c r="AG25" s="474">
        <f t="shared" si="9"/>
        <v>553</v>
      </c>
    </row>
    <row r="26" spans="1:33" ht="12.75" customHeight="1" x14ac:dyDescent="0.25">
      <c r="A26" s="476" t="s">
        <v>68</v>
      </c>
      <c r="B26" s="1171" t="s">
        <v>67</v>
      </c>
      <c r="C26" s="1145"/>
      <c r="D26" s="930">
        <f t="shared" si="18"/>
        <v>0</v>
      </c>
      <c r="E26" s="931">
        <f t="shared" si="19"/>
        <v>0</v>
      </c>
      <c r="F26" s="932">
        <f t="shared" si="20"/>
        <v>0</v>
      </c>
      <c r="G26" s="29"/>
      <c r="H26" s="27"/>
      <c r="I26" s="53">
        <f t="shared" si="1"/>
        <v>0</v>
      </c>
      <c r="J26" s="27"/>
      <c r="K26" s="27"/>
      <c r="L26" s="53">
        <f t="shared" si="2"/>
        <v>0</v>
      </c>
      <c r="M26" s="27"/>
      <c r="N26" s="27"/>
      <c r="O26" s="53">
        <f t="shared" si="3"/>
        <v>0</v>
      </c>
      <c r="P26" s="27"/>
      <c r="Q26" s="27"/>
      <c r="R26" s="53">
        <f t="shared" si="4"/>
        <v>0</v>
      </c>
      <c r="S26" s="27"/>
      <c r="T26" s="27"/>
      <c r="U26" s="53">
        <f t="shared" si="5"/>
        <v>0</v>
      </c>
      <c r="V26" s="27"/>
      <c r="W26" s="27"/>
      <c r="X26" s="53">
        <f t="shared" si="6"/>
        <v>0</v>
      </c>
      <c r="Y26" s="27"/>
      <c r="Z26" s="27"/>
      <c r="AA26" s="53">
        <f t="shared" si="7"/>
        <v>0</v>
      </c>
      <c r="AB26" s="27"/>
      <c r="AC26" s="27"/>
      <c r="AD26" s="53">
        <f t="shared" si="8"/>
        <v>0</v>
      </c>
      <c r="AE26" s="27"/>
      <c r="AF26" s="27"/>
      <c r="AG26" s="474">
        <f t="shared" si="9"/>
        <v>0</v>
      </c>
    </row>
    <row r="27" spans="1:33" ht="12.75" customHeight="1" x14ac:dyDescent="0.25">
      <c r="A27" s="476" t="s">
        <v>70</v>
      </c>
      <c r="B27" s="1171" t="s">
        <v>69</v>
      </c>
      <c r="C27" s="1145"/>
      <c r="D27" s="930">
        <f t="shared" si="18"/>
        <v>7745</v>
      </c>
      <c r="E27" s="931">
        <f t="shared" si="19"/>
        <v>1</v>
      </c>
      <c r="F27" s="932">
        <f t="shared" si="20"/>
        <v>7746</v>
      </c>
      <c r="G27" s="29"/>
      <c r="H27" s="27"/>
      <c r="I27" s="53">
        <f t="shared" si="1"/>
        <v>0</v>
      </c>
      <c r="J27" s="27"/>
      <c r="K27" s="27"/>
      <c r="L27" s="53">
        <f t="shared" si="2"/>
        <v>0</v>
      </c>
      <c r="M27" s="27">
        <v>3701</v>
      </c>
      <c r="N27" s="27"/>
      <c r="O27" s="53">
        <f t="shared" si="3"/>
        <v>3701</v>
      </c>
      <c r="P27" s="27">
        <v>157</v>
      </c>
      <c r="Q27" s="27"/>
      <c r="R27" s="53">
        <f t="shared" si="4"/>
        <v>157</v>
      </c>
      <c r="S27" s="27">
        <v>157</v>
      </c>
      <c r="T27" s="27">
        <v>1</v>
      </c>
      <c r="U27" s="53">
        <f t="shared" si="5"/>
        <v>158</v>
      </c>
      <c r="V27" s="27">
        <v>250</v>
      </c>
      <c r="W27" s="27"/>
      <c r="X27" s="53">
        <f t="shared" si="6"/>
        <v>250</v>
      </c>
      <c r="Y27" s="27">
        <v>3438</v>
      </c>
      <c r="Z27" s="27"/>
      <c r="AA27" s="53">
        <f t="shared" si="7"/>
        <v>3438</v>
      </c>
      <c r="AB27" s="27"/>
      <c r="AC27" s="27"/>
      <c r="AD27" s="53">
        <f t="shared" si="8"/>
        <v>0</v>
      </c>
      <c r="AE27" s="27">
        <v>42</v>
      </c>
      <c r="AF27" s="27"/>
      <c r="AG27" s="474">
        <f t="shared" si="9"/>
        <v>42</v>
      </c>
    </row>
    <row r="28" spans="1:33" s="42" customFormat="1" ht="12.75" customHeight="1" x14ac:dyDescent="0.2">
      <c r="A28" s="473" t="s">
        <v>71</v>
      </c>
      <c r="B28" s="1170" t="s">
        <v>155</v>
      </c>
      <c r="C28" s="1143"/>
      <c r="D28" s="930">
        <f t="shared" si="18"/>
        <v>7745</v>
      </c>
      <c r="E28" s="931">
        <f t="shared" si="19"/>
        <v>1</v>
      </c>
      <c r="F28" s="932">
        <f t="shared" si="20"/>
        <v>7746</v>
      </c>
      <c r="G28" s="535">
        <f>SUM(G26:G27)</f>
        <v>0</v>
      </c>
      <c r="H28" s="53">
        <f t="shared" ref="H28:AC28" si="24">SUM(H26:H27)</f>
        <v>0</v>
      </c>
      <c r="I28" s="53">
        <f t="shared" si="1"/>
        <v>0</v>
      </c>
      <c r="J28" s="53">
        <f t="shared" si="24"/>
        <v>0</v>
      </c>
      <c r="K28" s="53">
        <f t="shared" si="24"/>
        <v>0</v>
      </c>
      <c r="L28" s="53">
        <f t="shared" si="2"/>
        <v>0</v>
      </c>
      <c r="M28" s="53">
        <f t="shared" si="24"/>
        <v>3701</v>
      </c>
      <c r="N28" s="53">
        <f t="shared" si="24"/>
        <v>0</v>
      </c>
      <c r="O28" s="53">
        <f t="shared" si="3"/>
        <v>3701</v>
      </c>
      <c r="P28" s="53">
        <f t="shared" si="24"/>
        <v>157</v>
      </c>
      <c r="Q28" s="53">
        <f t="shared" si="24"/>
        <v>0</v>
      </c>
      <c r="R28" s="53">
        <f t="shared" si="4"/>
        <v>157</v>
      </c>
      <c r="S28" s="53">
        <f t="shared" si="24"/>
        <v>157</v>
      </c>
      <c r="T28" s="53">
        <f t="shared" si="24"/>
        <v>1</v>
      </c>
      <c r="U28" s="53">
        <f t="shared" si="5"/>
        <v>158</v>
      </c>
      <c r="V28" s="53">
        <f t="shared" si="24"/>
        <v>250</v>
      </c>
      <c r="W28" s="53">
        <f t="shared" si="24"/>
        <v>0</v>
      </c>
      <c r="X28" s="53">
        <f t="shared" si="6"/>
        <v>250</v>
      </c>
      <c r="Y28" s="53">
        <f t="shared" si="24"/>
        <v>3438</v>
      </c>
      <c r="Z28" s="53">
        <f t="shared" si="24"/>
        <v>0</v>
      </c>
      <c r="AA28" s="53">
        <f t="shared" si="7"/>
        <v>3438</v>
      </c>
      <c r="AB28" s="53">
        <f t="shared" si="24"/>
        <v>0</v>
      </c>
      <c r="AC28" s="53">
        <f t="shared" si="24"/>
        <v>0</v>
      </c>
      <c r="AD28" s="53">
        <f t="shared" si="8"/>
        <v>0</v>
      </c>
      <c r="AE28" s="53">
        <f>SUM(AE26:AE27)</f>
        <v>42</v>
      </c>
      <c r="AF28" s="53">
        <f>SUM(AF26:AF27)</f>
        <v>0</v>
      </c>
      <c r="AG28" s="474">
        <f t="shared" si="9"/>
        <v>42</v>
      </c>
    </row>
    <row r="29" spans="1:33" ht="12.75" customHeight="1" x14ac:dyDescent="0.25">
      <c r="A29" s="476" t="s">
        <v>73</v>
      </c>
      <c r="B29" s="1171" t="s">
        <v>72</v>
      </c>
      <c r="C29" s="1145"/>
      <c r="D29" s="930">
        <f t="shared" si="18"/>
        <v>7163</v>
      </c>
      <c r="E29" s="931">
        <f t="shared" si="19"/>
        <v>125</v>
      </c>
      <c r="F29" s="932">
        <f t="shared" si="20"/>
        <v>7288</v>
      </c>
      <c r="G29" s="29">
        <v>1936</v>
      </c>
      <c r="H29" s="27"/>
      <c r="I29" s="53">
        <f t="shared" si="1"/>
        <v>1936</v>
      </c>
      <c r="J29" s="27">
        <v>262</v>
      </c>
      <c r="K29" s="27">
        <v>9</v>
      </c>
      <c r="L29" s="53">
        <f t="shared" si="2"/>
        <v>271</v>
      </c>
      <c r="M29" s="27">
        <v>1757</v>
      </c>
      <c r="N29" s="27"/>
      <c r="O29" s="53">
        <f t="shared" si="3"/>
        <v>1757</v>
      </c>
      <c r="P29" s="27">
        <v>371</v>
      </c>
      <c r="Q29" s="27">
        <v>46</v>
      </c>
      <c r="R29" s="53">
        <f t="shared" si="4"/>
        <v>417</v>
      </c>
      <c r="S29" s="27">
        <v>589</v>
      </c>
      <c r="T29" s="27">
        <v>70</v>
      </c>
      <c r="U29" s="53">
        <f t="shared" si="5"/>
        <v>659</v>
      </c>
      <c r="V29" s="27">
        <v>812</v>
      </c>
      <c r="W29" s="27"/>
      <c r="X29" s="53">
        <f t="shared" si="6"/>
        <v>812</v>
      </c>
      <c r="Y29" s="27">
        <v>928</v>
      </c>
      <c r="Z29" s="27"/>
      <c r="AA29" s="53">
        <f t="shared" si="7"/>
        <v>928</v>
      </c>
      <c r="AB29" s="27">
        <v>215</v>
      </c>
      <c r="AC29" s="27"/>
      <c r="AD29" s="53">
        <f t="shared" si="8"/>
        <v>215</v>
      </c>
      <c r="AE29" s="27">
        <v>293</v>
      </c>
      <c r="AF29" s="27"/>
      <c r="AG29" s="474">
        <f t="shared" si="9"/>
        <v>293</v>
      </c>
    </row>
    <row r="30" spans="1:33" ht="12.75" customHeight="1" x14ac:dyDescent="0.25">
      <c r="A30" s="476" t="s">
        <v>75</v>
      </c>
      <c r="B30" s="1171" t="s">
        <v>74</v>
      </c>
      <c r="C30" s="1145"/>
      <c r="D30" s="930">
        <f t="shared" si="18"/>
        <v>113946</v>
      </c>
      <c r="E30" s="931">
        <f t="shared" si="19"/>
        <v>0</v>
      </c>
      <c r="F30" s="932">
        <f t="shared" si="20"/>
        <v>113946</v>
      </c>
      <c r="G30" s="29">
        <v>50668</v>
      </c>
      <c r="H30" s="27"/>
      <c r="I30" s="53">
        <f t="shared" si="1"/>
        <v>50668</v>
      </c>
      <c r="J30" s="27">
        <v>38527</v>
      </c>
      <c r="K30" s="27"/>
      <c r="L30" s="53">
        <f t="shared" si="2"/>
        <v>38527</v>
      </c>
      <c r="M30" s="27"/>
      <c r="N30" s="27"/>
      <c r="O30" s="53">
        <f t="shared" si="3"/>
        <v>0</v>
      </c>
      <c r="P30" s="27"/>
      <c r="Q30" s="27"/>
      <c r="R30" s="53">
        <f t="shared" si="4"/>
        <v>0</v>
      </c>
      <c r="S30" s="27"/>
      <c r="T30" s="27"/>
      <c r="U30" s="53">
        <f t="shared" si="5"/>
        <v>0</v>
      </c>
      <c r="V30" s="27"/>
      <c r="W30" s="27"/>
      <c r="X30" s="53">
        <f t="shared" si="6"/>
        <v>0</v>
      </c>
      <c r="Y30" s="27">
        <v>24751</v>
      </c>
      <c r="Z30" s="27"/>
      <c r="AA30" s="53">
        <f t="shared" si="7"/>
        <v>24751</v>
      </c>
      <c r="AB30" s="27"/>
      <c r="AC30" s="27"/>
      <c r="AD30" s="53">
        <f t="shared" si="8"/>
        <v>0</v>
      </c>
      <c r="AE30" s="27"/>
      <c r="AF30" s="27"/>
      <c r="AG30" s="474">
        <f t="shared" si="9"/>
        <v>0</v>
      </c>
    </row>
    <row r="31" spans="1:33" ht="12.75" customHeight="1" x14ac:dyDescent="0.25">
      <c r="A31" s="476" t="s">
        <v>76</v>
      </c>
      <c r="B31" s="1171" t="s">
        <v>154</v>
      </c>
      <c r="C31" s="1145"/>
      <c r="D31" s="930">
        <f t="shared" si="18"/>
        <v>0</v>
      </c>
      <c r="E31" s="931">
        <f t="shared" si="19"/>
        <v>0</v>
      </c>
      <c r="F31" s="932">
        <f t="shared" si="20"/>
        <v>0</v>
      </c>
      <c r="G31" s="29"/>
      <c r="H31" s="27"/>
      <c r="I31" s="53">
        <f t="shared" si="1"/>
        <v>0</v>
      </c>
      <c r="J31" s="27"/>
      <c r="K31" s="27"/>
      <c r="L31" s="53">
        <f t="shared" si="2"/>
        <v>0</v>
      </c>
      <c r="M31" s="27"/>
      <c r="N31" s="27"/>
      <c r="O31" s="53">
        <f t="shared" si="3"/>
        <v>0</v>
      </c>
      <c r="P31" s="27"/>
      <c r="Q31" s="27"/>
      <c r="R31" s="53">
        <f t="shared" si="4"/>
        <v>0</v>
      </c>
      <c r="S31" s="27"/>
      <c r="T31" s="27"/>
      <c r="U31" s="53">
        <f t="shared" si="5"/>
        <v>0</v>
      </c>
      <c r="V31" s="27"/>
      <c r="W31" s="27"/>
      <c r="X31" s="53">
        <f t="shared" si="6"/>
        <v>0</v>
      </c>
      <c r="Y31" s="27"/>
      <c r="Z31" s="27"/>
      <c r="AA31" s="53">
        <f t="shared" si="7"/>
        <v>0</v>
      </c>
      <c r="AB31" s="27"/>
      <c r="AC31" s="27"/>
      <c r="AD31" s="53">
        <f t="shared" si="8"/>
        <v>0</v>
      </c>
      <c r="AE31" s="27"/>
      <c r="AF31" s="27"/>
      <c r="AG31" s="474">
        <f t="shared" si="9"/>
        <v>0</v>
      </c>
    </row>
    <row r="32" spans="1:33" ht="12.75" customHeight="1" x14ac:dyDescent="0.25">
      <c r="A32" s="476" t="s">
        <v>77</v>
      </c>
      <c r="B32" s="1171" t="s">
        <v>153</v>
      </c>
      <c r="C32" s="1145"/>
      <c r="D32" s="930">
        <f t="shared" si="18"/>
        <v>0</v>
      </c>
      <c r="E32" s="931">
        <f t="shared" si="19"/>
        <v>0</v>
      </c>
      <c r="F32" s="932">
        <f t="shared" si="20"/>
        <v>0</v>
      </c>
      <c r="G32" s="29"/>
      <c r="H32" s="27"/>
      <c r="I32" s="53">
        <f t="shared" si="1"/>
        <v>0</v>
      </c>
      <c r="J32" s="27"/>
      <c r="K32" s="27"/>
      <c r="L32" s="53">
        <f t="shared" si="2"/>
        <v>0</v>
      </c>
      <c r="M32" s="27"/>
      <c r="N32" s="27"/>
      <c r="O32" s="53">
        <f t="shared" si="3"/>
        <v>0</v>
      </c>
      <c r="P32" s="27"/>
      <c r="Q32" s="27"/>
      <c r="R32" s="53">
        <f t="shared" si="4"/>
        <v>0</v>
      </c>
      <c r="S32" s="27"/>
      <c r="T32" s="27"/>
      <c r="U32" s="53">
        <f t="shared" si="5"/>
        <v>0</v>
      </c>
      <c r="V32" s="27"/>
      <c r="W32" s="27"/>
      <c r="X32" s="53">
        <f t="shared" si="6"/>
        <v>0</v>
      </c>
      <c r="Y32" s="27"/>
      <c r="Z32" s="27"/>
      <c r="AA32" s="53">
        <f t="shared" si="7"/>
        <v>0</v>
      </c>
      <c r="AB32" s="27"/>
      <c r="AC32" s="27"/>
      <c r="AD32" s="53">
        <f t="shared" si="8"/>
        <v>0</v>
      </c>
      <c r="AE32" s="27"/>
      <c r="AF32" s="27"/>
      <c r="AG32" s="474">
        <f t="shared" si="9"/>
        <v>0</v>
      </c>
    </row>
    <row r="33" spans="1:33" ht="12.75" customHeight="1" x14ac:dyDescent="0.25">
      <c r="A33" s="476" t="s">
        <v>79</v>
      </c>
      <c r="B33" s="1171" t="s">
        <v>78</v>
      </c>
      <c r="C33" s="1145"/>
      <c r="D33" s="930">
        <f t="shared" si="18"/>
        <v>11101</v>
      </c>
      <c r="E33" s="931">
        <f t="shared" si="19"/>
        <v>-778</v>
      </c>
      <c r="F33" s="932">
        <f t="shared" si="20"/>
        <v>10323</v>
      </c>
      <c r="G33" s="29">
        <v>5483</v>
      </c>
      <c r="H33" s="27"/>
      <c r="I33" s="53">
        <f t="shared" si="1"/>
        <v>5483</v>
      </c>
      <c r="J33" s="27">
        <v>787</v>
      </c>
      <c r="K33" s="27"/>
      <c r="L33" s="53">
        <f t="shared" si="2"/>
        <v>787</v>
      </c>
      <c r="M33" s="27">
        <v>1116</v>
      </c>
      <c r="N33" s="27"/>
      <c r="O33" s="53">
        <f t="shared" si="3"/>
        <v>1116</v>
      </c>
      <c r="P33" s="27">
        <v>486</v>
      </c>
      <c r="Q33" s="27">
        <v>-151</v>
      </c>
      <c r="R33" s="53">
        <f t="shared" si="4"/>
        <v>335</v>
      </c>
      <c r="S33" s="27">
        <v>754</v>
      </c>
      <c r="T33" s="27">
        <v>-627</v>
      </c>
      <c r="U33" s="53">
        <f t="shared" si="5"/>
        <v>127</v>
      </c>
      <c r="V33" s="27">
        <v>1180</v>
      </c>
      <c r="W33" s="27"/>
      <c r="X33" s="53">
        <f t="shared" si="6"/>
        <v>1180</v>
      </c>
      <c r="Y33" s="27"/>
      <c r="Z33" s="27"/>
      <c r="AA33" s="53">
        <f t="shared" si="7"/>
        <v>0</v>
      </c>
      <c r="AB33" s="27">
        <v>760</v>
      </c>
      <c r="AC33" s="27"/>
      <c r="AD33" s="53">
        <f t="shared" si="8"/>
        <v>760</v>
      </c>
      <c r="AE33" s="27">
        <v>535</v>
      </c>
      <c r="AF33" s="27"/>
      <c r="AG33" s="474">
        <f t="shared" si="9"/>
        <v>535</v>
      </c>
    </row>
    <row r="34" spans="1:33" s="42" customFormat="1" ht="12.75" customHeight="1" x14ac:dyDescent="0.2">
      <c r="A34" s="473" t="s">
        <v>80</v>
      </c>
      <c r="B34" s="1170" t="s">
        <v>152</v>
      </c>
      <c r="C34" s="1143"/>
      <c r="D34" s="930">
        <f t="shared" si="18"/>
        <v>132210</v>
      </c>
      <c r="E34" s="931">
        <f t="shared" si="19"/>
        <v>-653</v>
      </c>
      <c r="F34" s="932">
        <f t="shared" si="20"/>
        <v>131557</v>
      </c>
      <c r="G34" s="535">
        <f>SUM(G29:G33)</f>
        <v>58087</v>
      </c>
      <c r="H34" s="53">
        <f t="shared" ref="H34:AC34" si="25">SUM(H29:H33)</f>
        <v>0</v>
      </c>
      <c r="I34" s="53">
        <f t="shared" si="1"/>
        <v>58087</v>
      </c>
      <c r="J34" s="53">
        <f t="shared" si="25"/>
        <v>39576</v>
      </c>
      <c r="K34" s="53">
        <f t="shared" si="25"/>
        <v>9</v>
      </c>
      <c r="L34" s="53">
        <f t="shared" si="2"/>
        <v>39585</v>
      </c>
      <c r="M34" s="53">
        <f t="shared" ref="M34:N34" si="26">SUM(M29:M33)</f>
        <v>2873</v>
      </c>
      <c r="N34" s="53">
        <f t="shared" si="26"/>
        <v>0</v>
      </c>
      <c r="O34" s="53">
        <f t="shared" si="3"/>
        <v>2873</v>
      </c>
      <c r="P34" s="53">
        <f t="shared" ref="P34:V34" si="27">SUM(P29:P33)</f>
        <v>857</v>
      </c>
      <c r="Q34" s="53">
        <f t="shared" si="27"/>
        <v>-105</v>
      </c>
      <c r="R34" s="53">
        <f t="shared" si="4"/>
        <v>752</v>
      </c>
      <c r="S34" s="53">
        <f t="shared" ref="S34:T34" si="28">SUM(S29:S33)</f>
        <v>1343</v>
      </c>
      <c r="T34" s="53">
        <f t="shared" si="28"/>
        <v>-557</v>
      </c>
      <c r="U34" s="53">
        <f t="shared" si="5"/>
        <v>786</v>
      </c>
      <c r="V34" s="53">
        <f t="shared" si="27"/>
        <v>1992</v>
      </c>
      <c r="W34" s="53">
        <f t="shared" ref="W34" si="29">SUM(W29:W33)</f>
        <v>0</v>
      </c>
      <c r="X34" s="53">
        <f t="shared" si="6"/>
        <v>1992</v>
      </c>
      <c r="Y34" s="53">
        <f t="shared" ref="Y34:Z34" si="30">SUM(Y29:Y33)</f>
        <v>25679</v>
      </c>
      <c r="Z34" s="53">
        <f t="shared" si="30"/>
        <v>0</v>
      </c>
      <c r="AA34" s="53">
        <f t="shared" si="7"/>
        <v>25679</v>
      </c>
      <c r="AB34" s="53">
        <f t="shared" si="25"/>
        <v>975</v>
      </c>
      <c r="AC34" s="53">
        <f t="shared" si="25"/>
        <v>0</v>
      </c>
      <c r="AD34" s="53">
        <f t="shared" si="8"/>
        <v>975</v>
      </c>
      <c r="AE34" s="53">
        <f>SUM(AE29:AE33)</f>
        <v>828</v>
      </c>
      <c r="AF34" s="53">
        <f>SUM(AF29:AF33)</f>
        <v>0</v>
      </c>
      <c r="AG34" s="474">
        <f t="shared" si="9"/>
        <v>828</v>
      </c>
    </row>
    <row r="35" spans="1:33" s="42" customFormat="1" ht="12.75" customHeight="1" x14ac:dyDescent="0.2">
      <c r="A35" s="473" t="s">
        <v>81</v>
      </c>
      <c r="B35" s="1170" t="s">
        <v>151</v>
      </c>
      <c r="C35" s="1143"/>
      <c r="D35" s="930">
        <f t="shared" si="18"/>
        <v>153292</v>
      </c>
      <c r="E35" s="931">
        <f t="shared" si="19"/>
        <v>-669</v>
      </c>
      <c r="F35" s="932">
        <f t="shared" si="20"/>
        <v>152623</v>
      </c>
      <c r="G35" s="535">
        <f t="shared" ref="G35:AF35" si="31">+G34+G28+G25+G17+G14</f>
        <v>64243</v>
      </c>
      <c r="H35" s="53">
        <f t="shared" si="31"/>
        <v>-350</v>
      </c>
      <c r="I35" s="53">
        <f t="shared" si="1"/>
        <v>63893</v>
      </c>
      <c r="J35" s="53">
        <f t="shared" si="31"/>
        <v>39757</v>
      </c>
      <c r="K35" s="53">
        <f>+K34+K28+K25+K17+K14</f>
        <v>42</v>
      </c>
      <c r="L35" s="53">
        <f t="shared" si="2"/>
        <v>39799</v>
      </c>
      <c r="M35" s="53">
        <f t="shared" si="31"/>
        <v>8268</v>
      </c>
      <c r="N35" s="53">
        <f t="shared" si="31"/>
        <v>0</v>
      </c>
      <c r="O35" s="53">
        <f t="shared" si="3"/>
        <v>8268</v>
      </c>
      <c r="P35" s="53">
        <f t="shared" ref="P35:V35" si="32">+P34+P28+P25+P17+P14</f>
        <v>1991</v>
      </c>
      <c r="Q35" s="53">
        <f t="shared" si="32"/>
        <v>11</v>
      </c>
      <c r="R35" s="53">
        <f t="shared" si="4"/>
        <v>2002</v>
      </c>
      <c r="S35" s="53">
        <f t="shared" ref="S35:T35" si="33">+S34+S28+S25+S17+S14</f>
        <v>3601</v>
      </c>
      <c r="T35" s="53">
        <f t="shared" si="33"/>
        <v>-372</v>
      </c>
      <c r="U35" s="53">
        <f t="shared" si="5"/>
        <v>3229</v>
      </c>
      <c r="V35" s="53">
        <f t="shared" si="32"/>
        <v>3817</v>
      </c>
      <c r="W35" s="53">
        <f t="shared" ref="W35" si="34">+W34+W28+W25+W17+W14</f>
        <v>0</v>
      </c>
      <c r="X35" s="53">
        <f t="shared" si="6"/>
        <v>3817</v>
      </c>
      <c r="Y35" s="53">
        <f t="shared" ref="Y35:Z35" si="35">+Y34+Y28+Y25+Y17+Y14</f>
        <v>29117</v>
      </c>
      <c r="Z35" s="53">
        <f t="shared" si="35"/>
        <v>0</v>
      </c>
      <c r="AA35" s="53">
        <f t="shared" si="7"/>
        <v>29117</v>
      </c>
      <c r="AB35" s="53">
        <f t="shared" si="31"/>
        <v>1075</v>
      </c>
      <c r="AC35" s="53">
        <f t="shared" si="31"/>
        <v>0</v>
      </c>
      <c r="AD35" s="53">
        <f t="shared" si="8"/>
        <v>1075</v>
      </c>
      <c r="AE35" s="53">
        <f t="shared" si="31"/>
        <v>1423</v>
      </c>
      <c r="AF35" s="53">
        <f t="shared" si="31"/>
        <v>0</v>
      </c>
      <c r="AG35" s="474">
        <f t="shared" si="9"/>
        <v>1423</v>
      </c>
    </row>
    <row r="36" spans="1:33" ht="12" customHeight="1" x14ac:dyDescent="0.25">
      <c r="A36" s="475"/>
      <c r="B36" s="1192"/>
      <c r="C36" s="1193"/>
      <c r="D36" s="933"/>
      <c r="E36" s="933"/>
      <c r="F36" s="934"/>
      <c r="G36" s="56"/>
      <c r="H36" s="56"/>
      <c r="I36" s="192"/>
      <c r="J36" s="56"/>
      <c r="K36" s="56"/>
      <c r="L36" s="192"/>
      <c r="M36" s="56"/>
      <c r="N36" s="56"/>
      <c r="O36" s="192"/>
      <c r="P36" s="56"/>
      <c r="Q36" s="56"/>
      <c r="R36" s="192"/>
      <c r="S36" s="56"/>
      <c r="T36" s="56"/>
      <c r="U36" s="192"/>
      <c r="V36" s="56"/>
      <c r="W36" s="56"/>
      <c r="X36" s="192"/>
      <c r="Y36" s="56"/>
      <c r="Z36" s="56"/>
      <c r="AA36" s="192"/>
      <c r="AB36" s="56"/>
      <c r="AC36" s="56"/>
      <c r="AD36" s="192"/>
      <c r="AE36" s="56"/>
      <c r="AF36" s="56"/>
      <c r="AG36" s="536"/>
    </row>
    <row r="37" spans="1:33" ht="12.75" customHeight="1" x14ac:dyDescent="0.25">
      <c r="A37" s="476" t="s">
        <v>96</v>
      </c>
      <c r="B37" s="1166" t="s">
        <v>95</v>
      </c>
      <c r="C37" s="1218"/>
      <c r="D37" s="930">
        <f t="shared" ref="D37:F43" si="36">+G37+J37+AB37+AE37+M37+V37+Y37+P37+S37</f>
        <v>0</v>
      </c>
      <c r="E37" s="931">
        <f t="shared" si="36"/>
        <v>0</v>
      </c>
      <c r="F37" s="932">
        <f t="shared" si="36"/>
        <v>0</v>
      </c>
      <c r="G37" s="29"/>
      <c r="H37" s="27"/>
      <c r="I37" s="53">
        <f t="shared" si="1"/>
        <v>0</v>
      </c>
      <c r="J37" s="27"/>
      <c r="K37" s="27"/>
      <c r="L37" s="53">
        <f t="shared" si="2"/>
        <v>0</v>
      </c>
      <c r="M37" s="27"/>
      <c r="N37" s="27"/>
      <c r="O37" s="53">
        <f t="shared" si="3"/>
        <v>0</v>
      </c>
      <c r="P37" s="27"/>
      <c r="Q37" s="27"/>
      <c r="R37" s="53">
        <f t="shared" si="4"/>
        <v>0</v>
      </c>
      <c r="S37" s="27"/>
      <c r="T37" s="27"/>
      <c r="U37" s="53">
        <f t="shared" si="5"/>
        <v>0</v>
      </c>
      <c r="V37" s="27"/>
      <c r="W37" s="27"/>
      <c r="X37" s="53">
        <f t="shared" si="6"/>
        <v>0</v>
      </c>
      <c r="Y37" s="27"/>
      <c r="Z37" s="27"/>
      <c r="AA37" s="53">
        <f t="shared" si="7"/>
        <v>0</v>
      </c>
      <c r="AB37" s="27"/>
      <c r="AC37" s="27"/>
      <c r="AD37" s="53">
        <f t="shared" si="8"/>
        <v>0</v>
      </c>
      <c r="AE37" s="27"/>
      <c r="AF37" s="27"/>
      <c r="AG37" s="474">
        <f t="shared" si="9"/>
        <v>0</v>
      </c>
    </row>
    <row r="38" spans="1:33" ht="12.75" customHeight="1" x14ac:dyDescent="0.25">
      <c r="A38" s="476" t="s">
        <v>98</v>
      </c>
      <c r="B38" s="1166" t="s">
        <v>97</v>
      </c>
      <c r="C38" s="1218"/>
      <c r="D38" s="930">
        <f t="shared" si="36"/>
        <v>0</v>
      </c>
      <c r="E38" s="931">
        <f t="shared" si="36"/>
        <v>0</v>
      </c>
      <c r="F38" s="932">
        <f t="shared" si="36"/>
        <v>0</v>
      </c>
      <c r="G38" s="29"/>
      <c r="H38" s="27"/>
      <c r="I38" s="53">
        <f t="shared" si="1"/>
        <v>0</v>
      </c>
      <c r="J38" s="27"/>
      <c r="K38" s="27"/>
      <c r="L38" s="53">
        <f t="shared" si="2"/>
        <v>0</v>
      </c>
      <c r="M38" s="27"/>
      <c r="N38" s="27"/>
      <c r="O38" s="53">
        <f t="shared" si="3"/>
        <v>0</v>
      </c>
      <c r="P38" s="27"/>
      <c r="Q38" s="27"/>
      <c r="R38" s="53">
        <f t="shared" si="4"/>
        <v>0</v>
      </c>
      <c r="S38" s="27"/>
      <c r="T38" s="27"/>
      <c r="U38" s="53">
        <f t="shared" si="5"/>
        <v>0</v>
      </c>
      <c r="V38" s="27"/>
      <c r="W38" s="27"/>
      <c r="X38" s="53">
        <f t="shared" si="6"/>
        <v>0</v>
      </c>
      <c r="Y38" s="27"/>
      <c r="Z38" s="27"/>
      <c r="AA38" s="53">
        <f t="shared" si="7"/>
        <v>0</v>
      </c>
      <c r="AB38" s="27"/>
      <c r="AC38" s="27"/>
      <c r="AD38" s="53">
        <f t="shared" si="8"/>
        <v>0</v>
      </c>
      <c r="AE38" s="27"/>
      <c r="AF38" s="27"/>
      <c r="AG38" s="474">
        <f t="shared" si="9"/>
        <v>0</v>
      </c>
    </row>
    <row r="39" spans="1:33" ht="23.25" customHeight="1" x14ac:dyDescent="0.25">
      <c r="A39" s="476" t="s">
        <v>101</v>
      </c>
      <c r="B39" s="1166" t="s">
        <v>165</v>
      </c>
      <c r="C39" s="1218"/>
      <c r="D39" s="930">
        <f t="shared" si="36"/>
        <v>0</v>
      </c>
      <c r="E39" s="931">
        <f t="shared" si="36"/>
        <v>0</v>
      </c>
      <c r="F39" s="932">
        <f t="shared" si="36"/>
        <v>0</v>
      </c>
      <c r="G39" s="29"/>
      <c r="H39" s="27"/>
      <c r="I39" s="53">
        <f t="shared" si="1"/>
        <v>0</v>
      </c>
      <c r="J39" s="27"/>
      <c r="K39" s="27"/>
      <c r="L39" s="53">
        <f t="shared" si="2"/>
        <v>0</v>
      </c>
      <c r="M39" s="27"/>
      <c r="N39" s="27"/>
      <c r="O39" s="53">
        <f t="shared" si="3"/>
        <v>0</v>
      </c>
      <c r="P39" s="27"/>
      <c r="Q39" s="27"/>
      <c r="R39" s="53">
        <f t="shared" si="4"/>
        <v>0</v>
      </c>
      <c r="S39" s="27"/>
      <c r="T39" s="27"/>
      <c r="U39" s="53">
        <f t="shared" si="5"/>
        <v>0</v>
      </c>
      <c r="V39" s="27"/>
      <c r="W39" s="27"/>
      <c r="X39" s="53">
        <f t="shared" si="6"/>
        <v>0</v>
      </c>
      <c r="Y39" s="27"/>
      <c r="Z39" s="27"/>
      <c r="AA39" s="53">
        <f t="shared" si="7"/>
        <v>0</v>
      </c>
      <c r="AB39" s="27"/>
      <c r="AC39" s="27"/>
      <c r="AD39" s="53">
        <f t="shared" si="8"/>
        <v>0</v>
      </c>
      <c r="AE39" s="27"/>
      <c r="AF39" s="27"/>
      <c r="AG39" s="474">
        <f t="shared" si="9"/>
        <v>0</v>
      </c>
    </row>
    <row r="40" spans="1:33" ht="25.5" customHeight="1" x14ac:dyDescent="0.25">
      <c r="A40" s="476" t="s">
        <v>103</v>
      </c>
      <c r="B40" s="1166" t="s">
        <v>102</v>
      </c>
      <c r="C40" s="1218"/>
      <c r="D40" s="930">
        <f t="shared" si="36"/>
        <v>0</v>
      </c>
      <c r="E40" s="931">
        <f t="shared" si="36"/>
        <v>0</v>
      </c>
      <c r="F40" s="932">
        <f t="shared" si="36"/>
        <v>0</v>
      </c>
      <c r="G40" s="29"/>
      <c r="H40" s="27"/>
      <c r="I40" s="53">
        <f t="shared" si="1"/>
        <v>0</v>
      </c>
      <c r="J40" s="27"/>
      <c r="K40" s="27"/>
      <c r="L40" s="53">
        <f t="shared" si="2"/>
        <v>0</v>
      </c>
      <c r="M40" s="27"/>
      <c r="N40" s="27"/>
      <c r="O40" s="53">
        <f t="shared" si="3"/>
        <v>0</v>
      </c>
      <c r="P40" s="27"/>
      <c r="Q40" s="27"/>
      <c r="R40" s="53">
        <f t="shared" si="4"/>
        <v>0</v>
      </c>
      <c r="S40" s="27"/>
      <c r="T40" s="27"/>
      <c r="U40" s="53">
        <f t="shared" si="5"/>
        <v>0</v>
      </c>
      <c r="V40" s="27"/>
      <c r="W40" s="27"/>
      <c r="X40" s="53">
        <f t="shared" si="6"/>
        <v>0</v>
      </c>
      <c r="Y40" s="27"/>
      <c r="Z40" s="27"/>
      <c r="AA40" s="53">
        <f t="shared" si="7"/>
        <v>0</v>
      </c>
      <c r="AB40" s="27"/>
      <c r="AC40" s="27"/>
      <c r="AD40" s="53">
        <f t="shared" si="8"/>
        <v>0</v>
      </c>
      <c r="AE40" s="27"/>
      <c r="AF40" s="27"/>
      <c r="AG40" s="474">
        <f t="shared" si="9"/>
        <v>0</v>
      </c>
    </row>
    <row r="41" spans="1:33" ht="27" customHeight="1" x14ac:dyDescent="0.25">
      <c r="A41" s="476" t="s">
        <v>107</v>
      </c>
      <c r="B41" s="1166" t="s">
        <v>164</v>
      </c>
      <c r="C41" s="1218"/>
      <c r="D41" s="930">
        <f t="shared" si="36"/>
        <v>0</v>
      </c>
      <c r="E41" s="931">
        <f t="shared" si="36"/>
        <v>0</v>
      </c>
      <c r="F41" s="932">
        <f t="shared" si="36"/>
        <v>0</v>
      </c>
      <c r="G41" s="29"/>
      <c r="H41" s="27"/>
      <c r="I41" s="53">
        <f t="shared" si="1"/>
        <v>0</v>
      </c>
      <c r="J41" s="27"/>
      <c r="K41" s="27"/>
      <c r="L41" s="53">
        <f t="shared" si="2"/>
        <v>0</v>
      </c>
      <c r="M41" s="27"/>
      <c r="N41" s="27"/>
      <c r="O41" s="53">
        <f t="shared" si="3"/>
        <v>0</v>
      </c>
      <c r="P41" s="27"/>
      <c r="Q41" s="27"/>
      <c r="R41" s="53">
        <f t="shared" si="4"/>
        <v>0</v>
      </c>
      <c r="S41" s="27"/>
      <c r="T41" s="27"/>
      <c r="U41" s="53">
        <f t="shared" si="5"/>
        <v>0</v>
      </c>
      <c r="V41" s="27"/>
      <c r="W41" s="27"/>
      <c r="X41" s="53">
        <f t="shared" si="6"/>
        <v>0</v>
      </c>
      <c r="Y41" s="27"/>
      <c r="Z41" s="27"/>
      <c r="AA41" s="53">
        <f t="shared" si="7"/>
        <v>0</v>
      </c>
      <c r="AB41" s="27"/>
      <c r="AC41" s="27"/>
      <c r="AD41" s="53">
        <f t="shared" si="8"/>
        <v>0</v>
      </c>
      <c r="AE41" s="27"/>
      <c r="AF41" s="27"/>
      <c r="AG41" s="474">
        <f t="shared" si="9"/>
        <v>0</v>
      </c>
    </row>
    <row r="42" spans="1:33" ht="12.75" customHeight="1" x14ac:dyDescent="0.25">
      <c r="A42" s="476" t="s">
        <v>620</v>
      </c>
      <c r="B42" s="1171" t="s">
        <v>106</v>
      </c>
      <c r="C42" s="1145"/>
      <c r="D42" s="930">
        <f t="shared" si="36"/>
        <v>0</v>
      </c>
      <c r="E42" s="931">
        <f t="shared" si="36"/>
        <v>0</v>
      </c>
      <c r="F42" s="932">
        <f t="shared" si="36"/>
        <v>0</v>
      </c>
      <c r="G42" s="29"/>
      <c r="H42" s="27"/>
      <c r="I42" s="53">
        <f t="shared" si="1"/>
        <v>0</v>
      </c>
      <c r="J42" s="27"/>
      <c r="K42" s="27"/>
      <c r="L42" s="53">
        <f t="shared" si="2"/>
        <v>0</v>
      </c>
      <c r="M42" s="27"/>
      <c r="N42" s="27"/>
      <c r="O42" s="53">
        <f t="shared" si="3"/>
        <v>0</v>
      </c>
      <c r="P42" s="27"/>
      <c r="Q42" s="27"/>
      <c r="R42" s="53">
        <f t="shared" si="4"/>
        <v>0</v>
      </c>
      <c r="S42" s="27"/>
      <c r="T42" s="27"/>
      <c r="U42" s="53">
        <f t="shared" si="5"/>
        <v>0</v>
      </c>
      <c r="V42" s="27"/>
      <c r="W42" s="27"/>
      <c r="X42" s="53">
        <f t="shared" si="6"/>
        <v>0</v>
      </c>
      <c r="Y42" s="27"/>
      <c r="Z42" s="27"/>
      <c r="AA42" s="53">
        <f t="shared" si="7"/>
        <v>0</v>
      </c>
      <c r="AB42" s="27"/>
      <c r="AC42" s="27"/>
      <c r="AD42" s="53">
        <f t="shared" si="8"/>
        <v>0</v>
      </c>
      <c r="AE42" s="27"/>
      <c r="AF42" s="27"/>
      <c r="AG42" s="474">
        <f t="shared" si="9"/>
        <v>0</v>
      </c>
    </row>
    <row r="43" spans="1:33" s="42" customFormat="1" ht="12.75" customHeight="1" x14ac:dyDescent="0.2">
      <c r="A43" s="473" t="s">
        <v>108</v>
      </c>
      <c r="B43" s="1170" t="s">
        <v>163</v>
      </c>
      <c r="C43" s="1143"/>
      <c r="D43" s="930">
        <f t="shared" si="36"/>
        <v>0</v>
      </c>
      <c r="E43" s="931">
        <f t="shared" si="36"/>
        <v>0</v>
      </c>
      <c r="F43" s="932">
        <f t="shared" si="36"/>
        <v>0</v>
      </c>
      <c r="G43" s="535"/>
      <c r="H43" s="53"/>
      <c r="I43" s="53">
        <f t="shared" si="1"/>
        <v>0</v>
      </c>
      <c r="J43" s="53"/>
      <c r="K43" s="53"/>
      <c r="L43" s="53">
        <f t="shared" si="2"/>
        <v>0</v>
      </c>
      <c r="M43" s="53"/>
      <c r="N43" s="53"/>
      <c r="O43" s="53">
        <f t="shared" si="3"/>
        <v>0</v>
      </c>
      <c r="P43" s="53"/>
      <c r="Q43" s="53"/>
      <c r="R43" s="53">
        <f t="shared" si="4"/>
        <v>0</v>
      </c>
      <c r="S43" s="53"/>
      <c r="T43" s="53"/>
      <c r="U43" s="53">
        <f t="shared" si="5"/>
        <v>0</v>
      </c>
      <c r="V43" s="53"/>
      <c r="W43" s="53"/>
      <c r="X43" s="53">
        <f t="shared" si="6"/>
        <v>0</v>
      </c>
      <c r="Y43" s="53"/>
      <c r="Z43" s="53"/>
      <c r="AA43" s="53">
        <f t="shared" si="7"/>
        <v>0</v>
      </c>
      <c r="AB43" s="53"/>
      <c r="AC43" s="53"/>
      <c r="AD43" s="53">
        <f t="shared" si="8"/>
        <v>0</v>
      </c>
      <c r="AE43" s="53"/>
      <c r="AF43" s="53"/>
      <c r="AG43" s="474">
        <f t="shared" si="9"/>
        <v>0</v>
      </c>
    </row>
    <row r="44" spans="1:33" ht="12" customHeight="1" x14ac:dyDescent="0.25">
      <c r="A44" s="475"/>
      <c r="B44" s="688"/>
      <c r="C44" s="296"/>
      <c r="D44" s="933"/>
      <c r="E44" s="933"/>
      <c r="F44" s="934"/>
      <c r="G44" s="56"/>
      <c r="H44" s="56"/>
      <c r="I44" s="192">
        <f t="shared" si="1"/>
        <v>0</v>
      </c>
      <c r="J44" s="56"/>
      <c r="K44" s="56"/>
      <c r="L44" s="192">
        <f t="shared" si="2"/>
        <v>0</v>
      </c>
      <c r="M44" s="56"/>
      <c r="N44" s="56"/>
      <c r="O44" s="192">
        <f t="shared" si="3"/>
        <v>0</v>
      </c>
      <c r="P44" s="56"/>
      <c r="Q44" s="56"/>
      <c r="R44" s="192">
        <f t="shared" si="4"/>
        <v>0</v>
      </c>
      <c r="S44" s="56"/>
      <c r="T44" s="56"/>
      <c r="U44" s="192">
        <f t="shared" si="5"/>
        <v>0</v>
      </c>
      <c r="V44" s="56"/>
      <c r="W44" s="56"/>
      <c r="X44" s="192">
        <f t="shared" si="6"/>
        <v>0</v>
      </c>
      <c r="Y44" s="56"/>
      <c r="Z44" s="56"/>
      <c r="AA44" s="192">
        <f t="shared" si="7"/>
        <v>0</v>
      </c>
      <c r="AB44" s="56"/>
      <c r="AC44" s="56"/>
      <c r="AD44" s="192">
        <f t="shared" si="8"/>
        <v>0</v>
      </c>
      <c r="AE44" s="56"/>
      <c r="AF44" s="56"/>
      <c r="AG44" s="536">
        <f t="shared" si="9"/>
        <v>0</v>
      </c>
    </row>
    <row r="45" spans="1:33" ht="12.75" customHeight="1" x14ac:dyDescent="0.25">
      <c r="A45" s="476" t="s">
        <v>110</v>
      </c>
      <c r="B45" s="1171" t="s">
        <v>109</v>
      </c>
      <c r="C45" s="1145"/>
      <c r="D45" s="930">
        <f t="shared" ref="D45:F52" si="37">+G45+J45+AB45+AE45+M45+V45+Y45+P45+S45</f>
        <v>29017</v>
      </c>
      <c r="E45" s="931">
        <f t="shared" si="37"/>
        <v>-327</v>
      </c>
      <c r="F45" s="932">
        <f t="shared" si="37"/>
        <v>28690</v>
      </c>
      <c r="G45" s="29">
        <v>80</v>
      </c>
      <c r="H45" s="27"/>
      <c r="I45" s="53">
        <f t="shared" si="1"/>
        <v>80</v>
      </c>
      <c r="J45" s="27"/>
      <c r="K45" s="27"/>
      <c r="L45" s="53">
        <f t="shared" si="2"/>
        <v>0</v>
      </c>
      <c r="M45" s="27">
        <v>2700</v>
      </c>
      <c r="N45" s="27"/>
      <c r="O45" s="53">
        <f t="shared" si="3"/>
        <v>2700</v>
      </c>
      <c r="P45" s="27">
        <v>12224</v>
      </c>
      <c r="Q45" s="27">
        <v>61</v>
      </c>
      <c r="R45" s="53">
        <f t="shared" si="4"/>
        <v>12285</v>
      </c>
      <c r="S45" s="27">
        <v>13348</v>
      </c>
      <c r="T45" s="27">
        <v>-388</v>
      </c>
      <c r="U45" s="53">
        <f t="shared" si="5"/>
        <v>12960</v>
      </c>
      <c r="V45" s="27"/>
      <c r="W45" s="27"/>
      <c r="X45" s="53">
        <f t="shared" si="6"/>
        <v>0</v>
      </c>
      <c r="Y45" s="27"/>
      <c r="Z45" s="27"/>
      <c r="AA45" s="53">
        <f t="shared" si="7"/>
        <v>0</v>
      </c>
      <c r="AB45" s="27"/>
      <c r="AC45" s="27"/>
      <c r="AD45" s="53">
        <f t="shared" si="8"/>
        <v>0</v>
      </c>
      <c r="AE45" s="27">
        <v>665</v>
      </c>
      <c r="AF45" s="27"/>
      <c r="AG45" s="474">
        <f t="shared" si="9"/>
        <v>665</v>
      </c>
    </row>
    <row r="46" spans="1:33" ht="12.75" customHeight="1" x14ac:dyDescent="0.25">
      <c r="A46" s="476" t="s">
        <v>111</v>
      </c>
      <c r="B46" s="1171" t="s">
        <v>162</v>
      </c>
      <c r="C46" s="1145"/>
      <c r="D46" s="930">
        <f t="shared" si="37"/>
        <v>661896</v>
      </c>
      <c r="E46" s="931">
        <f t="shared" si="37"/>
        <v>43623</v>
      </c>
      <c r="F46" s="932">
        <f t="shared" si="37"/>
        <v>705519</v>
      </c>
      <c r="G46" s="29">
        <v>310556</v>
      </c>
      <c r="H46" s="27">
        <v>350</v>
      </c>
      <c r="I46" s="53">
        <f t="shared" si="1"/>
        <v>310906</v>
      </c>
      <c r="J46" s="27">
        <v>114787</v>
      </c>
      <c r="K46" s="27"/>
      <c r="L46" s="53">
        <f t="shared" si="2"/>
        <v>114787</v>
      </c>
      <c r="M46" s="27"/>
      <c r="N46" s="27"/>
      <c r="O46" s="53">
        <f t="shared" si="3"/>
        <v>0</v>
      </c>
      <c r="P46" s="27"/>
      <c r="Q46" s="27"/>
      <c r="R46" s="53">
        <f t="shared" si="4"/>
        <v>0</v>
      </c>
      <c r="S46" s="27"/>
      <c r="T46" s="27"/>
      <c r="U46" s="53">
        <f t="shared" si="5"/>
        <v>0</v>
      </c>
      <c r="V46" s="27">
        <v>100027</v>
      </c>
      <c r="W46" s="27">
        <v>43273</v>
      </c>
      <c r="X46" s="53">
        <f t="shared" si="6"/>
        <v>143300</v>
      </c>
      <c r="Y46" s="27">
        <v>91672</v>
      </c>
      <c r="Z46" s="27"/>
      <c r="AA46" s="53">
        <f t="shared" si="7"/>
        <v>91672</v>
      </c>
      <c r="AB46" s="27">
        <v>321</v>
      </c>
      <c r="AC46" s="27"/>
      <c r="AD46" s="53">
        <f t="shared" si="8"/>
        <v>321</v>
      </c>
      <c r="AE46" s="27">
        <v>44533</v>
      </c>
      <c r="AF46" s="27"/>
      <c r="AG46" s="474">
        <f t="shared" si="9"/>
        <v>44533</v>
      </c>
    </row>
    <row r="47" spans="1:33" ht="12.75" customHeight="1" x14ac:dyDescent="0.25">
      <c r="A47" s="476" t="s">
        <v>114</v>
      </c>
      <c r="B47" s="1171" t="s">
        <v>113</v>
      </c>
      <c r="C47" s="1145"/>
      <c r="D47" s="930">
        <f t="shared" si="37"/>
        <v>12991</v>
      </c>
      <c r="E47" s="931">
        <f t="shared" si="37"/>
        <v>1181</v>
      </c>
      <c r="F47" s="932">
        <f t="shared" si="37"/>
        <v>14172</v>
      </c>
      <c r="G47" s="29"/>
      <c r="H47" s="27"/>
      <c r="I47" s="53">
        <f t="shared" si="1"/>
        <v>0</v>
      </c>
      <c r="J47" s="27"/>
      <c r="K47" s="27"/>
      <c r="L47" s="53">
        <f t="shared" si="2"/>
        <v>0</v>
      </c>
      <c r="M47" s="27"/>
      <c r="N47" s="27"/>
      <c r="O47" s="53">
        <f t="shared" si="3"/>
        <v>0</v>
      </c>
      <c r="P47" s="27">
        <v>7978</v>
      </c>
      <c r="Q47" s="27">
        <v>-72</v>
      </c>
      <c r="R47" s="53">
        <f t="shared" si="4"/>
        <v>7906</v>
      </c>
      <c r="S47" s="27">
        <v>5013</v>
      </c>
      <c r="T47" s="27">
        <v>1253</v>
      </c>
      <c r="U47" s="53">
        <f t="shared" si="5"/>
        <v>6266</v>
      </c>
      <c r="V47" s="27"/>
      <c r="W47" s="27"/>
      <c r="X47" s="53">
        <f t="shared" si="6"/>
        <v>0</v>
      </c>
      <c r="Y47" s="27"/>
      <c r="Z47" s="27"/>
      <c r="AA47" s="53">
        <f t="shared" si="7"/>
        <v>0</v>
      </c>
      <c r="AB47" s="27"/>
      <c r="AC47" s="27"/>
      <c r="AD47" s="53">
        <f t="shared" si="8"/>
        <v>0</v>
      </c>
      <c r="AE47" s="27"/>
      <c r="AF47" s="27"/>
      <c r="AG47" s="474">
        <f t="shared" si="9"/>
        <v>0</v>
      </c>
    </row>
    <row r="48" spans="1:33" ht="12.75" customHeight="1" x14ac:dyDescent="0.25">
      <c r="A48" s="476" t="s">
        <v>116</v>
      </c>
      <c r="B48" s="1171" t="s">
        <v>115</v>
      </c>
      <c r="C48" s="1145"/>
      <c r="D48" s="930">
        <f t="shared" si="37"/>
        <v>18094</v>
      </c>
      <c r="E48" s="931">
        <f t="shared" si="37"/>
        <v>-515</v>
      </c>
      <c r="F48" s="932">
        <f t="shared" si="37"/>
        <v>17579</v>
      </c>
      <c r="G48" s="29"/>
      <c r="H48" s="27"/>
      <c r="I48" s="53">
        <f t="shared" si="1"/>
        <v>0</v>
      </c>
      <c r="J48" s="27">
        <v>797</v>
      </c>
      <c r="K48" s="27">
        <v>-33</v>
      </c>
      <c r="L48" s="53">
        <f t="shared" si="2"/>
        <v>764</v>
      </c>
      <c r="M48" s="27">
        <v>2362</v>
      </c>
      <c r="N48" s="27"/>
      <c r="O48" s="53">
        <f t="shared" si="3"/>
        <v>2362</v>
      </c>
      <c r="P48" s="27">
        <v>6842</v>
      </c>
      <c r="Q48" s="27">
        <v>90</v>
      </c>
      <c r="R48" s="53">
        <f t="shared" si="4"/>
        <v>6932</v>
      </c>
      <c r="S48" s="27">
        <v>4455</v>
      </c>
      <c r="T48" s="27">
        <v>-572</v>
      </c>
      <c r="U48" s="53">
        <f t="shared" si="5"/>
        <v>3883</v>
      </c>
      <c r="V48" s="27">
        <v>3551</v>
      </c>
      <c r="W48" s="27"/>
      <c r="X48" s="53">
        <f t="shared" si="6"/>
        <v>3551</v>
      </c>
      <c r="Y48" s="27"/>
      <c r="Z48" s="27"/>
      <c r="AA48" s="53">
        <f t="shared" si="7"/>
        <v>0</v>
      </c>
      <c r="AB48" s="27">
        <v>87</v>
      </c>
      <c r="AC48" s="27"/>
      <c r="AD48" s="53">
        <f t="shared" si="8"/>
        <v>87</v>
      </c>
      <c r="AE48" s="27"/>
      <c r="AF48" s="27"/>
      <c r="AG48" s="474">
        <f t="shared" si="9"/>
        <v>0</v>
      </c>
    </row>
    <row r="49" spans="1:35" ht="12.75" customHeight="1" x14ac:dyDescent="0.25">
      <c r="A49" s="476" t="s">
        <v>118</v>
      </c>
      <c r="B49" s="1171" t="s">
        <v>117</v>
      </c>
      <c r="C49" s="1145"/>
      <c r="D49" s="930">
        <f t="shared" si="37"/>
        <v>0</v>
      </c>
      <c r="E49" s="931">
        <f t="shared" si="37"/>
        <v>0</v>
      </c>
      <c r="F49" s="932">
        <f t="shared" si="37"/>
        <v>0</v>
      </c>
      <c r="G49" s="29"/>
      <c r="H49" s="27"/>
      <c r="I49" s="53">
        <f t="shared" si="1"/>
        <v>0</v>
      </c>
      <c r="J49" s="27"/>
      <c r="K49" s="27"/>
      <c r="L49" s="53">
        <f t="shared" si="2"/>
        <v>0</v>
      </c>
      <c r="M49" s="27"/>
      <c r="N49" s="27"/>
      <c r="O49" s="53">
        <f t="shared" si="3"/>
        <v>0</v>
      </c>
      <c r="P49" s="27"/>
      <c r="Q49" s="27"/>
      <c r="R49" s="53">
        <f t="shared" si="4"/>
        <v>0</v>
      </c>
      <c r="S49" s="27"/>
      <c r="T49" s="27"/>
      <c r="U49" s="53">
        <f t="shared" si="5"/>
        <v>0</v>
      </c>
      <c r="V49" s="27"/>
      <c r="W49" s="27"/>
      <c r="X49" s="53">
        <f t="shared" si="6"/>
        <v>0</v>
      </c>
      <c r="Y49" s="27"/>
      <c r="Z49" s="27"/>
      <c r="AA49" s="53">
        <f t="shared" si="7"/>
        <v>0</v>
      </c>
      <c r="AB49" s="27"/>
      <c r="AC49" s="27"/>
      <c r="AD49" s="53">
        <f t="shared" si="8"/>
        <v>0</v>
      </c>
      <c r="AE49" s="27"/>
      <c r="AF49" s="27"/>
      <c r="AG49" s="474">
        <f t="shared" si="9"/>
        <v>0</v>
      </c>
    </row>
    <row r="50" spans="1:35" ht="12.75" customHeight="1" x14ac:dyDescent="0.25">
      <c r="A50" s="476" t="s">
        <v>120</v>
      </c>
      <c r="B50" s="1171" t="s">
        <v>119</v>
      </c>
      <c r="C50" s="1145"/>
      <c r="D50" s="930">
        <f t="shared" si="37"/>
        <v>0</v>
      </c>
      <c r="E50" s="931">
        <f t="shared" si="37"/>
        <v>0</v>
      </c>
      <c r="F50" s="932">
        <f t="shared" si="37"/>
        <v>0</v>
      </c>
      <c r="G50" s="29"/>
      <c r="H50" s="27"/>
      <c r="I50" s="53">
        <f t="shared" si="1"/>
        <v>0</v>
      </c>
      <c r="J50" s="27"/>
      <c r="K50" s="27"/>
      <c r="L50" s="53">
        <f t="shared" si="2"/>
        <v>0</v>
      </c>
      <c r="M50" s="27"/>
      <c r="N50" s="27"/>
      <c r="O50" s="53">
        <f t="shared" si="3"/>
        <v>0</v>
      </c>
      <c r="P50" s="27"/>
      <c r="Q50" s="27"/>
      <c r="R50" s="53">
        <f t="shared" si="4"/>
        <v>0</v>
      </c>
      <c r="S50" s="27"/>
      <c r="T50" s="27"/>
      <c r="U50" s="53">
        <f t="shared" si="5"/>
        <v>0</v>
      </c>
      <c r="V50" s="27"/>
      <c r="W50" s="27"/>
      <c r="X50" s="53">
        <f t="shared" si="6"/>
        <v>0</v>
      </c>
      <c r="Y50" s="27"/>
      <c r="Z50" s="27"/>
      <c r="AA50" s="53">
        <f t="shared" si="7"/>
        <v>0</v>
      </c>
      <c r="AB50" s="27"/>
      <c r="AC50" s="27"/>
      <c r="AD50" s="53">
        <f t="shared" si="8"/>
        <v>0</v>
      </c>
      <c r="AE50" s="27"/>
      <c r="AF50" s="27"/>
      <c r="AG50" s="474">
        <f t="shared" si="9"/>
        <v>0</v>
      </c>
    </row>
    <row r="51" spans="1:35" ht="12.75" customHeight="1" x14ac:dyDescent="0.25">
      <c r="A51" s="476" t="s">
        <v>122</v>
      </c>
      <c r="B51" s="1171" t="s">
        <v>121</v>
      </c>
      <c r="C51" s="1145"/>
      <c r="D51" s="930">
        <f t="shared" si="37"/>
        <v>86461</v>
      </c>
      <c r="E51" s="931">
        <f t="shared" si="37"/>
        <v>11789</v>
      </c>
      <c r="F51" s="932">
        <f t="shared" si="37"/>
        <v>98250</v>
      </c>
      <c r="G51" s="29">
        <v>31074</v>
      </c>
      <c r="H51" s="27"/>
      <c r="I51" s="53">
        <f t="shared" si="1"/>
        <v>31074</v>
      </c>
      <c r="J51" s="27">
        <v>390</v>
      </c>
      <c r="K51" s="27">
        <v>-9</v>
      </c>
      <c r="L51" s="53">
        <f t="shared" si="2"/>
        <v>381</v>
      </c>
      <c r="M51" s="27">
        <v>1367</v>
      </c>
      <c r="N51" s="27"/>
      <c r="O51" s="53">
        <f t="shared" si="3"/>
        <v>1367</v>
      </c>
      <c r="P51" s="27">
        <v>7301</v>
      </c>
      <c r="Q51" s="27">
        <v>35</v>
      </c>
      <c r="R51" s="53">
        <f t="shared" si="4"/>
        <v>7336</v>
      </c>
      <c r="S51" s="27">
        <v>6160</v>
      </c>
      <c r="T51" s="27">
        <v>79</v>
      </c>
      <c r="U51" s="53">
        <f t="shared" si="5"/>
        <v>6239</v>
      </c>
      <c r="V51" s="27">
        <v>27966</v>
      </c>
      <c r="W51" s="27">
        <v>11684</v>
      </c>
      <c r="X51" s="53">
        <f t="shared" si="6"/>
        <v>39650</v>
      </c>
      <c r="Y51" s="27"/>
      <c r="Z51" s="27"/>
      <c r="AA51" s="53">
        <f t="shared" si="7"/>
        <v>0</v>
      </c>
      <c r="AB51" s="27"/>
      <c r="AC51" s="27"/>
      <c r="AD51" s="53">
        <f t="shared" si="8"/>
        <v>0</v>
      </c>
      <c r="AE51" s="27">
        <v>12203</v>
      </c>
      <c r="AF51" s="27"/>
      <c r="AG51" s="474">
        <f t="shared" si="9"/>
        <v>12203</v>
      </c>
    </row>
    <row r="52" spans="1:35" s="42" customFormat="1" ht="12.75" customHeight="1" x14ac:dyDescent="0.2">
      <c r="A52" s="473" t="s">
        <v>123</v>
      </c>
      <c r="B52" s="1170" t="s">
        <v>161</v>
      </c>
      <c r="C52" s="1143"/>
      <c r="D52" s="930">
        <f t="shared" si="37"/>
        <v>808459</v>
      </c>
      <c r="E52" s="931">
        <f t="shared" si="37"/>
        <v>55751</v>
      </c>
      <c r="F52" s="932">
        <f t="shared" si="37"/>
        <v>864210</v>
      </c>
      <c r="G52" s="535">
        <f t="shared" ref="G52:AF52" si="38">+G51+G50+G49+G48+G47+G46+G45</f>
        <v>341710</v>
      </c>
      <c r="H52" s="53">
        <f t="shared" si="38"/>
        <v>350</v>
      </c>
      <c r="I52" s="53">
        <f t="shared" si="1"/>
        <v>342060</v>
      </c>
      <c r="J52" s="53">
        <f t="shared" si="38"/>
        <v>115974</v>
      </c>
      <c r="K52" s="53">
        <f t="shared" si="38"/>
        <v>-42</v>
      </c>
      <c r="L52" s="53">
        <f t="shared" si="2"/>
        <v>115932</v>
      </c>
      <c r="M52" s="53">
        <f t="shared" si="38"/>
        <v>6429</v>
      </c>
      <c r="N52" s="53">
        <f t="shared" si="38"/>
        <v>0</v>
      </c>
      <c r="O52" s="53">
        <f t="shared" si="3"/>
        <v>6429</v>
      </c>
      <c r="P52" s="53">
        <f t="shared" si="38"/>
        <v>34345</v>
      </c>
      <c r="Q52" s="53">
        <f t="shared" si="38"/>
        <v>114</v>
      </c>
      <c r="R52" s="53">
        <f t="shared" si="4"/>
        <v>34459</v>
      </c>
      <c r="S52" s="53">
        <f t="shared" si="38"/>
        <v>28976</v>
      </c>
      <c r="T52" s="53">
        <f t="shared" si="38"/>
        <v>372</v>
      </c>
      <c r="U52" s="53">
        <f t="shared" si="5"/>
        <v>29348</v>
      </c>
      <c r="V52" s="53">
        <f t="shared" si="38"/>
        <v>131544</v>
      </c>
      <c r="W52" s="53">
        <f t="shared" si="38"/>
        <v>54957</v>
      </c>
      <c r="X52" s="53">
        <f t="shared" si="6"/>
        <v>186501</v>
      </c>
      <c r="Y52" s="53">
        <f t="shared" si="38"/>
        <v>91672</v>
      </c>
      <c r="Z52" s="53">
        <f t="shared" si="38"/>
        <v>0</v>
      </c>
      <c r="AA52" s="53">
        <f t="shared" si="7"/>
        <v>91672</v>
      </c>
      <c r="AB52" s="53">
        <f t="shared" si="38"/>
        <v>408</v>
      </c>
      <c r="AC52" s="53">
        <f t="shared" si="38"/>
        <v>0</v>
      </c>
      <c r="AD52" s="53">
        <f t="shared" si="8"/>
        <v>408</v>
      </c>
      <c r="AE52" s="53">
        <f t="shared" si="38"/>
        <v>57401</v>
      </c>
      <c r="AF52" s="53">
        <f t="shared" si="38"/>
        <v>0</v>
      </c>
      <c r="AG52" s="474">
        <f t="shared" si="9"/>
        <v>57401</v>
      </c>
    </row>
    <row r="53" spans="1:35" x14ac:dyDescent="0.25">
      <c r="A53" s="475"/>
      <c r="B53" s="688"/>
      <c r="C53" s="296"/>
      <c r="D53" s="933"/>
      <c r="E53" s="933"/>
      <c r="F53" s="934"/>
      <c r="G53" s="56"/>
      <c r="H53" s="56"/>
      <c r="I53" s="192"/>
      <c r="J53" s="56"/>
      <c r="K53" s="56"/>
      <c r="L53" s="192"/>
      <c r="M53" s="56"/>
      <c r="N53" s="56"/>
      <c r="O53" s="192"/>
      <c r="P53" s="56"/>
      <c r="Q53" s="56"/>
      <c r="R53" s="192"/>
      <c r="S53" s="56"/>
      <c r="T53" s="56"/>
      <c r="U53" s="192"/>
      <c r="V53" s="56"/>
      <c r="W53" s="56"/>
      <c r="X53" s="192"/>
      <c r="Y53" s="56"/>
      <c r="Z53" s="56"/>
      <c r="AA53" s="192"/>
      <c r="AB53" s="56"/>
      <c r="AC53" s="56"/>
      <c r="AD53" s="192"/>
      <c r="AE53" s="56"/>
      <c r="AF53" s="56"/>
      <c r="AG53" s="536"/>
    </row>
    <row r="54" spans="1:35" ht="12.75" customHeight="1" x14ac:dyDescent="0.25">
      <c r="A54" s="476" t="s">
        <v>125</v>
      </c>
      <c r="B54" s="1171" t="s">
        <v>124</v>
      </c>
      <c r="C54" s="1145"/>
      <c r="D54" s="930">
        <f t="shared" ref="D54:F58" si="39">+G54+J54+AB54+AE54+M54+V54+Y54+P54+S54</f>
        <v>27608</v>
      </c>
      <c r="E54" s="931">
        <f t="shared" si="39"/>
        <v>-99</v>
      </c>
      <c r="F54" s="932">
        <f t="shared" si="39"/>
        <v>27509</v>
      </c>
      <c r="G54" s="29"/>
      <c r="H54" s="27"/>
      <c r="I54" s="53">
        <f t="shared" si="1"/>
        <v>0</v>
      </c>
      <c r="J54" s="27"/>
      <c r="K54" s="27"/>
      <c r="L54" s="53">
        <f t="shared" si="2"/>
        <v>0</v>
      </c>
      <c r="M54" s="27"/>
      <c r="N54" s="27"/>
      <c r="O54" s="53">
        <f t="shared" si="3"/>
        <v>0</v>
      </c>
      <c r="P54" s="27">
        <v>13206</v>
      </c>
      <c r="Q54" s="27">
        <v>-99</v>
      </c>
      <c r="R54" s="53">
        <f t="shared" si="4"/>
        <v>13107</v>
      </c>
      <c r="S54" s="27">
        <v>14402</v>
      </c>
      <c r="T54" s="27"/>
      <c r="U54" s="53">
        <f t="shared" si="5"/>
        <v>14402</v>
      </c>
      <c r="V54" s="27"/>
      <c r="W54" s="27"/>
      <c r="X54" s="53">
        <f t="shared" si="6"/>
        <v>0</v>
      </c>
      <c r="Y54" s="27"/>
      <c r="Z54" s="27"/>
      <c r="AA54" s="53">
        <f t="shared" si="7"/>
        <v>0</v>
      </c>
      <c r="AB54" s="27"/>
      <c r="AC54" s="27"/>
      <c r="AD54" s="53">
        <f t="shared" si="8"/>
        <v>0</v>
      </c>
      <c r="AE54" s="27"/>
      <c r="AF54" s="27"/>
      <c r="AG54" s="474">
        <f t="shared" si="9"/>
        <v>0</v>
      </c>
    </row>
    <row r="55" spans="1:35" ht="12.75" customHeight="1" x14ac:dyDescent="0.25">
      <c r="A55" s="476" t="s">
        <v>127</v>
      </c>
      <c r="B55" s="1171" t="s">
        <v>126</v>
      </c>
      <c r="C55" s="1145"/>
      <c r="D55" s="930">
        <f t="shared" si="39"/>
        <v>0</v>
      </c>
      <c r="E55" s="931">
        <f t="shared" si="39"/>
        <v>0</v>
      </c>
      <c r="F55" s="932">
        <f t="shared" si="39"/>
        <v>0</v>
      </c>
      <c r="G55" s="29"/>
      <c r="H55" s="27"/>
      <c r="I55" s="53">
        <f t="shared" si="1"/>
        <v>0</v>
      </c>
      <c r="J55" s="27"/>
      <c r="K55" s="27"/>
      <c r="L55" s="53">
        <f t="shared" si="2"/>
        <v>0</v>
      </c>
      <c r="M55" s="27"/>
      <c r="N55" s="27"/>
      <c r="O55" s="53">
        <f t="shared" si="3"/>
        <v>0</v>
      </c>
      <c r="P55" s="27"/>
      <c r="Q55" s="27"/>
      <c r="R55" s="53">
        <f t="shared" si="4"/>
        <v>0</v>
      </c>
      <c r="S55" s="27"/>
      <c r="T55" s="27"/>
      <c r="U55" s="53">
        <f t="shared" si="5"/>
        <v>0</v>
      </c>
      <c r="V55" s="27"/>
      <c r="W55" s="27"/>
      <c r="X55" s="53">
        <f t="shared" si="6"/>
        <v>0</v>
      </c>
      <c r="Y55" s="27"/>
      <c r="Z55" s="27"/>
      <c r="AA55" s="53">
        <f t="shared" si="7"/>
        <v>0</v>
      </c>
      <c r="AB55" s="27"/>
      <c r="AC55" s="27"/>
      <c r="AD55" s="53">
        <f t="shared" si="8"/>
        <v>0</v>
      </c>
      <c r="AE55" s="27"/>
      <c r="AF55" s="27"/>
      <c r="AG55" s="474">
        <f t="shared" si="9"/>
        <v>0</v>
      </c>
    </row>
    <row r="56" spans="1:35" ht="12.75" customHeight="1" x14ac:dyDescent="0.25">
      <c r="A56" s="476" t="s">
        <v>129</v>
      </c>
      <c r="B56" s="1171" t="s">
        <v>128</v>
      </c>
      <c r="C56" s="1145"/>
      <c r="D56" s="930">
        <f t="shared" si="39"/>
        <v>0</v>
      </c>
      <c r="E56" s="931">
        <f t="shared" si="39"/>
        <v>0</v>
      </c>
      <c r="F56" s="932">
        <f t="shared" si="39"/>
        <v>0</v>
      </c>
      <c r="G56" s="29"/>
      <c r="H56" s="27"/>
      <c r="I56" s="53">
        <f t="shared" si="1"/>
        <v>0</v>
      </c>
      <c r="J56" s="27"/>
      <c r="K56" s="27"/>
      <c r="L56" s="53">
        <f t="shared" si="2"/>
        <v>0</v>
      </c>
      <c r="M56" s="27"/>
      <c r="N56" s="27"/>
      <c r="O56" s="53">
        <f t="shared" si="3"/>
        <v>0</v>
      </c>
      <c r="P56" s="27"/>
      <c r="Q56" s="27"/>
      <c r="R56" s="53">
        <f t="shared" si="4"/>
        <v>0</v>
      </c>
      <c r="S56" s="27"/>
      <c r="T56" s="27"/>
      <c r="U56" s="53">
        <f t="shared" si="5"/>
        <v>0</v>
      </c>
      <c r="V56" s="27"/>
      <c r="W56" s="27"/>
      <c r="X56" s="53">
        <f t="shared" si="6"/>
        <v>0</v>
      </c>
      <c r="Y56" s="27"/>
      <c r="Z56" s="27"/>
      <c r="AA56" s="53">
        <f t="shared" si="7"/>
        <v>0</v>
      </c>
      <c r="AB56" s="27"/>
      <c r="AC56" s="27"/>
      <c r="AD56" s="53">
        <f t="shared" si="8"/>
        <v>0</v>
      </c>
      <c r="AE56" s="27"/>
      <c r="AF56" s="27"/>
      <c r="AG56" s="474">
        <f t="shared" si="9"/>
        <v>0</v>
      </c>
    </row>
    <row r="57" spans="1:35" ht="12.75" customHeight="1" x14ac:dyDescent="0.25">
      <c r="A57" s="476" t="s">
        <v>131</v>
      </c>
      <c r="B57" s="1171" t="s">
        <v>130</v>
      </c>
      <c r="C57" s="1145"/>
      <c r="D57" s="930">
        <f t="shared" si="39"/>
        <v>7455</v>
      </c>
      <c r="E57" s="931">
        <f t="shared" si="39"/>
        <v>-26</v>
      </c>
      <c r="F57" s="932">
        <f t="shared" si="39"/>
        <v>7429</v>
      </c>
      <c r="G57" s="29"/>
      <c r="H57" s="27"/>
      <c r="I57" s="53">
        <f t="shared" si="1"/>
        <v>0</v>
      </c>
      <c r="J57" s="27"/>
      <c r="K57" s="27"/>
      <c r="L57" s="53">
        <f t="shared" si="2"/>
        <v>0</v>
      </c>
      <c r="M57" s="27"/>
      <c r="N57" s="27"/>
      <c r="O57" s="53">
        <f t="shared" si="3"/>
        <v>0</v>
      </c>
      <c r="P57" s="27">
        <v>3566</v>
      </c>
      <c r="Q57" s="27">
        <v>-26</v>
      </c>
      <c r="R57" s="53">
        <f t="shared" si="4"/>
        <v>3540</v>
      </c>
      <c r="S57" s="27">
        <v>3889</v>
      </c>
      <c r="T57" s="27"/>
      <c r="U57" s="53">
        <f t="shared" si="5"/>
        <v>3889</v>
      </c>
      <c r="V57" s="27"/>
      <c r="W57" s="27"/>
      <c r="X57" s="53">
        <f t="shared" si="6"/>
        <v>0</v>
      </c>
      <c r="Y57" s="27"/>
      <c r="Z57" s="27"/>
      <c r="AA57" s="53">
        <f t="shared" si="7"/>
        <v>0</v>
      </c>
      <c r="AB57" s="27"/>
      <c r="AC57" s="27"/>
      <c r="AD57" s="53">
        <f t="shared" si="8"/>
        <v>0</v>
      </c>
      <c r="AE57" s="27"/>
      <c r="AF57" s="27"/>
      <c r="AG57" s="474">
        <f t="shared" si="9"/>
        <v>0</v>
      </c>
    </row>
    <row r="58" spans="1:35" s="42" customFormat="1" ht="12.75" customHeight="1" x14ac:dyDescent="0.2">
      <c r="A58" s="473" t="s">
        <v>132</v>
      </c>
      <c r="B58" s="1170" t="s">
        <v>160</v>
      </c>
      <c r="C58" s="1143"/>
      <c r="D58" s="930">
        <f t="shared" si="39"/>
        <v>35063</v>
      </c>
      <c r="E58" s="931">
        <f t="shared" si="39"/>
        <v>-125</v>
      </c>
      <c r="F58" s="932">
        <f t="shared" si="39"/>
        <v>34938</v>
      </c>
      <c r="G58" s="535">
        <f>SUM(G54:G57)</f>
        <v>0</v>
      </c>
      <c r="H58" s="53">
        <f t="shared" ref="H58:AF58" si="40">SUM(H54:H57)</f>
        <v>0</v>
      </c>
      <c r="I58" s="53">
        <f t="shared" si="1"/>
        <v>0</v>
      </c>
      <c r="J58" s="53">
        <f t="shared" si="40"/>
        <v>0</v>
      </c>
      <c r="K58" s="53">
        <f t="shared" si="40"/>
        <v>0</v>
      </c>
      <c r="L58" s="53">
        <f t="shared" si="2"/>
        <v>0</v>
      </c>
      <c r="M58" s="53">
        <f t="shared" si="40"/>
        <v>0</v>
      </c>
      <c r="N58" s="53">
        <f t="shared" si="40"/>
        <v>0</v>
      </c>
      <c r="O58" s="53">
        <f t="shared" si="3"/>
        <v>0</v>
      </c>
      <c r="P58" s="53">
        <f t="shared" si="40"/>
        <v>16772</v>
      </c>
      <c r="Q58" s="53">
        <f t="shared" si="40"/>
        <v>-125</v>
      </c>
      <c r="R58" s="53">
        <f t="shared" si="4"/>
        <v>16647</v>
      </c>
      <c r="S58" s="53">
        <f t="shared" si="40"/>
        <v>18291</v>
      </c>
      <c r="T58" s="53">
        <f t="shared" si="40"/>
        <v>0</v>
      </c>
      <c r="U58" s="53">
        <f t="shared" si="5"/>
        <v>18291</v>
      </c>
      <c r="V58" s="53">
        <f t="shared" si="40"/>
        <v>0</v>
      </c>
      <c r="W58" s="53">
        <f t="shared" si="40"/>
        <v>0</v>
      </c>
      <c r="X58" s="53">
        <f t="shared" si="6"/>
        <v>0</v>
      </c>
      <c r="Y58" s="53">
        <f t="shared" si="40"/>
        <v>0</v>
      </c>
      <c r="Z58" s="53">
        <f t="shared" si="40"/>
        <v>0</v>
      </c>
      <c r="AA58" s="53">
        <f t="shared" si="7"/>
        <v>0</v>
      </c>
      <c r="AB58" s="53">
        <f t="shared" si="40"/>
        <v>0</v>
      </c>
      <c r="AC58" s="53">
        <f t="shared" si="40"/>
        <v>0</v>
      </c>
      <c r="AD58" s="53">
        <f t="shared" si="8"/>
        <v>0</v>
      </c>
      <c r="AE58" s="53">
        <f t="shared" si="40"/>
        <v>0</v>
      </c>
      <c r="AF58" s="53">
        <f t="shared" si="40"/>
        <v>0</v>
      </c>
      <c r="AG58" s="474">
        <f t="shared" si="9"/>
        <v>0</v>
      </c>
    </row>
    <row r="59" spans="1:35" x14ac:dyDescent="0.25">
      <c r="A59" s="475"/>
      <c r="B59" s="688"/>
      <c r="C59" s="296"/>
      <c r="D59" s="933"/>
      <c r="E59" s="933"/>
      <c r="F59" s="934"/>
      <c r="G59" s="56"/>
      <c r="H59" s="56"/>
      <c r="I59" s="192">
        <f t="shared" si="1"/>
        <v>0</v>
      </c>
      <c r="J59" s="56"/>
      <c r="K59" s="56"/>
      <c r="L59" s="192">
        <f t="shared" si="2"/>
        <v>0</v>
      </c>
      <c r="M59" s="56"/>
      <c r="N59" s="56"/>
      <c r="O59" s="192">
        <f t="shared" si="3"/>
        <v>0</v>
      </c>
      <c r="P59" s="56"/>
      <c r="Q59" s="56"/>
      <c r="R59" s="192">
        <f t="shared" si="4"/>
        <v>0</v>
      </c>
      <c r="S59" s="56"/>
      <c r="T59" s="56"/>
      <c r="U59" s="192">
        <f t="shared" si="5"/>
        <v>0</v>
      </c>
      <c r="V59" s="56"/>
      <c r="W59" s="56"/>
      <c r="X59" s="192">
        <f t="shared" si="6"/>
        <v>0</v>
      </c>
      <c r="Y59" s="56"/>
      <c r="Z59" s="56"/>
      <c r="AA59" s="192">
        <f t="shared" si="7"/>
        <v>0</v>
      </c>
      <c r="AB59" s="56"/>
      <c r="AC59" s="56"/>
      <c r="AD59" s="192">
        <f t="shared" si="8"/>
        <v>0</v>
      </c>
      <c r="AE59" s="56"/>
      <c r="AF59" s="56"/>
      <c r="AG59" s="536">
        <f t="shared" si="9"/>
        <v>0</v>
      </c>
      <c r="AI59" s="295"/>
    </row>
    <row r="60" spans="1:35" x14ac:dyDescent="0.25">
      <c r="A60" s="476" t="s">
        <v>379</v>
      </c>
      <c r="B60" s="1219" t="s">
        <v>380</v>
      </c>
      <c r="C60" s="1220"/>
      <c r="D60" s="930">
        <f t="shared" ref="D60:F63" si="41">+G60+J60+AB60+AE60+M60+V60+Y60+P60+S60</f>
        <v>0</v>
      </c>
      <c r="E60" s="931">
        <f t="shared" si="41"/>
        <v>0</v>
      </c>
      <c r="F60" s="932">
        <f t="shared" si="41"/>
        <v>0</v>
      </c>
      <c r="G60" s="29"/>
      <c r="H60" s="27"/>
      <c r="I60" s="53">
        <f t="shared" si="1"/>
        <v>0</v>
      </c>
      <c r="J60" s="27"/>
      <c r="K60" s="27"/>
      <c r="L60" s="53">
        <f t="shared" si="2"/>
        <v>0</v>
      </c>
      <c r="M60" s="27"/>
      <c r="N60" s="27"/>
      <c r="O60" s="53">
        <f t="shared" si="3"/>
        <v>0</v>
      </c>
      <c r="P60" s="27"/>
      <c r="Q60" s="27"/>
      <c r="R60" s="53">
        <f t="shared" si="4"/>
        <v>0</v>
      </c>
      <c r="S60" s="27"/>
      <c r="T60" s="27"/>
      <c r="U60" s="53">
        <f t="shared" si="5"/>
        <v>0</v>
      </c>
      <c r="V60" s="27"/>
      <c r="W60" s="27"/>
      <c r="X60" s="53">
        <f t="shared" si="6"/>
        <v>0</v>
      </c>
      <c r="Y60" s="27"/>
      <c r="Z60" s="27"/>
      <c r="AA60" s="53">
        <f t="shared" si="7"/>
        <v>0</v>
      </c>
      <c r="AB60" s="27"/>
      <c r="AC60" s="27"/>
      <c r="AD60" s="53">
        <f t="shared" si="8"/>
        <v>0</v>
      </c>
      <c r="AE60" s="27"/>
      <c r="AF60" s="27"/>
      <c r="AG60" s="474">
        <f t="shared" si="9"/>
        <v>0</v>
      </c>
    </row>
    <row r="61" spans="1:35" x14ac:dyDescent="0.25">
      <c r="A61" s="476" t="s">
        <v>392</v>
      </c>
      <c r="B61" s="1171" t="s">
        <v>393</v>
      </c>
      <c r="C61" s="1145"/>
      <c r="D61" s="930">
        <f t="shared" si="41"/>
        <v>0</v>
      </c>
      <c r="E61" s="931">
        <f t="shared" si="41"/>
        <v>0</v>
      </c>
      <c r="F61" s="932">
        <f t="shared" si="41"/>
        <v>0</v>
      </c>
      <c r="G61" s="29"/>
      <c r="H61" s="27"/>
      <c r="I61" s="53">
        <f t="shared" si="1"/>
        <v>0</v>
      </c>
      <c r="J61" s="27"/>
      <c r="K61" s="27"/>
      <c r="L61" s="53">
        <f t="shared" si="2"/>
        <v>0</v>
      </c>
      <c r="M61" s="27"/>
      <c r="N61" s="27"/>
      <c r="O61" s="53">
        <f t="shared" si="3"/>
        <v>0</v>
      </c>
      <c r="P61" s="27"/>
      <c r="Q61" s="27"/>
      <c r="R61" s="53">
        <f t="shared" si="4"/>
        <v>0</v>
      </c>
      <c r="S61" s="27"/>
      <c r="T61" s="27"/>
      <c r="U61" s="53">
        <f t="shared" si="5"/>
        <v>0</v>
      </c>
      <c r="V61" s="27"/>
      <c r="W61" s="27"/>
      <c r="X61" s="53">
        <f t="shared" si="6"/>
        <v>0</v>
      </c>
      <c r="Y61" s="27"/>
      <c r="Z61" s="27"/>
      <c r="AA61" s="53">
        <f t="shared" si="7"/>
        <v>0</v>
      </c>
      <c r="AB61" s="27"/>
      <c r="AC61" s="27"/>
      <c r="AD61" s="53">
        <f t="shared" si="8"/>
        <v>0</v>
      </c>
      <c r="AE61" s="27"/>
      <c r="AF61" s="27"/>
      <c r="AG61" s="474">
        <f t="shared" si="9"/>
        <v>0</v>
      </c>
    </row>
    <row r="62" spans="1:35" ht="12.75" customHeight="1" x14ac:dyDescent="0.25">
      <c r="A62" s="476" t="s">
        <v>133</v>
      </c>
      <c r="B62" s="1171" t="s">
        <v>394</v>
      </c>
      <c r="C62" s="1145"/>
      <c r="D62" s="930">
        <f t="shared" si="41"/>
        <v>0</v>
      </c>
      <c r="E62" s="931">
        <f t="shared" si="41"/>
        <v>0</v>
      </c>
      <c r="F62" s="932">
        <f t="shared" si="41"/>
        <v>0</v>
      </c>
      <c r="G62" s="29"/>
      <c r="H62" s="27"/>
      <c r="I62" s="53">
        <f t="shared" si="1"/>
        <v>0</v>
      </c>
      <c r="J62" s="27"/>
      <c r="K62" s="27"/>
      <c r="L62" s="53">
        <f t="shared" si="2"/>
        <v>0</v>
      </c>
      <c r="M62" s="27"/>
      <c r="N62" s="27"/>
      <c r="O62" s="53">
        <f t="shared" si="3"/>
        <v>0</v>
      </c>
      <c r="P62" s="27"/>
      <c r="Q62" s="27"/>
      <c r="R62" s="53">
        <f t="shared" si="4"/>
        <v>0</v>
      </c>
      <c r="S62" s="27"/>
      <c r="T62" s="27"/>
      <c r="U62" s="53">
        <f t="shared" si="5"/>
        <v>0</v>
      </c>
      <c r="V62" s="27"/>
      <c r="W62" s="27"/>
      <c r="X62" s="53">
        <f t="shared" si="6"/>
        <v>0</v>
      </c>
      <c r="Y62" s="27"/>
      <c r="Z62" s="27"/>
      <c r="AA62" s="53">
        <f t="shared" si="7"/>
        <v>0</v>
      </c>
      <c r="AB62" s="27"/>
      <c r="AC62" s="27"/>
      <c r="AD62" s="53">
        <f t="shared" si="8"/>
        <v>0</v>
      </c>
      <c r="AE62" s="27"/>
      <c r="AF62" s="27"/>
      <c r="AG62" s="474">
        <f t="shared" si="9"/>
        <v>0</v>
      </c>
    </row>
    <row r="63" spans="1:35" s="42" customFormat="1" ht="12.75" customHeight="1" x14ac:dyDescent="0.2">
      <c r="A63" s="473" t="s">
        <v>134</v>
      </c>
      <c r="B63" s="1170" t="s">
        <v>158</v>
      </c>
      <c r="C63" s="1143"/>
      <c r="D63" s="930">
        <f t="shared" si="41"/>
        <v>0</v>
      </c>
      <c r="E63" s="931">
        <f t="shared" si="41"/>
        <v>0</v>
      </c>
      <c r="F63" s="932">
        <f t="shared" si="41"/>
        <v>0</v>
      </c>
      <c r="G63" s="535">
        <f t="shared" ref="G63:AF63" si="42">SUM(G60:G62)</f>
        <v>0</v>
      </c>
      <c r="H63" s="53">
        <f t="shared" si="42"/>
        <v>0</v>
      </c>
      <c r="I63" s="53">
        <f t="shared" si="1"/>
        <v>0</v>
      </c>
      <c r="J63" s="53">
        <f t="shared" si="42"/>
        <v>0</v>
      </c>
      <c r="K63" s="53">
        <f t="shared" si="42"/>
        <v>0</v>
      </c>
      <c r="L63" s="53">
        <f t="shared" si="2"/>
        <v>0</v>
      </c>
      <c r="M63" s="53">
        <f t="shared" si="42"/>
        <v>0</v>
      </c>
      <c r="N63" s="53">
        <f t="shared" si="42"/>
        <v>0</v>
      </c>
      <c r="O63" s="53">
        <f t="shared" si="3"/>
        <v>0</v>
      </c>
      <c r="P63" s="53">
        <f t="shared" si="42"/>
        <v>0</v>
      </c>
      <c r="Q63" s="53">
        <f t="shared" si="42"/>
        <v>0</v>
      </c>
      <c r="R63" s="53">
        <f t="shared" si="4"/>
        <v>0</v>
      </c>
      <c r="S63" s="53">
        <f t="shared" si="42"/>
        <v>0</v>
      </c>
      <c r="T63" s="53">
        <f t="shared" si="42"/>
        <v>0</v>
      </c>
      <c r="U63" s="53">
        <f t="shared" si="5"/>
        <v>0</v>
      </c>
      <c r="V63" s="53">
        <f t="shared" si="42"/>
        <v>0</v>
      </c>
      <c r="W63" s="53">
        <f t="shared" si="42"/>
        <v>0</v>
      </c>
      <c r="X63" s="53">
        <f t="shared" si="6"/>
        <v>0</v>
      </c>
      <c r="Y63" s="53">
        <f t="shared" si="42"/>
        <v>0</v>
      </c>
      <c r="Z63" s="53">
        <f t="shared" si="42"/>
        <v>0</v>
      </c>
      <c r="AA63" s="53">
        <f t="shared" si="7"/>
        <v>0</v>
      </c>
      <c r="AB63" s="53">
        <f t="shared" si="42"/>
        <v>0</v>
      </c>
      <c r="AC63" s="53">
        <f t="shared" si="42"/>
        <v>0</v>
      </c>
      <c r="AD63" s="53">
        <f t="shared" si="8"/>
        <v>0</v>
      </c>
      <c r="AE63" s="53">
        <f t="shared" si="42"/>
        <v>0</v>
      </c>
      <c r="AF63" s="53">
        <f t="shared" si="42"/>
        <v>0</v>
      </c>
      <c r="AG63" s="474">
        <f t="shared" si="9"/>
        <v>0</v>
      </c>
    </row>
    <row r="64" spans="1:35" x14ac:dyDescent="0.25">
      <c r="A64" s="475"/>
      <c r="B64" s="472"/>
      <c r="C64" s="706"/>
      <c r="D64" s="933"/>
      <c r="E64" s="933"/>
      <c r="F64" s="934"/>
      <c r="G64" s="56"/>
      <c r="H64" s="56"/>
      <c r="I64" s="192"/>
      <c r="J64" s="56"/>
      <c r="K64" s="56"/>
      <c r="L64" s="192"/>
      <c r="M64" s="56"/>
      <c r="N64" s="56"/>
      <c r="O64" s="192"/>
      <c r="P64" s="56"/>
      <c r="Q64" s="56"/>
      <c r="R64" s="192"/>
      <c r="S64" s="56"/>
      <c r="T64" s="56"/>
      <c r="U64" s="192"/>
      <c r="V64" s="56"/>
      <c r="W64" s="56"/>
      <c r="X64" s="192"/>
      <c r="Y64" s="56"/>
      <c r="Z64" s="56"/>
      <c r="AA64" s="192"/>
      <c r="AB64" s="56"/>
      <c r="AC64" s="56"/>
      <c r="AD64" s="192"/>
      <c r="AE64" s="56"/>
      <c r="AF64" s="56"/>
      <c r="AG64" s="536"/>
    </row>
    <row r="65" spans="1:33" s="42" customFormat="1" ht="12.75" customHeight="1" thickBot="1" x14ac:dyDescent="0.25">
      <c r="A65" s="701" t="s">
        <v>135</v>
      </c>
      <c r="B65" s="1209" t="s">
        <v>157</v>
      </c>
      <c r="C65" s="1210"/>
      <c r="D65" s="935">
        <f>+G65+J65+AB65+AE65+M65+V65+Y65+P65+S65</f>
        <v>1010238</v>
      </c>
      <c r="E65" s="936">
        <f>+H65+K65+AC65+AF65+N65+W65+Z65+Q65+T65</f>
        <v>54957</v>
      </c>
      <c r="F65" s="937">
        <f>+I65+L65+AD65+AG65+O65+X65+AA65+R65+U65</f>
        <v>1065195</v>
      </c>
      <c r="G65" s="708">
        <f t="shared" ref="G65:AF65" si="43">+G63+G58+G52+G43+G35+G9+G7</f>
        <v>405953</v>
      </c>
      <c r="H65" s="702">
        <f t="shared" si="43"/>
        <v>0</v>
      </c>
      <c r="I65" s="702">
        <f t="shared" si="1"/>
        <v>405953</v>
      </c>
      <c r="J65" s="702">
        <f t="shared" si="43"/>
        <v>155731</v>
      </c>
      <c r="K65" s="702">
        <f t="shared" si="43"/>
        <v>0</v>
      </c>
      <c r="L65" s="702">
        <f t="shared" si="2"/>
        <v>155731</v>
      </c>
      <c r="M65" s="702">
        <f t="shared" si="43"/>
        <v>19070</v>
      </c>
      <c r="N65" s="702">
        <f t="shared" si="43"/>
        <v>0</v>
      </c>
      <c r="O65" s="702">
        <f t="shared" si="3"/>
        <v>19070</v>
      </c>
      <c r="P65" s="702">
        <f t="shared" si="43"/>
        <v>57892</v>
      </c>
      <c r="Q65" s="702">
        <f t="shared" si="43"/>
        <v>0</v>
      </c>
      <c r="R65" s="702">
        <f t="shared" si="4"/>
        <v>57892</v>
      </c>
      <c r="S65" s="702">
        <f t="shared" si="43"/>
        <v>55135</v>
      </c>
      <c r="T65" s="702">
        <f t="shared" si="43"/>
        <v>0</v>
      </c>
      <c r="U65" s="702">
        <f t="shared" si="5"/>
        <v>55135</v>
      </c>
      <c r="V65" s="702">
        <f t="shared" si="43"/>
        <v>135361</v>
      </c>
      <c r="W65" s="702">
        <f>+W63+W58+W52+W43+W35+W9+W7</f>
        <v>54957</v>
      </c>
      <c r="X65" s="702">
        <f t="shared" si="6"/>
        <v>190318</v>
      </c>
      <c r="Y65" s="702">
        <f t="shared" si="43"/>
        <v>120789</v>
      </c>
      <c r="Z65" s="702">
        <f t="shared" si="43"/>
        <v>0</v>
      </c>
      <c r="AA65" s="702">
        <f t="shared" si="7"/>
        <v>120789</v>
      </c>
      <c r="AB65" s="702">
        <f t="shared" si="43"/>
        <v>1483</v>
      </c>
      <c r="AC65" s="702">
        <f t="shared" si="43"/>
        <v>0</v>
      </c>
      <c r="AD65" s="702">
        <f t="shared" si="8"/>
        <v>1483</v>
      </c>
      <c r="AE65" s="702">
        <f t="shared" si="43"/>
        <v>58824</v>
      </c>
      <c r="AF65" s="702">
        <f t="shared" si="43"/>
        <v>0</v>
      </c>
      <c r="AG65" s="704">
        <f t="shared" si="9"/>
        <v>58824</v>
      </c>
    </row>
  </sheetData>
  <mergeCells count="77">
    <mergeCell ref="B54:C54"/>
    <mergeCell ref="B41:C41"/>
    <mergeCell ref="B42:C42"/>
    <mergeCell ref="B43:C43"/>
    <mergeCell ref="B45:C45"/>
    <mergeCell ref="B46:C46"/>
    <mergeCell ref="B47:C47"/>
    <mergeCell ref="B65:C65"/>
    <mergeCell ref="B55:C55"/>
    <mergeCell ref="B56:C56"/>
    <mergeCell ref="B57:C57"/>
    <mergeCell ref="B58:C58"/>
    <mergeCell ref="B62:C62"/>
    <mergeCell ref="B63:C63"/>
    <mergeCell ref="B61:C61"/>
    <mergeCell ref="B60:C60"/>
    <mergeCell ref="B29:C29"/>
    <mergeCell ref="B32:C32"/>
    <mergeCell ref="B33:C33"/>
    <mergeCell ref="B34:C34"/>
    <mergeCell ref="B30:C30"/>
    <mergeCell ref="B31:C31"/>
    <mergeCell ref="B36:C36"/>
    <mergeCell ref="B51:C51"/>
    <mergeCell ref="B52:C52"/>
    <mergeCell ref="B40:C40"/>
    <mergeCell ref="B48:C48"/>
    <mergeCell ref="B49:C49"/>
    <mergeCell ref="B50:C50"/>
    <mergeCell ref="B37:C37"/>
    <mergeCell ref="B38:C38"/>
    <mergeCell ref="B39:C39"/>
    <mergeCell ref="B35:C35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4:C24"/>
    <mergeCell ref="B28:C28"/>
    <mergeCell ref="B13:C13"/>
    <mergeCell ref="B5:C5"/>
    <mergeCell ref="B6:C6"/>
    <mergeCell ref="B7:C7"/>
    <mergeCell ref="B9:C9"/>
    <mergeCell ref="B11:C11"/>
    <mergeCell ref="B12:C12"/>
    <mergeCell ref="AB2:AD2"/>
    <mergeCell ref="AE2:AG2"/>
    <mergeCell ref="G3:I3"/>
    <mergeCell ref="J3:L3"/>
    <mergeCell ref="AB3:AD3"/>
    <mergeCell ref="AE3:AG3"/>
    <mergeCell ref="M2:O2"/>
    <mergeCell ref="M3:O3"/>
    <mergeCell ref="V2:X2"/>
    <mergeCell ref="V3:X3"/>
    <mergeCell ref="Y2:AA2"/>
    <mergeCell ref="Y3:AA3"/>
    <mergeCell ref="P2:R2"/>
    <mergeCell ref="P3:R3"/>
    <mergeCell ref="S2:U2"/>
    <mergeCell ref="S3:U3"/>
    <mergeCell ref="D2:F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48" orientation="landscape" cellComments="asDisplayed" r:id="rId1"/>
  <headerFooter>
    <oddHeader>&amp;C&amp;"Times New Roman,Félkövér"&amp;12Martonvásár Város Önkormányzatának kiadásai 2019.
Városfejlesztési feladatok EU forrásból&amp;R&amp;"Times New Roman,Félkövér"&amp;12 5/c.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opLeftCell="C13" zoomScaleNormal="100" workbookViewId="0">
      <selection activeCell="K25" sqref="K25"/>
    </sheetView>
  </sheetViews>
  <sheetFormatPr defaultColWidth="9.140625" defaultRowHeight="12.75" x14ac:dyDescent="0.2"/>
  <cols>
    <col min="1" max="1" width="7.28515625" style="24" customWidth="1"/>
    <col min="2" max="2" width="7.140625" style="25" customWidth="1"/>
    <col min="3" max="3" width="32" style="25" customWidth="1"/>
    <col min="4" max="5" width="9" style="590" customWidth="1"/>
    <col min="6" max="6" width="9.140625" style="590" customWidth="1"/>
    <col min="7" max="7" width="7.7109375" style="17" customWidth="1"/>
    <col min="8" max="8" width="6.7109375" style="17" customWidth="1"/>
    <col min="9" max="9" width="7.42578125" style="17" customWidth="1"/>
    <col min="10" max="10" width="7.28515625" style="17" customWidth="1"/>
    <col min="11" max="11" width="7.7109375" style="17" customWidth="1"/>
    <col min="12" max="12" width="7" style="17" customWidth="1"/>
    <col min="13" max="13" width="7.7109375" style="17" customWidth="1"/>
    <col min="14" max="14" width="7.42578125" style="17" customWidth="1"/>
    <col min="15" max="15" width="7.7109375" style="17" customWidth="1"/>
    <col min="16" max="16" width="7.7109375" style="17" hidden="1" customWidth="1"/>
    <col min="17" max="17" width="6.7109375" style="17" hidden="1" customWidth="1"/>
    <col min="18" max="19" width="7.7109375" style="17" hidden="1" customWidth="1"/>
    <col min="20" max="20" width="6.85546875" style="17" hidden="1" customWidth="1"/>
    <col min="21" max="21" width="7.140625" style="17" hidden="1" customWidth="1"/>
    <col min="22" max="16384" width="9.140625" style="17"/>
  </cols>
  <sheetData>
    <row r="1" spans="1:21" s="1" customFormat="1" ht="15.75" thickBot="1" x14ac:dyDescent="0.3">
      <c r="A1" s="24"/>
      <c r="B1" s="25"/>
      <c r="C1" s="25"/>
      <c r="D1" s="756"/>
      <c r="E1" s="756"/>
      <c r="F1" s="756"/>
      <c r="S1" s="1176" t="s">
        <v>391</v>
      </c>
      <c r="T1" s="1176"/>
      <c r="U1" s="1176"/>
    </row>
    <row r="2" spans="1:21" s="31" customFormat="1" ht="33.75" customHeight="1" x14ac:dyDescent="0.25">
      <c r="A2" s="1196" t="s">
        <v>0</v>
      </c>
      <c r="B2" s="1198" t="s">
        <v>182</v>
      </c>
      <c r="C2" s="1199"/>
      <c r="D2" s="1225" t="s">
        <v>180</v>
      </c>
      <c r="E2" s="1226"/>
      <c r="F2" s="1227"/>
      <c r="G2" s="1189" t="s">
        <v>186</v>
      </c>
      <c r="H2" s="1183"/>
      <c r="I2" s="1183"/>
      <c r="J2" s="1183" t="s">
        <v>187</v>
      </c>
      <c r="K2" s="1183"/>
      <c r="L2" s="1183"/>
      <c r="M2" s="1185" t="s">
        <v>188</v>
      </c>
      <c r="N2" s="1185"/>
      <c r="O2" s="1186"/>
      <c r="P2" s="1212" t="s">
        <v>191</v>
      </c>
      <c r="Q2" s="1181"/>
      <c r="R2" s="1181"/>
      <c r="S2" s="1181" t="s">
        <v>192</v>
      </c>
      <c r="T2" s="1181"/>
      <c r="U2" s="1181"/>
    </row>
    <row r="3" spans="1:21" s="31" customFormat="1" x14ac:dyDescent="0.25">
      <c r="A3" s="1197"/>
      <c r="B3" s="1169"/>
      <c r="C3" s="1200"/>
      <c r="D3" s="1228"/>
      <c r="E3" s="1229"/>
      <c r="F3" s="1230"/>
      <c r="G3" s="1207" t="s">
        <v>189</v>
      </c>
      <c r="H3" s="1208"/>
      <c r="I3" s="1208"/>
      <c r="J3" s="1208" t="s">
        <v>189</v>
      </c>
      <c r="K3" s="1208"/>
      <c r="L3" s="1208"/>
      <c r="M3" s="1208" t="s">
        <v>190</v>
      </c>
      <c r="N3" s="1208"/>
      <c r="O3" s="1213"/>
      <c r="P3" s="1207" t="s">
        <v>190</v>
      </c>
      <c r="Q3" s="1208"/>
      <c r="R3" s="1208"/>
      <c r="S3" s="1208" t="s">
        <v>190</v>
      </c>
      <c r="T3" s="1208"/>
      <c r="U3" s="1208"/>
    </row>
    <row r="4" spans="1:21" s="16" customFormat="1" ht="38.25" x14ac:dyDescent="0.25">
      <c r="A4" s="1197"/>
      <c r="B4" s="1169"/>
      <c r="C4" s="1200"/>
      <c r="D4" s="892" t="s">
        <v>912</v>
      </c>
      <c r="E4" s="892" t="s">
        <v>727</v>
      </c>
      <c r="F4" s="892" t="s">
        <v>950</v>
      </c>
      <c r="G4" s="890" t="s">
        <v>912</v>
      </c>
      <c r="H4" s="890" t="s">
        <v>727</v>
      </c>
      <c r="I4" s="890" t="s">
        <v>950</v>
      </c>
      <c r="J4" s="890" t="s">
        <v>912</v>
      </c>
      <c r="K4" s="890" t="s">
        <v>727</v>
      </c>
      <c r="L4" s="890" t="s">
        <v>950</v>
      </c>
      <c r="M4" s="890" t="s">
        <v>912</v>
      </c>
      <c r="N4" s="890" t="s">
        <v>727</v>
      </c>
      <c r="O4" s="890" t="s">
        <v>950</v>
      </c>
      <c r="P4" s="705" t="s">
        <v>177</v>
      </c>
      <c r="Q4" s="3" t="s">
        <v>178</v>
      </c>
      <c r="R4" s="3" t="s">
        <v>179</v>
      </c>
      <c r="S4" s="3" t="s">
        <v>177</v>
      </c>
      <c r="T4" s="3" t="s">
        <v>178</v>
      </c>
      <c r="U4" s="3" t="s">
        <v>179</v>
      </c>
    </row>
    <row r="5" spans="1:21" s="42" customFormat="1" ht="12" customHeight="1" x14ac:dyDescent="0.2">
      <c r="A5" s="473" t="s">
        <v>27</v>
      </c>
      <c r="B5" s="1170" t="s">
        <v>174</v>
      </c>
      <c r="C5" s="1143"/>
      <c r="D5" s="898">
        <f>+G5+J5+M5+P5+S5</f>
        <v>11615</v>
      </c>
      <c r="E5" s="699">
        <f t="shared" ref="E5:F6" si="0">+H5+K5+N5+Q5+T5</f>
        <v>1739</v>
      </c>
      <c r="F5" s="895">
        <f t="shared" si="0"/>
        <v>13354</v>
      </c>
      <c r="G5" s="535">
        <v>8175</v>
      </c>
      <c r="H5" s="53">
        <f>1329+200</f>
        <v>1529</v>
      </c>
      <c r="I5" s="53">
        <f>+H5+G5</f>
        <v>9704</v>
      </c>
      <c r="J5" s="53">
        <v>3440</v>
      </c>
      <c r="K5" s="53">
        <f>110+100</f>
        <v>210</v>
      </c>
      <c r="L5" s="53">
        <f>+K5+J5</f>
        <v>3650</v>
      </c>
      <c r="M5" s="53"/>
      <c r="N5" s="53"/>
      <c r="O5" s="474">
        <f>+N5+M5</f>
        <v>0</v>
      </c>
      <c r="P5" s="535"/>
      <c r="Q5" s="53"/>
      <c r="R5" s="53"/>
      <c r="S5" s="53"/>
      <c r="T5" s="53"/>
      <c r="U5" s="53"/>
    </row>
    <row r="6" spans="1:21" s="42" customFormat="1" ht="12" customHeight="1" x14ac:dyDescent="0.2">
      <c r="A6" s="473" t="s">
        <v>33</v>
      </c>
      <c r="B6" s="1170" t="s">
        <v>173</v>
      </c>
      <c r="C6" s="1143"/>
      <c r="D6" s="898">
        <f>+G6+J6+M6+P6+S6</f>
        <v>1080</v>
      </c>
      <c r="E6" s="699">
        <f t="shared" si="0"/>
        <v>0</v>
      </c>
      <c r="F6" s="895">
        <f t="shared" si="0"/>
        <v>1080</v>
      </c>
      <c r="G6" s="535">
        <v>0</v>
      </c>
      <c r="H6" s="53"/>
      <c r="I6" s="53">
        <f>+H6+G6</f>
        <v>0</v>
      </c>
      <c r="J6" s="53"/>
      <c r="K6" s="53"/>
      <c r="L6" s="53">
        <f>+K6+J6</f>
        <v>0</v>
      </c>
      <c r="M6" s="53">
        <v>1080</v>
      </c>
      <c r="N6" s="53"/>
      <c r="O6" s="474">
        <f>+N6+M6</f>
        <v>1080</v>
      </c>
      <c r="P6" s="535"/>
      <c r="Q6" s="53"/>
      <c r="R6" s="53"/>
      <c r="S6" s="53"/>
      <c r="T6" s="53"/>
      <c r="U6" s="53"/>
    </row>
    <row r="7" spans="1:21" s="42" customFormat="1" ht="12" customHeight="1" x14ac:dyDescent="0.2">
      <c r="A7" s="715" t="s">
        <v>34</v>
      </c>
      <c r="B7" s="1167" t="s">
        <v>172</v>
      </c>
      <c r="C7" s="1224"/>
      <c r="D7" s="899">
        <f>+D6+D5</f>
        <v>12695</v>
      </c>
      <c r="E7" s="900">
        <f t="shared" ref="E7:F7" si="1">+E6+E5</f>
        <v>1739</v>
      </c>
      <c r="F7" s="901">
        <f t="shared" si="1"/>
        <v>14434</v>
      </c>
      <c r="G7" s="712">
        <f>+G5+G6</f>
        <v>8175</v>
      </c>
      <c r="H7" s="51">
        <f t="shared" ref="H7:I7" si="2">+H5+H6</f>
        <v>1529</v>
      </c>
      <c r="I7" s="51">
        <f t="shared" si="2"/>
        <v>9704</v>
      </c>
      <c r="J7" s="51">
        <f>J5+J6</f>
        <v>3440</v>
      </c>
      <c r="K7" s="51">
        <f t="shared" ref="K7:L7" si="3">K5+K6</f>
        <v>210</v>
      </c>
      <c r="L7" s="51">
        <f t="shared" si="3"/>
        <v>3650</v>
      </c>
      <c r="M7" s="51">
        <f>SUM(M6)</f>
        <v>1080</v>
      </c>
      <c r="N7" s="51">
        <f t="shared" ref="N7:O7" si="4">SUM(N6)</f>
        <v>0</v>
      </c>
      <c r="O7" s="716">
        <f t="shared" si="4"/>
        <v>1080</v>
      </c>
      <c r="P7" s="712"/>
      <c r="Q7" s="51"/>
      <c r="R7" s="51"/>
      <c r="S7" s="51"/>
      <c r="T7" s="51"/>
      <c r="U7" s="51"/>
    </row>
    <row r="8" spans="1:21" ht="12" customHeight="1" x14ac:dyDescent="0.2">
      <c r="A8" s="405"/>
      <c r="B8" s="8"/>
      <c r="C8" s="733"/>
      <c r="D8" s="902"/>
      <c r="E8" s="903"/>
      <c r="F8" s="904"/>
      <c r="G8" s="28"/>
      <c r="H8" s="28"/>
      <c r="I8" s="28"/>
      <c r="J8" s="28"/>
      <c r="K8" s="28"/>
      <c r="L8" s="28"/>
      <c r="M8" s="28"/>
      <c r="N8" s="28"/>
      <c r="O8" s="717"/>
      <c r="P8" s="28"/>
      <c r="Q8" s="28"/>
      <c r="R8" s="29"/>
      <c r="S8" s="28"/>
      <c r="T8" s="28"/>
      <c r="U8" s="29"/>
    </row>
    <row r="9" spans="1:21" s="42" customFormat="1" ht="12" customHeight="1" x14ac:dyDescent="0.2">
      <c r="A9" s="718" t="s">
        <v>35</v>
      </c>
      <c r="B9" s="1167" t="s">
        <v>171</v>
      </c>
      <c r="C9" s="1224"/>
      <c r="D9" s="905">
        <f>+G9+J9+M9+P9+S9</f>
        <v>2512</v>
      </c>
      <c r="E9" s="906">
        <f t="shared" ref="E9:F9" si="5">+H9+K9+N9+Q9+T9</f>
        <v>305</v>
      </c>
      <c r="F9" s="907">
        <f t="shared" si="5"/>
        <v>2817</v>
      </c>
      <c r="G9" s="713">
        <v>1618</v>
      </c>
      <c r="H9" s="50">
        <v>268</v>
      </c>
      <c r="I9" s="50">
        <f>+H9+G9</f>
        <v>1886</v>
      </c>
      <c r="J9" s="50">
        <v>683</v>
      </c>
      <c r="K9" s="50">
        <v>37</v>
      </c>
      <c r="L9" s="50">
        <f>+K9+J9</f>
        <v>720</v>
      </c>
      <c r="M9" s="50">
        <v>211</v>
      </c>
      <c r="N9" s="50"/>
      <c r="O9" s="719">
        <f>+N9+M9</f>
        <v>211</v>
      </c>
      <c r="P9" s="713"/>
      <c r="Q9" s="50"/>
      <c r="R9" s="50"/>
      <c r="S9" s="50"/>
      <c r="T9" s="50"/>
      <c r="U9" s="50"/>
    </row>
    <row r="10" spans="1:21" s="38" customFormat="1" ht="11.25" customHeight="1" x14ac:dyDescent="0.2">
      <c r="A10" s="720"/>
      <c r="B10" s="195"/>
      <c r="C10" s="734"/>
      <c r="D10" s="902"/>
      <c r="E10" s="908"/>
      <c r="F10" s="909"/>
      <c r="G10" s="490"/>
      <c r="H10" s="490"/>
      <c r="I10" s="490"/>
      <c r="J10" s="194"/>
      <c r="K10" s="194"/>
      <c r="L10" s="194"/>
      <c r="M10" s="194"/>
      <c r="N10" s="194"/>
      <c r="O10" s="721"/>
      <c r="P10" s="194"/>
      <c r="Q10" s="194"/>
      <c r="R10" s="194"/>
      <c r="S10" s="194"/>
      <c r="T10" s="194"/>
      <c r="U10" s="194"/>
    </row>
    <row r="11" spans="1:21" ht="12" customHeight="1" x14ac:dyDescent="0.2">
      <c r="A11" s="476" t="s">
        <v>42</v>
      </c>
      <c r="B11" s="1171" t="s">
        <v>41</v>
      </c>
      <c r="C11" s="1145"/>
      <c r="D11" s="910">
        <f t="shared" ref="D11:D34" si="6">+G11+J11+M11+P11+S11</f>
        <v>170</v>
      </c>
      <c r="E11" s="417">
        <f t="shared" ref="E11" si="7">+H11+K11+N11+Q11+T11</f>
        <v>0</v>
      </c>
      <c r="F11" s="764">
        <f t="shared" ref="F11" si="8">+I11+L11+O11+R11+U11</f>
        <v>170</v>
      </c>
      <c r="G11" s="29">
        <v>170</v>
      </c>
      <c r="H11" s="27"/>
      <c r="I11" s="27">
        <f>+H11+G11</f>
        <v>170</v>
      </c>
      <c r="J11" s="27"/>
      <c r="K11" s="27"/>
      <c r="L11" s="27">
        <f>+K11+J11</f>
        <v>0</v>
      </c>
      <c r="M11" s="27"/>
      <c r="N11" s="27"/>
      <c r="O11" s="477">
        <f>+N11+M11</f>
        <v>0</v>
      </c>
      <c r="P11" s="29"/>
      <c r="Q11" s="27"/>
      <c r="R11" s="27"/>
      <c r="S11" s="27"/>
      <c r="T11" s="27"/>
      <c r="U11" s="27"/>
    </row>
    <row r="12" spans="1:21" ht="12" customHeight="1" x14ac:dyDescent="0.2">
      <c r="A12" s="476" t="s">
        <v>44</v>
      </c>
      <c r="B12" s="1171" t="s">
        <v>43</v>
      </c>
      <c r="C12" s="1145"/>
      <c r="D12" s="910">
        <f t="shared" ref="D12:D13" si="9">+G12+J12+M12+P12+S12</f>
        <v>204</v>
      </c>
      <c r="E12" s="417">
        <f t="shared" ref="E12:E13" si="10">+H12+K12+N12+Q12+T12</f>
        <v>122</v>
      </c>
      <c r="F12" s="764">
        <f t="shared" ref="F12:F13" si="11">+I12+L12+O12+R12+U12</f>
        <v>326</v>
      </c>
      <c r="G12" s="29">
        <v>150</v>
      </c>
      <c r="H12" s="27">
        <v>122</v>
      </c>
      <c r="I12" s="27">
        <f t="shared" ref="I12:I13" si="12">+H12+G12</f>
        <v>272</v>
      </c>
      <c r="J12" s="27">
        <v>9</v>
      </c>
      <c r="K12" s="27"/>
      <c r="L12" s="27">
        <f t="shared" ref="L12:L13" si="13">+K12+J12</f>
        <v>9</v>
      </c>
      <c r="M12" s="27">
        <v>45</v>
      </c>
      <c r="N12" s="27"/>
      <c r="O12" s="477">
        <f t="shared" ref="O12:O13" si="14">+N12+M12</f>
        <v>45</v>
      </c>
      <c r="P12" s="29"/>
      <c r="Q12" s="27"/>
      <c r="R12" s="27"/>
      <c r="S12" s="27"/>
      <c r="T12" s="27"/>
      <c r="U12" s="27"/>
    </row>
    <row r="13" spans="1:21" ht="12" customHeight="1" x14ac:dyDescent="0.2">
      <c r="A13" s="476" t="s">
        <v>46</v>
      </c>
      <c r="B13" s="1171" t="s">
        <v>45</v>
      </c>
      <c r="C13" s="1145"/>
      <c r="D13" s="910">
        <f t="shared" si="9"/>
        <v>0</v>
      </c>
      <c r="E13" s="417">
        <f t="shared" si="10"/>
        <v>0</v>
      </c>
      <c r="F13" s="764">
        <f t="shared" si="11"/>
        <v>0</v>
      </c>
      <c r="G13" s="29"/>
      <c r="H13" s="27"/>
      <c r="I13" s="27">
        <f t="shared" si="12"/>
        <v>0</v>
      </c>
      <c r="J13" s="27"/>
      <c r="K13" s="27"/>
      <c r="L13" s="27">
        <f t="shared" si="13"/>
        <v>0</v>
      </c>
      <c r="M13" s="27"/>
      <c r="N13" s="27"/>
      <c r="O13" s="477">
        <f t="shared" si="14"/>
        <v>0</v>
      </c>
      <c r="P13" s="29"/>
      <c r="Q13" s="27"/>
      <c r="R13" s="27"/>
      <c r="S13" s="27"/>
      <c r="T13" s="27"/>
      <c r="U13" s="27"/>
    </row>
    <row r="14" spans="1:21" s="42" customFormat="1" ht="12" customHeight="1" x14ac:dyDescent="0.2">
      <c r="A14" s="473" t="s">
        <v>47</v>
      </c>
      <c r="B14" s="1170" t="s">
        <v>170</v>
      </c>
      <c r="C14" s="1143"/>
      <c r="D14" s="911">
        <f t="shared" si="6"/>
        <v>374</v>
      </c>
      <c r="E14" s="699">
        <f>SUM(E11:E13)</f>
        <v>122</v>
      </c>
      <c r="F14" s="895">
        <f>SUM(F11:F13)</f>
        <v>496</v>
      </c>
      <c r="G14" s="535">
        <f>SUM(G11:G13)</f>
        <v>320</v>
      </c>
      <c r="H14" s="53">
        <f t="shared" ref="H14:U14" si="15">SUM(H11:H13)</f>
        <v>122</v>
      </c>
      <c r="I14" s="53">
        <f t="shared" si="15"/>
        <v>442</v>
      </c>
      <c r="J14" s="53">
        <f t="shared" si="15"/>
        <v>9</v>
      </c>
      <c r="K14" s="53">
        <f t="shared" si="15"/>
        <v>0</v>
      </c>
      <c r="L14" s="53">
        <f t="shared" si="15"/>
        <v>9</v>
      </c>
      <c r="M14" s="53">
        <f t="shared" si="15"/>
        <v>45</v>
      </c>
      <c r="N14" s="53">
        <f t="shared" si="15"/>
        <v>0</v>
      </c>
      <c r="O14" s="474">
        <f t="shared" si="15"/>
        <v>45</v>
      </c>
      <c r="P14" s="535">
        <f t="shared" si="15"/>
        <v>0</v>
      </c>
      <c r="Q14" s="53">
        <f t="shared" si="15"/>
        <v>0</v>
      </c>
      <c r="R14" s="53">
        <f t="shared" si="15"/>
        <v>0</v>
      </c>
      <c r="S14" s="53">
        <f t="shared" si="15"/>
        <v>0</v>
      </c>
      <c r="T14" s="53">
        <f t="shared" si="15"/>
        <v>0</v>
      </c>
      <c r="U14" s="53">
        <f t="shared" si="15"/>
        <v>0</v>
      </c>
    </row>
    <row r="15" spans="1:21" ht="12" customHeight="1" x14ac:dyDescent="0.2">
      <c r="A15" s="476" t="s">
        <v>49</v>
      </c>
      <c r="B15" s="1171" t="s">
        <v>48</v>
      </c>
      <c r="C15" s="1145"/>
      <c r="D15" s="912">
        <f t="shared" si="6"/>
        <v>136</v>
      </c>
      <c r="E15" s="913">
        <f t="shared" ref="E15" si="16">+H15+K15+N15+Q15+T15</f>
        <v>0</v>
      </c>
      <c r="F15" s="914">
        <f t="shared" ref="F15" si="17">+I15+L15+O15+R15+U15</f>
        <v>136</v>
      </c>
      <c r="G15" s="29">
        <v>75</v>
      </c>
      <c r="H15" s="27"/>
      <c r="I15" s="27">
        <f>+H15+G15</f>
        <v>75</v>
      </c>
      <c r="J15" s="27"/>
      <c r="K15" s="27"/>
      <c r="L15" s="27">
        <f>+K15+J15</f>
        <v>0</v>
      </c>
      <c r="M15" s="27">
        <v>61</v>
      </c>
      <c r="N15" s="27"/>
      <c r="O15" s="477">
        <f>+N15+M15</f>
        <v>61</v>
      </c>
      <c r="P15" s="29"/>
      <c r="Q15" s="27"/>
      <c r="R15" s="27"/>
      <c r="S15" s="27"/>
      <c r="T15" s="27"/>
      <c r="U15" s="27"/>
    </row>
    <row r="16" spans="1:21" ht="12" customHeight="1" x14ac:dyDescent="0.2">
      <c r="A16" s="476" t="s">
        <v>51</v>
      </c>
      <c r="B16" s="1171" t="s">
        <v>50</v>
      </c>
      <c r="C16" s="1145"/>
      <c r="D16" s="912">
        <f t="shared" ref="D16" si="18">+G16+J16+M16+P16+S16</f>
        <v>181</v>
      </c>
      <c r="E16" s="913">
        <f t="shared" ref="E16" si="19">+H16+K16+N16+Q16+T16</f>
        <v>0</v>
      </c>
      <c r="F16" s="914">
        <f t="shared" ref="F16" si="20">+I16+L16+O16+R16+U16</f>
        <v>181</v>
      </c>
      <c r="G16" s="29">
        <v>145</v>
      </c>
      <c r="H16" s="27"/>
      <c r="I16" s="27">
        <f>+H16+G16</f>
        <v>145</v>
      </c>
      <c r="J16" s="27"/>
      <c r="K16" s="27"/>
      <c r="L16" s="27">
        <f>+K16+J16</f>
        <v>0</v>
      </c>
      <c r="M16" s="27">
        <v>36</v>
      </c>
      <c r="N16" s="27"/>
      <c r="O16" s="477">
        <f>+N16+M16</f>
        <v>36</v>
      </c>
      <c r="P16" s="29"/>
      <c r="Q16" s="27"/>
      <c r="R16" s="27"/>
      <c r="S16" s="27"/>
      <c r="T16" s="27"/>
      <c r="U16" s="27"/>
    </row>
    <row r="17" spans="1:21" s="42" customFormat="1" ht="12" customHeight="1" x14ac:dyDescent="0.2">
      <c r="A17" s="473" t="s">
        <v>52</v>
      </c>
      <c r="B17" s="1170" t="s">
        <v>169</v>
      </c>
      <c r="C17" s="1143"/>
      <c r="D17" s="911">
        <f t="shared" si="6"/>
        <v>317</v>
      </c>
      <c r="E17" s="699">
        <f>+E15+E16</f>
        <v>0</v>
      </c>
      <c r="F17" s="895">
        <f>+F15+F16</f>
        <v>317</v>
      </c>
      <c r="G17" s="535">
        <f>+G15+G16</f>
        <v>220</v>
      </c>
      <c r="H17" s="53">
        <f t="shared" ref="H17:U17" si="21">+H15+H16</f>
        <v>0</v>
      </c>
      <c r="I17" s="53">
        <f t="shared" si="21"/>
        <v>220</v>
      </c>
      <c r="J17" s="53">
        <f t="shared" si="21"/>
        <v>0</v>
      </c>
      <c r="K17" s="53">
        <f t="shared" si="21"/>
        <v>0</v>
      </c>
      <c r="L17" s="53">
        <f t="shared" si="21"/>
        <v>0</v>
      </c>
      <c r="M17" s="53">
        <f t="shared" si="21"/>
        <v>97</v>
      </c>
      <c r="N17" s="53">
        <f t="shared" si="21"/>
        <v>0</v>
      </c>
      <c r="O17" s="474">
        <f t="shared" si="21"/>
        <v>97</v>
      </c>
      <c r="P17" s="535">
        <f t="shared" si="21"/>
        <v>0</v>
      </c>
      <c r="Q17" s="53">
        <f t="shared" si="21"/>
        <v>0</v>
      </c>
      <c r="R17" s="53">
        <f t="shared" si="21"/>
        <v>0</v>
      </c>
      <c r="S17" s="53">
        <f t="shared" si="21"/>
        <v>0</v>
      </c>
      <c r="T17" s="53">
        <f t="shared" si="21"/>
        <v>0</v>
      </c>
      <c r="U17" s="53">
        <f t="shared" si="21"/>
        <v>0</v>
      </c>
    </row>
    <row r="18" spans="1:21" ht="12" customHeight="1" x14ac:dyDescent="0.2">
      <c r="A18" s="476" t="s">
        <v>54</v>
      </c>
      <c r="B18" s="1171" t="s">
        <v>53</v>
      </c>
      <c r="C18" s="1145"/>
      <c r="D18" s="912">
        <f t="shared" si="6"/>
        <v>0</v>
      </c>
      <c r="E18" s="913">
        <f t="shared" ref="E18" si="22">+H18+K18+N18+Q18+T18</f>
        <v>0</v>
      </c>
      <c r="F18" s="914">
        <f t="shared" ref="F18" si="23">+I18+L18+O18+R18+U18</f>
        <v>0</v>
      </c>
      <c r="G18" s="29"/>
      <c r="H18" s="27"/>
      <c r="I18" s="27">
        <f>+H18+G18</f>
        <v>0</v>
      </c>
      <c r="J18" s="27"/>
      <c r="K18" s="27"/>
      <c r="L18" s="27">
        <f>+K18+J18</f>
        <v>0</v>
      </c>
      <c r="M18" s="27"/>
      <c r="N18" s="27"/>
      <c r="O18" s="477">
        <f>+N18+M18</f>
        <v>0</v>
      </c>
      <c r="P18" s="29"/>
      <c r="Q18" s="27"/>
      <c r="R18" s="27"/>
      <c r="S18" s="27"/>
      <c r="T18" s="27"/>
      <c r="U18" s="27"/>
    </row>
    <row r="19" spans="1:21" ht="12" customHeight="1" x14ac:dyDescent="0.2">
      <c r="A19" s="476" t="s">
        <v>56</v>
      </c>
      <c r="B19" s="1171" t="s">
        <v>55</v>
      </c>
      <c r="C19" s="1145"/>
      <c r="D19" s="912">
        <f t="shared" ref="D19:D24" si="24">+G19+J19+M19+P19+S19</f>
        <v>0</v>
      </c>
      <c r="E19" s="913">
        <f t="shared" ref="E19:E24" si="25">+H19+K19+N19+Q19+T19</f>
        <v>0</v>
      </c>
      <c r="F19" s="914">
        <f t="shared" ref="F19:F24" si="26">+I19+L19+O19+R19+U19</f>
        <v>0</v>
      </c>
      <c r="G19" s="29"/>
      <c r="H19" s="27"/>
      <c r="I19" s="27">
        <f t="shared" ref="I19:I24" si="27">+H19+G19</f>
        <v>0</v>
      </c>
      <c r="J19" s="27"/>
      <c r="K19" s="27"/>
      <c r="L19" s="27">
        <f t="shared" ref="L19:L24" si="28">+K19+J19</f>
        <v>0</v>
      </c>
      <c r="M19" s="27"/>
      <c r="N19" s="27"/>
      <c r="O19" s="477">
        <f t="shared" ref="O19:O24" si="29">+N19+M19</f>
        <v>0</v>
      </c>
      <c r="P19" s="29"/>
      <c r="Q19" s="27"/>
      <c r="R19" s="27"/>
      <c r="S19" s="27"/>
      <c r="T19" s="27"/>
      <c r="U19" s="27"/>
    </row>
    <row r="20" spans="1:21" ht="12" customHeight="1" x14ac:dyDescent="0.2">
      <c r="A20" s="476" t="s">
        <v>57</v>
      </c>
      <c r="B20" s="1171" t="s">
        <v>167</v>
      </c>
      <c r="C20" s="1145"/>
      <c r="D20" s="912">
        <f t="shared" si="24"/>
        <v>0</v>
      </c>
      <c r="E20" s="913">
        <f t="shared" si="25"/>
        <v>0</v>
      </c>
      <c r="F20" s="914">
        <f t="shared" si="26"/>
        <v>0</v>
      </c>
      <c r="G20" s="29"/>
      <c r="H20" s="27"/>
      <c r="I20" s="27">
        <f t="shared" si="27"/>
        <v>0</v>
      </c>
      <c r="J20" s="27"/>
      <c r="K20" s="27"/>
      <c r="L20" s="27">
        <f t="shared" si="28"/>
        <v>0</v>
      </c>
      <c r="M20" s="27"/>
      <c r="N20" s="27"/>
      <c r="O20" s="477">
        <f t="shared" si="29"/>
        <v>0</v>
      </c>
      <c r="P20" s="29"/>
      <c r="Q20" s="27"/>
      <c r="R20" s="27"/>
      <c r="S20" s="27"/>
      <c r="T20" s="27"/>
      <c r="U20" s="27"/>
    </row>
    <row r="21" spans="1:21" ht="12" customHeight="1" x14ac:dyDescent="0.2">
      <c r="A21" s="476" t="s">
        <v>59</v>
      </c>
      <c r="B21" s="1171" t="s">
        <v>58</v>
      </c>
      <c r="C21" s="1145"/>
      <c r="D21" s="912">
        <f t="shared" si="24"/>
        <v>0</v>
      </c>
      <c r="E21" s="913">
        <f t="shared" si="25"/>
        <v>0</v>
      </c>
      <c r="F21" s="914">
        <f t="shared" si="26"/>
        <v>0</v>
      </c>
      <c r="G21" s="29"/>
      <c r="H21" s="27"/>
      <c r="I21" s="27">
        <f t="shared" si="27"/>
        <v>0</v>
      </c>
      <c r="J21" s="27"/>
      <c r="K21" s="27"/>
      <c r="L21" s="27">
        <f t="shared" si="28"/>
        <v>0</v>
      </c>
      <c r="M21" s="27"/>
      <c r="N21" s="27"/>
      <c r="O21" s="477">
        <f t="shared" si="29"/>
        <v>0</v>
      </c>
      <c r="P21" s="29"/>
      <c r="Q21" s="27"/>
      <c r="R21" s="27"/>
      <c r="S21" s="27"/>
      <c r="T21" s="27"/>
      <c r="U21" s="27"/>
    </row>
    <row r="22" spans="1:21" ht="12" customHeight="1" x14ac:dyDescent="0.2">
      <c r="A22" s="476" t="s">
        <v>60</v>
      </c>
      <c r="B22" s="1171" t="s">
        <v>166</v>
      </c>
      <c r="C22" s="1145"/>
      <c r="D22" s="912">
        <f t="shared" si="24"/>
        <v>0</v>
      </c>
      <c r="E22" s="913">
        <f t="shared" si="25"/>
        <v>0</v>
      </c>
      <c r="F22" s="914">
        <f t="shared" si="26"/>
        <v>0</v>
      </c>
      <c r="G22" s="29"/>
      <c r="H22" s="27"/>
      <c r="I22" s="27">
        <f t="shared" si="27"/>
        <v>0</v>
      </c>
      <c r="J22" s="27"/>
      <c r="K22" s="27"/>
      <c r="L22" s="27">
        <f t="shared" si="28"/>
        <v>0</v>
      </c>
      <c r="M22" s="27"/>
      <c r="N22" s="27"/>
      <c r="O22" s="477">
        <f t="shared" si="29"/>
        <v>0</v>
      </c>
      <c r="P22" s="29"/>
      <c r="Q22" s="27"/>
      <c r="R22" s="27"/>
      <c r="S22" s="27"/>
      <c r="T22" s="27"/>
      <c r="U22" s="27"/>
    </row>
    <row r="23" spans="1:21" ht="12" customHeight="1" x14ac:dyDescent="0.2">
      <c r="A23" s="476" t="s">
        <v>63</v>
      </c>
      <c r="B23" s="1171" t="s">
        <v>62</v>
      </c>
      <c r="C23" s="1145"/>
      <c r="D23" s="912">
        <f t="shared" si="24"/>
        <v>185</v>
      </c>
      <c r="E23" s="913">
        <f t="shared" si="25"/>
        <v>0</v>
      </c>
      <c r="F23" s="914">
        <f t="shared" si="26"/>
        <v>185</v>
      </c>
      <c r="G23" s="29">
        <v>185</v>
      </c>
      <c r="H23" s="27"/>
      <c r="I23" s="27">
        <f t="shared" si="27"/>
        <v>185</v>
      </c>
      <c r="J23" s="27"/>
      <c r="K23" s="27"/>
      <c r="L23" s="27">
        <f t="shared" si="28"/>
        <v>0</v>
      </c>
      <c r="M23" s="27"/>
      <c r="N23" s="27"/>
      <c r="O23" s="477">
        <f t="shared" si="29"/>
        <v>0</v>
      </c>
      <c r="P23" s="29"/>
      <c r="Q23" s="27"/>
      <c r="R23" s="27"/>
      <c r="S23" s="27"/>
      <c r="T23" s="27"/>
      <c r="U23" s="27"/>
    </row>
    <row r="24" spans="1:21" ht="12" customHeight="1" x14ac:dyDescent="0.2">
      <c r="A24" s="476" t="s">
        <v>65</v>
      </c>
      <c r="B24" s="1171" t="s">
        <v>64</v>
      </c>
      <c r="C24" s="1145"/>
      <c r="D24" s="912">
        <f t="shared" si="24"/>
        <v>1611</v>
      </c>
      <c r="E24" s="913">
        <f t="shared" si="25"/>
        <v>-768</v>
      </c>
      <c r="F24" s="914">
        <f t="shared" si="26"/>
        <v>843</v>
      </c>
      <c r="G24" s="29">
        <v>812</v>
      </c>
      <c r="H24" s="27">
        <v>-769</v>
      </c>
      <c r="I24" s="27">
        <f t="shared" si="27"/>
        <v>43</v>
      </c>
      <c r="J24" s="27">
        <v>516</v>
      </c>
      <c r="K24" s="27">
        <v>1</v>
      </c>
      <c r="L24" s="27">
        <f t="shared" si="28"/>
        <v>517</v>
      </c>
      <c r="M24" s="27">
        <v>283</v>
      </c>
      <c r="N24" s="27"/>
      <c r="O24" s="477">
        <f t="shared" si="29"/>
        <v>283</v>
      </c>
      <c r="P24" s="29"/>
      <c r="Q24" s="27"/>
      <c r="R24" s="27"/>
      <c r="S24" s="27"/>
      <c r="T24" s="27"/>
      <c r="U24" s="27"/>
    </row>
    <row r="25" spans="1:21" s="42" customFormat="1" ht="12" customHeight="1" x14ac:dyDescent="0.2">
      <c r="A25" s="473" t="s">
        <v>66</v>
      </c>
      <c r="B25" s="1170" t="s">
        <v>156</v>
      </c>
      <c r="C25" s="1143"/>
      <c r="D25" s="911">
        <f t="shared" si="6"/>
        <v>1796</v>
      </c>
      <c r="E25" s="699">
        <f t="shared" ref="E25:U25" si="30">+E24+E23+E22+E21+E20+E19+E18</f>
        <v>-768</v>
      </c>
      <c r="F25" s="895">
        <f t="shared" si="30"/>
        <v>1028</v>
      </c>
      <c r="G25" s="535">
        <f t="shared" si="30"/>
        <v>997</v>
      </c>
      <c r="H25" s="53">
        <f t="shared" si="30"/>
        <v>-769</v>
      </c>
      <c r="I25" s="53">
        <f t="shared" si="30"/>
        <v>228</v>
      </c>
      <c r="J25" s="53">
        <f t="shared" si="30"/>
        <v>516</v>
      </c>
      <c r="K25" s="53">
        <f t="shared" si="30"/>
        <v>1</v>
      </c>
      <c r="L25" s="53">
        <f t="shared" si="30"/>
        <v>517</v>
      </c>
      <c r="M25" s="53">
        <f t="shared" si="30"/>
        <v>283</v>
      </c>
      <c r="N25" s="53">
        <f t="shared" si="30"/>
        <v>0</v>
      </c>
      <c r="O25" s="474">
        <f t="shared" si="30"/>
        <v>283</v>
      </c>
      <c r="P25" s="535">
        <f t="shared" si="30"/>
        <v>0</v>
      </c>
      <c r="Q25" s="53">
        <f t="shared" si="30"/>
        <v>0</v>
      </c>
      <c r="R25" s="53">
        <f t="shared" si="30"/>
        <v>0</v>
      </c>
      <c r="S25" s="53">
        <f t="shared" si="30"/>
        <v>0</v>
      </c>
      <c r="T25" s="53">
        <f t="shared" si="30"/>
        <v>0</v>
      </c>
      <c r="U25" s="53">
        <f t="shared" si="30"/>
        <v>0</v>
      </c>
    </row>
    <row r="26" spans="1:21" ht="12" customHeight="1" x14ac:dyDescent="0.2">
      <c r="A26" s="476" t="s">
        <v>68</v>
      </c>
      <c r="B26" s="1171" t="s">
        <v>67</v>
      </c>
      <c r="C26" s="1145"/>
      <c r="D26" s="912">
        <f t="shared" si="6"/>
        <v>223</v>
      </c>
      <c r="E26" s="913">
        <f t="shared" ref="E26" si="31">+H26+K26+N26+Q26+T26</f>
        <v>48</v>
      </c>
      <c r="F26" s="914">
        <f t="shared" ref="F26" si="32">+I26+L26+O26+R26+U26</f>
        <v>271</v>
      </c>
      <c r="G26" s="29">
        <v>149</v>
      </c>
      <c r="H26" s="27">
        <v>48</v>
      </c>
      <c r="I26" s="27">
        <f>+H26+G26</f>
        <v>197</v>
      </c>
      <c r="J26" s="27">
        <v>74</v>
      </c>
      <c r="K26" s="27"/>
      <c r="L26" s="27">
        <f>+K26+J26</f>
        <v>74</v>
      </c>
      <c r="M26" s="27"/>
      <c r="N26" s="27"/>
      <c r="O26" s="477">
        <f>+N26+M26</f>
        <v>0</v>
      </c>
      <c r="P26" s="29"/>
      <c r="Q26" s="27"/>
      <c r="R26" s="27"/>
      <c r="S26" s="27"/>
      <c r="T26" s="27"/>
      <c r="U26" s="27"/>
    </row>
    <row r="27" spans="1:21" ht="12" customHeight="1" x14ac:dyDescent="0.2">
      <c r="A27" s="476" t="s">
        <v>70</v>
      </c>
      <c r="B27" s="1171" t="s">
        <v>69</v>
      </c>
      <c r="C27" s="1145"/>
      <c r="D27" s="912">
        <f t="shared" ref="D27" si="33">+G27+J27+M27+P27+S27</f>
        <v>0</v>
      </c>
      <c r="E27" s="913">
        <f t="shared" ref="E27:E29" si="34">+H27+K27+N27+Q27+T27</f>
        <v>0</v>
      </c>
      <c r="F27" s="914">
        <f t="shared" ref="F27:F29" si="35">+I27+L27+O27+R27+U27</f>
        <v>0</v>
      </c>
      <c r="G27" s="29"/>
      <c r="H27" s="27"/>
      <c r="I27" s="27">
        <f>+H27+G27</f>
        <v>0</v>
      </c>
      <c r="J27" s="27"/>
      <c r="K27" s="27"/>
      <c r="L27" s="27">
        <f>+K27+J27</f>
        <v>0</v>
      </c>
      <c r="M27" s="27"/>
      <c r="N27" s="27"/>
      <c r="O27" s="477">
        <f>+N27+M27</f>
        <v>0</v>
      </c>
      <c r="P27" s="29"/>
      <c r="Q27" s="27"/>
      <c r="R27" s="27"/>
      <c r="S27" s="27"/>
      <c r="T27" s="27"/>
      <c r="U27" s="27"/>
    </row>
    <row r="28" spans="1:21" s="42" customFormat="1" ht="12" customHeight="1" x14ac:dyDescent="0.2">
      <c r="A28" s="473" t="s">
        <v>71</v>
      </c>
      <c r="B28" s="1170" t="s">
        <v>155</v>
      </c>
      <c r="C28" s="1143"/>
      <c r="D28" s="911">
        <f t="shared" si="6"/>
        <v>223</v>
      </c>
      <c r="E28" s="915">
        <f t="shared" si="34"/>
        <v>48</v>
      </c>
      <c r="F28" s="916">
        <f t="shared" si="35"/>
        <v>271</v>
      </c>
      <c r="G28" s="535">
        <f>+G26+G27</f>
        <v>149</v>
      </c>
      <c r="H28" s="53">
        <f t="shared" ref="H28:U28" si="36">+H26+H27</f>
        <v>48</v>
      </c>
      <c r="I28" s="53">
        <f t="shared" si="36"/>
        <v>197</v>
      </c>
      <c r="J28" s="53">
        <f t="shared" si="36"/>
        <v>74</v>
      </c>
      <c r="K28" s="53">
        <f t="shared" si="36"/>
        <v>0</v>
      </c>
      <c r="L28" s="53">
        <f t="shared" si="36"/>
        <v>74</v>
      </c>
      <c r="M28" s="53">
        <f t="shared" si="36"/>
        <v>0</v>
      </c>
      <c r="N28" s="53">
        <f t="shared" si="36"/>
        <v>0</v>
      </c>
      <c r="O28" s="474">
        <f t="shared" si="36"/>
        <v>0</v>
      </c>
      <c r="P28" s="535">
        <f t="shared" si="36"/>
        <v>0</v>
      </c>
      <c r="Q28" s="53">
        <f t="shared" si="36"/>
        <v>0</v>
      </c>
      <c r="R28" s="53">
        <f t="shared" si="36"/>
        <v>0</v>
      </c>
      <c r="S28" s="53">
        <f t="shared" si="36"/>
        <v>0</v>
      </c>
      <c r="T28" s="53">
        <f t="shared" si="36"/>
        <v>0</v>
      </c>
      <c r="U28" s="53">
        <f t="shared" si="36"/>
        <v>0</v>
      </c>
    </row>
    <row r="29" spans="1:21" ht="12" customHeight="1" x14ac:dyDescent="0.2">
      <c r="A29" s="476" t="s">
        <v>73</v>
      </c>
      <c r="B29" s="1171" t="s">
        <v>72</v>
      </c>
      <c r="C29" s="1145"/>
      <c r="D29" s="912">
        <f t="shared" si="6"/>
        <v>183</v>
      </c>
      <c r="E29" s="913">
        <f t="shared" si="34"/>
        <v>-20</v>
      </c>
      <c r="F29" s="914">
        <f t="shared" si="35"/>
        <v>163</v>
      </c>
      <c r="G29" s="29">
        <v>158</v>
      </c>
      <c r="H29" s="27">
        <v>-20</v>
      </c>
      <c r="I29" s="27">
        <f>+H29+G29</f>
        <v>138</v>
      </c>
      <c r="J29" s="27"/>
      <c r="K29" s="27"/>
      <c r="L29" s="27">
        <f>+K29+J29</f>
        <v>0</v>
      </c>
      <c r="M29" s="27">
        <v>25</v>
      </c>
      <c r="N29" s="27"/>
      <c r="O29" s="477">
        <f>+N29+M29</f>
        <v>25</v>
      </c>
      <c r="P29" s="29"/>
      <c r="Q29" s="27"/>
      <c r="R29" s="27"/>
      <c r="S29" s="27"/>
      <c r="T29" s="27"/>
      <c r="U29" s="27"/>
    </row>
    <row r="30" spans="1:21" ht="12" customHeight="1" x14ac:dyDescent="0.2">
      <c r="A30" s="476" t="s">
        <v>75</v>
      </c>
      <c r="B30" s="1171" t="s">
        <v>74</v>
      </c>
      <c r="C30" s="1145"/>
      <c r="D30" s="912">
        <f t="shared" ref="D30:D33" si="37">+G30+J30+M30+P30+S30</f>
        <v>0</v>
      </c>
      <c r="E30" s="913">
        <f t="shared" ref="E30:E34" si="38">+H30+K30+N30+Q30+T30</f>
        <v>0</v>
      </c>
      <c r="F30" s="914">
        <f t="shared" ref="F30:F34" si="39">+I30+L30+O30+R30+U30</f>
        <v>0</v>
      </c>
      <c r="G30" s="29"/>
      <c r="H30" s="27"/>
      <c r="I30" s="27">
        <f t="shared" ref="I30:I33" si="40">+H30+G30</f>
        <v>0</v>
      </c>
      <c r="J30" s="27"/>
      <c r="K30" s="27"/>
      <c r="L30" s="27">
        <f t="shared" ref="L30:L33" si="41">+K30+J30</f>
        <v>0</v>
      </c>
      <c r="M30" s="27"/>
      <c r="N30" s="27"/>
      <c r="O30" s="477">
        <f t="shared" ref="O30:O33" si="42">+N30+M30</f>
        <v>0</v>
      </c>
      <c r="P30" s="29"/>
      <c r="Q30" s="27"/>
      <c r="R30" s="27"/>
      <c r="S30" s="27"/>
      <c r="T30" s="27"/>
      <c r="U30" s="27"/>
    </row>
    <row r="31" spans="1:21" ht="12" customHeight="1" x14ac:dyDescent="0.2">
      <c r="A31" s="476" t="s">
        <v>76</v>
      </c>
      <c r="B31" s="1171" t="s">
        <v>154</v>
      </c>
      <c r="C31" s="1145"/>
      <c r="D31" s="912">
        <f t="shared" si="37"/>
        <v>0</v>
      </c>
      <c r="E31" s="913">
        <f t="shared" si="38"/>
        <v>0</v>
      </c>
      <c r="F31" s="914">
        <f t="shared" si="39"/>
        <v>0</v>
      </c>
      <c r="G31" s="29"/>
      <c r="H31" s="27"/>
      <c r="I31" s="27">
        <f t="shared" si="40"/>
        <v>0</v>
      </c>
      <c r="J31" s="27"/>
      <c r="K31" s="27"/>
      <c r="L31" s="27">
        <f t="shared" si="41"/>
        <v>0</v>
      </c>
      <c r="M31" s="27"/>
      <c r="N31" s="27"/>
      <c r="O31" s="477">
        <f t="shared" si="42"/>
        <v>0</v>
      </c>
      <c r="P31" s="29"/>
      <c r="Q31" s="27"/>
      <c r="R31" s="27"/>
      <c r="S31" s="27"/>
      <c r="T31" s="27"/>
      <c r="U31" s="27"/>
    </row>
    <row r="32" spans="1:21" ht="12" customHeight="1" x14ac:dyDescent="0.2">
      <c r="A32" s="476" t="s">
        <v>77</v>
      </c>
      <c r="B32" s="1171" t="s">
        <v>153</v>
      </c>
      <c r="C32" s="1145"/>
      <c r="D32" s="912">
        <f t="shared" si="37"/>
        <v>0</v>
      </c>
      <c r="E32" s="913">
        <f t="shared" si="38"/>
        <v>0</v>
      </c>
      <c r="F32" s="914">
        <f t="shared" si="39"/>
        <v>0</v>
      </c>
      <c r="G32" s="29"/>
      <c r="H32" s="27"/>
      <c r="I32" s="27">
        <f t="shared" si="40"/>
        <v>0</v>
      </c>
      <c r="J32" s="27"/>
      <c r="K32" s="27"/>
      <c r="L32" s="27">
        <f t="shared" si="41"/>
        <v>0</v>
      </c>
      <c r="M32" s="27"/>
      <c r="N32" s="27"/>
      <c r="O32" s="477">
        <f t="shared" si="42"/>
        <v>0</v>
      </c>
      <c r="P32" s="29"/>
      <c r="Q32" s="27"/>
      <c r="R32" s="27"/>
      <c r="S32" s="27"/>
      <c r="T32" s="27"/>
      <c r="U32" s="27"/>
    </row>
    <row r="33" spans="1:21" ht="12" customHeight="1" x14ac:dyDescent="0.2">
      <c r="A33" s="476" t="s">
        <v>79</v>
      </c>
      <c r="B33" s="1171" t="s">
        <v>78</v>
      </c>
      <c r="C33" s="1145"/>
      <c r="D33" s="912">
        <f t="shared" si="37"/>
        <v>0</v>
      </c>
      <c r="E33" s="913">
        <f t="shared" si="38"/>
        <v>0</v>
      </c>
      <c r="F33" s="914">
        <f t="shared" si="39"/>
        <v>0</v>
      </c>
      <c r="G33" s="29"/>
      <c r="H33" s="27"/>
      <c r="I33" s="27">
        <f t="shared" si="40"/>
        <v>0</v>
      </c>
      <c r="J33" s="27"/>
      <c r="K33" s="27"/>
      <c r="L33" s="27">
        <f t="shared" si="41"/>
        <v>0</v>
      </c>
      <c r="M33" s="27"/>
      <c r="N33" s="27"/>
      <c r="O33" s="477">
        <f t="shared" si="42"/>
        <v>0</v>
      </c>
      <c r="P33" s="29"/>
      <c r="Q33" s="27"/>
      <c r="R33" s="27"/>
      <c r="S33" s="27"/>
      <c r="T33" s="27"/>
      <c r="U33" s="27"/>
    </row>
    <row r="34" spans="1:21" s="42" customFormat="1" ht="12" customHeight="1" x14ac:dyDescent="0.2">
      <c r="A34" s="473" t="s">
        <v>80</v>
      </c>
      <c r="B34" s="1170" t="s">
        <v>152</v>
      </c>
      <c r="C34" s="1143"/>
      <c r="D34" s="911">
        <f t="shared" si="6"/>
        <v>183</v>
      </c>
      <c r="E34" s="915">
        <f t="shared" si="38"/>
        <v>-20</v>
      </c>
      <c r="F34" s="916">
        <f t="shared" si="39"/>
        <v>163</v>
      </c>
      <c r="G34" s="535">
        <f>SUM(G29:G33)</f>
        <v>158</v>
      </c>
      <c r="H34" s="53">
        <f t="shared" ref="H34:U34" si="43">SUM(H29:H33)</f>
        <v>-20</v>
      </c>
      <c r="I34" s="53">
        <f t="shared" si="43"/>
        <v>138</v>
      </c>
      <c r="J34" s="53">
        <f t="shared" si="43"/>
        <v>0</v>
      </c>
      <c r="K34" s="53">
        <f t="shared" si="43"/>
        <v>0</v>
      </c>
      <c r="L34" s="53">
        <f t="shared" si="43"/>
        <v>0</v>
      </c>
      <c r="M34" s="53">
        <f t="shared" si="43"/>
        <v>25</v>
      </c>
      <c r="N34" s="53">
        <f t="shared" si="43"/>
        <v>0</v>
      </c>
      <c r="O34" s="474">
        <f t="shared" si="43"/>
        <v>25</v>
      </c>
      <c r="P34" s="535">
        <f t="shared" si="43"/>
        <v>0</v>
      </c>
      <c r="Q34" s="53">
        <f t="shared" si="43"/>
        <v>0</v>
      </c>
      <c r="R34" s="53">
        <f t="shared" si="43"/>
        <v>0</v>
      </c>
      <c r="S34" s="53">
        <f t="shared" si="43"/>
        <v>0</v>
      </c>
      <c r="T34" s="53">
        <f t="shared" si="43"/>
        <v>0</v>
      </c>
      <c r="U34" s="53">
        <f t="shared" si="43"/>
        <v>0</v>
      </c>
    </row>
    <row r="35" spans="1:21" s="42" customFormat="1" ht="12" customHeight="1" x14ac:dyDescent="0.2">
      <c r="A35" s="715" t="s">
        <v>81</v>
      </c>
      <c r="B35" s="1167" t="s">
        <v>151</v>
      </c>
      <c r="C35" s="1224"/>
      <c r="D35" s="899">
        <f t="shared" ref="D35:U35" si="44">+D34+D28+D25+D17+D14</f>
        <v>2893</v>
      </c>
      <c r="E35" s="900">
        <f t="shared" si="44"/>
        <v>-618</v>
      </c>
      <c r="F35" s="901">
        <f t="shared" si="44"/>
        <v>2275</v>
      </c>
      <c r="G35" s="712">
        <f t="shared" si="44"/>
        <v>1844</v>
      </c>
      <c r="H35" s="51">
        <f t="shared" si="44"/>
        <v>-619</v>
      </c>
      <c r="I35" s="51">
        <f t="shared" si="44"/>
        <v>1225</v>
      </c>
      <c r="J35" s="51">
        <f t="shared" si="44"/>
        <v>599</v>
      </c>
      <c r="K35" s="51">
        <f t="shared" si="44"/>
        <v>1</v>
      </c>
      <c r="L35" s="51">
        <f t="shared" si="44"/>
        <v>600</v>
      </c>
      <c r="M35" s="51">
        <f t="shared" si="44"/>
        <v>450</v>
      </c>
      <c r="N35" s="51">
        <f t="shared" si="44"/>
        <v>0</v>
      </c>
      <c r="O35" s="716">
        <f t="shared" si="44"/>
        <v>450</v>
      </c>
      <c r="P35" s="712">
        <f t="shared" si="44"/>
        <v>0</v>
      </c>
      <c r="Q35" s="51">
        <f t="shared" si="44"/>
        <v>0</v>
      </c>
      <c r="R35" s="51">
        <f t="shared" si="44"/>
        <v>0</v>
      </c>
      <c r="S35" s="51">
        <f t="shared" si="44"/>
        <v>0</v>
      </c>
      <c r="T35" s="51">
        <f t="shared" si="44"/>
        <v>0</v>
      </c>
      <c r="U35" s="51">
        <f t="shared" si="44"/>
        <v>0</v>
      </c>
    </row>
    <row r="36" spans="1:21" ht="9.75" customHeight="1" x14ac:dyDescent="0.2">
      <c r="A36" s="405"/>
      <c r="B36" s="8"/>
      <c r="C36" s="733"/>
      <c r="D36" s="917"/>
      <c r="E36" s="903"/>
      <c r="F36" s="904"/>
      <c r="G36" s="28"/>
      <c r="H36" s="28"/>
      <c r="I36" s="29"/>
      <c r="J36" s="28"/>
      <c r="K36" s="28"/>
      <c r="L36" s="29"/>
      <c r="M36" s="28"/>
      <c r="N36" s="28"/>
      <c r="O36" s="717"/>
      <c r="P36" s="28"/>
      <c r="Q36" s="28"/>
      <c r="R36" s="29"/>
      <c r="S36" s="28"/>
      <c r="T36" s="28"/>
      <c r="U36" s="29"/>
    </row>
    <row r="37" spans="1:21" ht="12" customHeight="1" x14ac:dyDescent="0.2">
      <c r="A37" s="722" t="s">
        <v>110</v>
      </c>
      <c r="B37" s="1168" t="s">
        <v>109</v>
      </c>
      <c r="C37" s="1141"/>
      <c r="D37" s="912">
        <f t="shared" ref="D37" si="45">+G37+J37+M37+S37</f>
        <v>0</v>
      </c>
      <c r="E37" s="913">
        <f t="shared" ref="E37" si="46">+H37+K37+N37+T37</f>
        <v>0</v>
      </c>
      <c r="F37" s="914">
        <f t="shared" ref="F37" si="47">+I37+L37+O37+U37</f>
        <v>0</v>
      </c>
      <c r="G37" s="97"/>
      <c r="H37" s="30"/>
      <c r="I37" s="30">
        <f>+H37+G37</f>
        <v>0</v>
      </c>
      <c r="J37" s="30"/>
      <c r="K37" s="30"/>
      <c r="L37" s="30">
        <f>+K37+J37</f>
        <v>0</v>
      </c>
      <c r="M37" s="30"/>
      <c r="N37" s="30"/>
      <c r="O37" s="723"/>
      <c r="P37" s="97"/>
      <c r="Q37" s="30"/>
      <c r="R37" s="30"/>
      <c r="S37" s="30"/>
      <c r="T37" s="30"/>
      <c r="U37" s="30"/>
    </row>
    <row r="38" spans="1:21" ht="12" customHeight="1" x14ac:dyDescent="0.2">
      <c r="A38" s="476" t="s">
        <v>111</v>
      </c>
      <c r="B38" s="1171" t="s">
        <v>162</v>
      </c>
      <c r="C38" s="1145"/>
      <c r="D38" s="912">
        <f t="shared" ref="D38:D44" si="48">+G38+J38+M38+S38</f>
        <v>0</v>
      </c>
      <c r="E38" s="913">
        <f t="shared" ref="E38:E44" si="49">+H38+K38+N38+T38</f>
        <v>0</v>
      </c>
      <c r="F38" s="914">
        <f t="shared" ref="F38:F44" si="50">+I38+L38+O38+U38</f>
        <v>0</v>
      </c>
      <c r="G38" s="29"/>
      <c r="H38" s="27"/>
      <c r="I38" s="30">
        <f t="shared" ref="I38:I44" si="51">+H38+G38</f>
        <v>0</v>
      </c>
      <c r="J38" s="27"/>
      <c r="K38" s="27"/>
      <c r="L38" s="30">
        <f t="shared" ref="L38:L44" si="52">+K38+J38</f>
        <v>0</v>
      </c>
      <c r="M38" s="27"/>
      <c r="N38" s="27"/>
      <c r="O38" s="477"/>
      <c r="P38" s="29"/>
      <c r="Q38" s="27"/>
      <c r="R38" s="27"/>
      <c r="S38" s="27"/>
      <c r="T38" s="27"/>
      <c r="U38" s="27"/>
    </row>
    <row r="39" spans="1:21" s="38" customFormat="1" ht="12" customHeight="1" x14ac:dyDescent="0.2">
      <c r="A39" s="724" t="s">
        <v>111</v>
      </c>
      <c r="B39" s="37"/>
      <c r="C39" s="735" t="s">
        <v>112</v>
      </c>
      <c r="D39" s="912">
        <f t="shared" si="48"/>
        <v>0</v>
      </c>
      <c r="E39" s="913">
        <f t="shared" si="49"/>
        <v>0</v>
      </c>
      <c r="F39" s="914">
        <f t="shared" si="50"/>
        <v>0</v>
      </c>
      <c r="G39" s="52"/>
      <c r="H39" s="48"/>
      <c r="I39" s="30">
        <f t="shared" si="51"/>
        <v>0</v>
      </c>
      <c r="J39" s="48"/>
      <c r="K39" s="48"/>
      <c r="L39" s="30">
        <f t="shared" si="52"/>
        <v>0</v>
      </c>
      <c r="M39" s="48"/>
      <c r="N39" s="48"/>
      <c r="O39" s="725"/>
      <c r="P39" s="52"/>
      <c r="Q39" s="48"/>
      <c r="R39" s="48"/>
      <c r="S39" s="48"/>
      <c r="T39" s="48"/>
      <c r="U39" s="48"/>
    </row>
    <row r="40" spans="1:21" ht="12" customHeight="1" x14ac:dyDescent="0.2">
      <c r="A40" s="476" t="s">
        <v>114</v>
      </c>
      <c r="B40" s="1171" t="s">
        <v>113</v>
      </c>
      <c r="C40" s="1145"/>
      <c r="D40" s="912">
        <f t="shared" si="48"/>
        <v>0</v>
      </c>
      <c r="E40" s="913">
        <f t="shared" si="49"/>
        <v>0</v>
      </c>
      <c r="F40" s="914">
        <f t="shared" si="50"/>
        <v>0</v>
      </c>
      <c r="G40" s="29"/>
      <c r="H40" s="27"/>
      <c r="I40" s="30">
        <f t="shared" si="51"/>
        <v>0</v>
      </c>
      <c r="J40" s="27"/>
      <c r="K40" s="27"/>
      <c r="L40" s="30">
        <f t="shared" si="52"/>
        <v>0</v>
      </c>
      <c r="M40" s="27"/>
      <c r="N40" s="27"/>
      <c r="O40" s="477"/>
      <c r="P40" s="29"/>
      <c r="Q40" s="27"/>
      <c r="R40" s="27"/>
      <c r="S40" s="27"/>
      <c r="T40" s="27"/>
      <c r="U40" s="27"/>
    </row>
    <row r="41" spans="1:21" ht="12" customHeight="1" x14ac:dyDescent="0.2">
      <c r="A41" s="476" t="s">
        <v>116</v>
      </c>
      <c r="B41" s="1171" t="s">
        <v>115</v>
      </c>
      <c r="C41" s="1145"/>
      <c r="D41" s="912">
        <f t="shared" si="48"/>
        <v>0</v>
      </c>
      <c r="E41" s="913">
        <f t="shared" si="49"/>
        <v>76</v>
      </c>
      <c r="F41" s="914">
        <f t="shared" si="50"/>
        <v>76</v>
      </c>
      <c r="G41" s="29"/>
      <c r="H41" s="27">
        <v>76</v>
      </c>
      <c r="I41" s="30">
        <f t="shared" si="51"/>
        <v>76</v>
      </c>
      <c r="J41" s="27"/>
      <c r="K41" s="27"/>
      <c r="L41" s="30">
        <f t="shared" si="52"/>
        <v>0</v>
      </c>
      <c r="M41" s="27"/>
      <c r="N41" s="27"/>
      <c r="O41" s="477"/>
      <c r="P41" s="29"/>
      <c r="Q41" s="27"/>
      <c r="R41" s="27"/>
      <c r="S41" s="27"/>
      <c r="T41" s="27"/>
      <c r="U41" s="27"/>
    </row>
    <row r="42" spans="1:21" ht="12" customHeight="1" x14ac:dyDescent="0.2">
      <c r="A42" s="476" t="s">
        <v>118</v>
      </c>
      <c r="B42" s="1171" t="s">
        <v>117</v>
      </c>
      <c r="C42" s="1145"/>
      <c r="D42" s="912">
        <f t="shared" si="48"/>
        <v>0</v>
      </c>
      <c r="E42" s="913">
        <f t="shared" si="49"/>
        <v>0</v>
      </c>
      <c r="F42" s="914">
        <f t="shared" si="50"/>
        <v>0</v>
      </c>
      <c r="G42" s="29"/>
      <c r="H42" s="27"/>
      <c r="I42" s="30">
        <f t="shared" si="51"/>
        <v>0</v>
      </c>
      <c r="J42" s="27"/>
      <c r="K42" s="27"/>
      <c r="L42" s="30">
        <f t="shared" si="52"/>
        <v>0</v>
      </c>
      <c r="M42" s="27"/>
      <c r="N42" s="27"/>
      <c r="O42" s="477"/>
      <c r="P42" s="29"/>
      <c r="Q42" s="27"/>
      <c r="R42" s="27"/>
      <c r="S42" s="27"/>
      <c r="T42" s="27"/>
      <c r="U42" s="27"/>
    </row>
    <row r="43" spans="1:21" ht="12" customHeight="1" x14ac:dyDescent="0.2">
      <c r="A43" s="476" t="s">
        <v>120</v>
      </c>
      <c r="B43" s="1171" t="s">
        <v>119</v>
      </c>
      <c r="C43" s="1145"/>
      <c r="D43" s="912">
        <f t="shared" si="48"/>
        <v>0</v>
      </c>
      <c r="E43" s="913">
        <f t="shared" si="49"/>
        <v>0</v>
      </c>
      <c r="F43" s="914">
        <f t="shared" si="50"/>
        <v>0</v>
      </c>
      <c r="G43" s="29"/>
      <c r="H43" s="27"/>
      <c r="I43" s="30">
        <f t="shared" si="51"/>
        <v>0</v>
      </c>
      <c r="J43" s="27"/>
      <c r="K43" s="27"/>
      <c r="L43" s="30">
        <f t="shared" si="52"/>
        <v>0</v>
      </c>
      <c r="M43" s="27"/>
      <c r="N43" s="27"/>
      <c r="O43" s="477"/>
      <c r="P43" s="29"/>
      <c r="Q43" s="27"/>
      <c r="R43" s="27"/>
      <c r="S43" s="27"/>
      <c r="T43" s="27"/>
      <c r="U43" s="27"/>
    </row>
    <row r="44" spans="1:21" ht="12" customHeight="1" x14ac:dyDescent="0.2">
      <c r="A44" s="476" t="s">
        <v>122</v>
      </c>
      <c r="B44" s="1171" t="s">
        <v>121</v>
      </c>
      <c r="C44" s="1145"/>
      <c r="D44" s="912">
        <f t="shared" si="48"/>
        <v>0</v>
      </c>
      <c r="E44" s="913">
        <f t="shared" si="49"/>
        <v>20</v>
      </c>
      <c r="F44" s="914">
        <f t="shared" si="50"/>
        <v>20</v>
      </c>
      <c r="G44" s="29"/>
      <c r="H44" s="27">
        <v>20</v>
      </c>
      <c r="I44" s="30">
        <f t="shared" si="51"/>
        <v>20</v>
      </c>
      <c r="J44" s="27"/>
      <c r="K44" s="27"/>
      <c r="L44" s="30">
        <f t="shared" si="52"/>
        <v>0</v>
      </c>
      <c r="M44" s="27"/>
      <c r="N44" s="27"/>
      <c r="O44" s="477"/>
      <c r="P44" s="29"/>
      <c r="Q44" s="27"/>
      <c r="R44" s="27"/>
      <c r="S44" s="27"/>
      <c r="T44" s="27"/>
      <c r="U44" s="27"/>
    </row>
    <row r="45" spans="1:21" s="42" customFormat="1" ht="12" customHeight="1" x14ac:dyDescent="0.2">
      <c r="A45" s="715" t="s">
        <v>123</v>
      </c>
      <c r="B45" s="1167" t="s">
        <v>161</v>
      </c>
      <c r="C45" s="1224"/>
      <c r="D45" s="899">
        <f>+D44+D43+D42+D41+D40+D38+D37</f>
        <v>0</v>
      </c>
      <c r="E45" s="900">
        <f>+E44+E43+E42+E41+E40+E38+E37</f>
        <v>96</v>
      </c>
      <c r="F45" s="901">
        <f>+F44+F43+F42+F41+F40+F38+F37</f>
        <v>96</v>
      </c>
      <c r="G45" s="712">
        <f>+G44+G43+G42+G41+G40+G38+G37</f>
        <v>0</v>
      </c>
      <c r="H45" s="51">
        <f t="shared" ref="H45:U45" si="53">+H44+H43+H42+H41+H40+H38+H37</f>
        <v>96</v>
      </c>
      <c r="I45" s="51">
        <f t="shared" si="53"/>
        <v>96</v>
      </c>
      <c r="J45" s="51">
        <f t="shared" si="53"/>
        <v>0</v>
      </c>
      <c r="K45" s="51">
        <f t="shared" si="53"/>
        <v>0</v>
      </c>
      <c r="L45" s="51">
        <f t="shared" si="53"/>
        <v>0</v>
      </c>
      <c r="M45" s="51">
        <f t="shared" si="53"/>
        <v>0</v>
      </c>
      <c r="N45" s="51">
        <f t="shared" si="53"/>
        <v>0</v>
      </c>
      <c r="O45" s="716">
        <f t="shared" si="53"/>
        <v>0</v>
      </c>
      <c r="P45" s="712">
        <f t="shared" si="53"/>
        <v>0</v>
      </c>
      <c r="Q45" s="51">
        <f t="shared" si="53"/>
        <v>0</v>
      </c>
      <c r="R45" s="51">
        <f t="shared" si="53"/>
        <v>0</v>
      </c>
      <c r="S45" s="51">
        <f t="shared" si="53"/>
        <v>0</v>
      </c>
      <c r="T45" s="51">
        <f t="shared" si="53"/>
        <v>0</v>
      </c>
      <c r="U45" s="51">
        <f t="shared" si="53"/>
        <v>0</v>
      </c>
    </row>
    <row r="46" spans="1:21" ht="9" customHeight="1" x14ac:dyDescent="0.2">
      <c r="A46" s="405"/>
      <c r="B46" s="8"/>
      <c r="C46" s="733"/>
      <c r="D46" s="917"/>
      <c r="E46" s="903"/>
      <c r="F46" s="904"/>
      <c r="G46" s="28"/>
      <c r="H46" s="28"/>
      <c r="I46" s="28"/>
      <c r="J46" s="28"/>
      <c r="K46" s="28"/>
      <c r="L46" s="29"/>
      <c r="M46" s="28"/>
      <c r="N46" s="28"/>
      <c r="O46" s="717"/>
      <c r="P46" s="28"/>
      <c r="Q46" s="28"/>
      <c r="R46" s="29"/>
      <c r="S46" s="28"/>
      <c r="T46" s="28"/>
      <c r="U46" s="29"/>
    </row>
    <row r="47" spans="1:21" ht="12" hidden="1" customHeight="1" x14ac:dyDescent="0.2">
      <c r="A47" s="476" t="s">
        <v>125</v>
      </c>
      <c r="B47" s="1171" t="s">
        <v>124</v>
      </c>
      <c r="C47" s="1145"/>
      <c r="D47" s="910"/>
      <c r="E47" s="417"/>
      <c r="F47" s="764"/>
      <c r="G47" s="29"/>
      <c r="H47" s="27"/>
      <c r="I47" s="27"/>
      <c r="J47" s="27"/>
      <c r="K47" s="27"/>
      <c r="L47" s="27"/>
      <c r="M47" s="27"/>
      <c r="N47" s="27"/>
      <c r="O47" s="477"/>
      <c r="P47" s="29"/>
      <c r="Q47" s="27"/>
      <c r="R47" s="27"/>
      <c r="S47" s="27"/>
      <c r="T47" s="27"/>
      <c r="U47" s="27"/>
    </row>
    <row r="48" spans="1:21" ht="12" hidden="1" customHeight="1" x14ac:dyDescent="0.2">
      <c r="A48" s="476" t="s">
        <v>127</v>
      </c>
      <c r="B48" s="1171" t="s">
        <v>126</v>
      </c>
      <c r="C48" s="1145"/>
      <c r="D48" s="910"/>
      <c r="E48" s="417"/>
      <c r="F48" s="764"/>
      <c r="G48" s="29"/>
      <c r="H48" s="27"/>
      <c r="I48" s="27"/>
      <c r="J48" s="27"/>
      <c r="K48" s="27"/>
      <c r="L48" s="27"/>
      <c r="M48" s="27"/>
      <c r="N48" s="27"/>
      <c r="O48" s="477"/>
      <c r="P48" s="29"/>
      <c r="Q48" s="27"/>
      <c r="R48" s="27"/>
      <c r="S48" s="27"/>
      <c r="T48" s="27"/>
      <c r="U48" s="27"/>
    </row>
    <row r="49" spans="1:21" ht="12" hidden="1" customHeight="1" x14ac:dyDescent="0.2">
      <c r="A49" s="476" t="s">
        <v>129</v>
      </c>
      <c r="B49" s="1171" t="s">
        <v>128</v>
      </c>
      <c r="C49" s="1145"/>
      <c r="D49" s="910"/>
      <c r="E49" s="417"/>
      <c r="F49" s="764"/>
      <c r="G49" s="29"/>
      <c r="H49" s="27"/>
      <c r="I49" s="27"/>
      <c r="J49" s="27"/>
      <c r="K49" s="27"/>
      <c r="L49" s="27"/>
      <c r="M49" s="27"/>
      <c r="N49" s="27"/>
      <c r="O49" s="477"/>
      <c r="P49" s="29"/>
      <c r="Q49" s="27"/>
      <c r="R49" s="27"/>
      <c r="S49" s="27"/>
      <c r="T49" s="27"/>
      <c r="U49" s="27"/>
    </row>
    <row r="50" spans="1:21" ht="15" hidden="1" customHeight="1" x14ac:dyDescent="0.2">
      <c r="A50" s="476" t="s">
        <v>131</v>
      </c>
      <c r="B50" s="1171" t="s">
        <v>130</v>
      </c>
      <c r="C50" s="1145"/>
      <c r="D50" s="910"/>
      <c r="E50" s="417"/>
      <c r="F50" s="764"/>
      <c r="G50" s="29"/>
      <c r="H50" s="27"/>
      <c r="I50" s="27"/>
      <c r="J50" s="27"/>
      <c r="K50" s="27"/>
      <c r="L50" s="27"/>
      <c r="M50" s="27"/>
      <c r="N50" s="27"/>
      <c r="O50" s="477"/>
      <c r="P50" s="29"/>
      <c r="Q50" s="27"/>
      <c r="R50" s="27"/>
      <c r="S50" s="27"/>
      <c r="T50" s="27"/>
      <c r="U50" s="27"/>
    </row>
    <row r="51" spans="1:21" s="42" customFormat="1" ht="12" customHeight="1" x14ac:dyDescent="0.2">
      <c r="A51" s="715" t="s">
        <v>132</v>
      </c>
      <c r="B51" s="1167" t="s">
        <v>160</v>
      </c>
      <c r="C51" s="1224"/>
      <c r="D51" s="899"/>
      <c r="E51" s="900"/>
      <c r="F51" s="901"/>
      <c r="G51" s="712"/>
      <c r="H51" s="51"/>
      <c r="I51" s="51"/>
      <c r="J51" s="51"/>
      <c r="K51" s="51"/>
      <c r="L51" s="51"/>
      <c r="M51" s="51"/>
      <c r="N51" s="51"/>
      <c r="O51" s="716"/>
      <c r="P51" s="712"/>
      <c r="Q51" s="51"/>
      <c r="R51" s="51"/>
      <c r="S51" s="51"/>
      <c r="T51" s="51"/>
      <c r="U51" s="51"/>
    </row>
    <row r="52" spans="1:21" ht="7.5" customHeight="1" x14ac:dyDescent="0.2">
      <c r="A52" s="405"/>
      <c r="B52" s="8"/>
      <c r="C52" s="733"/>
      <c r="D52" s="917"/>
      <c r="E52" s="903"/>
      <c r="F52" s="904"/>
      <c r="G52" s="28"/>
      <c r="H52" s="28"/>
      <c r="I52" s="28"/>
      <c r="J52" s="28"/>
      <c r="K52" s="28"/>
      <c r="L52" s="28"/>
      <c r="M52" s="28"/>
      <c r="N52" s="28"/>
      <c r="O52" s="717"/>
      <c r="P52" s="28"/>
      <c r="Q52" s="28"/>
      <c r="R52" s="28"/>
      <c r="S52" s="28"/>
      <c r="T52" s="28"/>
      <c r="U52" s="28"/>
    </row>
    <row r="53" spans="1:21" ht="12" hidden="1" customHeight="1" x14ac:dyDescent="0.2">
      <c r="A53" s="403" t="s">
        <v>379</v>
      </c>
      <c r="B53" s="1168" t="s">
        <v>380</v>
      </c>
      <c r="C53" s="1141"/>
      <c r="D53" s="918"/>
      <c r="E53" s="919"/>
      <c r="F53" s="920"/>
      <c r="G53" s="96"/>
      <c r="H53" s="96"/>
      <c r="I53" s="96"/>
      <c r="J53" s="96"/>
      <c r="K53" s="96"/>
      <c r="L53" s="96"/>
      <c r="M53" s="96"/>
      <c r="N53" s="96"/>
      <c r="O53" s="726"/>
      <c r="P53" s="96"/>
      <c r="Q53" s="96"/>
      <c r="R53" s="96"/>
      <c r="S53" s="96"/>
      <c r="T53" s="96"/>
      <c r="U53" s="96"/>
    </row>
    <row r="54" spans="1:21" ht="12" hidden="1" customHeight="1" x14ac:dyDescent="0.2">
      <c r="A54" s="403" t="s">
        <v>392</v>
      </c>
      <c r="B54" s="1174" t="s">
        <v>393</v>
      </c>
      <c r="C54" s="1231"/>
      <c r="D54" s="918"/>
      <c r="E54" s="919"/>
      <c r="F54" s="920"/>
      <c r="G54" s="96"/>
      <c r="H54" s="96"/>
      <c r="I54" s="96"/>
      <c r="J54" s="96"/>
      <c r="K54" s="96"/>
      <c r="L54" s="96"/>
      <c r="M54" s="96"/>
      <c r="N54" s="96"/>
      <c r="O54" s="726"/>
      <c r="P54" s="96"/>
      <c r="Q54" s="96"/>
      <c r="R54" s="96"/>
      <c r="S54" s="96"/>
      <c r="T54" s="96"/>
      <c r="U54" s="96"/>
    </row>
    <row r="55" spans="1:21" ht="12" hidden="1" customHeight="1" x14ac:dyDescent="0.2">
      <c r="A55" s="722" t="s">
        <v>621</v>
      </c>
      <c r="B55" s="1168" t="s">
        <v>159</v>
      </c>
      <c r="C55" s="1141"/>
      <c r="D55" s="912"/>
      <c r="E55" s="913"/>
      <c r="F55" s="914"/>
      <c r="G55" s="97"/>
      <c r="H55" s="30"/>
      <c r="I55" s="30"/>
      <c r="J55" s="30"/>
      <c r="K55" s="30"/>
      <c r="L55" s="30"/>
      <c r="M55" s="30"/>
      <c r="N55" s="30"/>
      <c r="O55" s="723"/>
      <c r="P55" s="97"/>
      <c r="Q55" s="30"/>
      <c r="R55" s="30"/>
      <c r="S55" s="30"/>
      <c r="T55" s="30"/>
      <c r="U55" s="30"/>
    </row>
    <row r="56" spans="1:21" s="42" customFormat="1" ht="12" customHeight="1" x14ac:dyDescent="0.2">
      <c r="A56" s="727" t="s">
        <v>134</v>
      </c>
      <c r="B56" s="1172" t="s">
        <v>158</v>
      </c>
      <c r="C56" s="1223"/>
      <c r="D56" s="921"/>
      <c r="E56" s="922"/>
      <c r="F56" s="923"/>
      <c r="G56" s="714"/>
      <c r="H56" s="49"/>
      <c r="I56" s="49"/>
      <c r="J56" s="49"/>
      <c r="K56" s="49"/>
      <c r="L56" s="49"/>
      <c r="M56" s="49"/>
      <c r="N56" s="49"/>
      <c r="O56" s="728"/>
      <c r="P56" s="714"/>
      <c r="Q56" s="49"/>
      <c r="R56" s="49"/>
      <c r="S56" s="49"/>
      <c r="T56" s="49"/>
      <c r="U56" s="49"/>
    </row>
    <row r="57" spans="1:21" ht="12" customHeight="1" x14ac:dyDescent="0.2">
      <c r="A57" s="405"/>
      <c r="B57" s="15"/>
      <c r="C57" s="736"/>
      <c r="D57" s="917"/>
      <c r="E57" s="903"/>
      <c r="F57" s="904"/>
      <c r="G57" s="28"/>
      <c r="H57" s="28"/>
      <c r="I57" s="28"/>
      <c r="J57" s="28"/>
      <c r="K57" s="28"/>
      <c r="L57" s="29"/>
      <c r="M57" s="28"/>
      <c r="N57" s="28"/>
      <c r="O57" s="717"/>
      <c r="P57" s="28"/>
      <c r="Q57" s="28"/>
      <c r="R57" s="29"/>
      <c r="S57" s="28"/>
      <c r="T57" s="28"/>
      <c r="U57" s="29"/>
    </row>
    <row r="58" spans="1:21" s="42" customFormat="1" ht="12" customHeight="1" thickBot="1" x14ac:dyDescent="0.25">
      <c r="A58" s="729" t="s">
        <v>135</v>
      </c>
      <c r="B58" s="1221" t="s">
        <v>157</v>
      </c>
      <c r="C58" s="1222"/>
      <c r="D58" s="924">
        <f t="shared" ref="D58:U58" si="54">+D56+D51+D45+D35+D9+D7</f>
        <v>18100</v>
      </c>
      <c r="E58" s="925">
        <f t="shared" si="54"/>
        <v>1522</v>
      </c>
      <c r="F58" s="926">
        <f t="shared" si="54"/>
        <v>19622</v>
      </c>
      <c r="G58" s="732">
        <f t="shared" si="54"/>
        <v>11637</v>
      </c>
      <c r="H58" s="730">
        <f t="shared" si="54"/>
        <v>1274</v>
      </c>
      <c r="I58" s="730">
        <f t="shared" si="54"/>
        <v>12911</v>
      </c>
      <c r="J58" s="730">
        <f t="shared" si="54"/>
        <v>4722</v>
      </c>
      <c r="K58" s="730">
        <f t="shared" si="54"/>
        <v>248</v>
      </c>
      <c r="L58" s="730">
        <f t="shared" si="54"/>
        <v>4970</v>
      </c>
      <c r="M58" s="730">
        <f t="shared" si="54"/>
        <v>1741</v>
      </c>
      <c r="N58" s="730">
        <f t="shared" si="54"/>
        <v>0</v>
      </c>
      <c r="O58" s="731">
        <f t="shared" si="54"/>
        <v>1741</v>
      </c>
      <c r="P58" s="713">
        <f t="shared" si="54"/>
        <v>0</v>
      </c>
      <c r="Q58" s="50">
        <f t="shared" si="54"/>
        <v>0</v>
      </c>
      <c r="R58" s="50">
        <f t="shared" si="54"/>
        <v>0</v>
      </c>
      <c r="S58" s="50">
        <f t="shared" si="54"/>
        <v>0</v>
      </c>
      <c r="T58" s="50">
        <f t="shared" si="54"/>
        <v>0</v>
      </c>
      <c r="U58" s="50">
        <f t="shared" si="54"/>
        <v>0</v>
      </c>
    </row>
  </sheetData>
  <mergeCells count="61">
    <mergeCell ref="B54:C54"/>
    <mergeCell ref="B20:C20"/>
    <mergeCell ref="B21:C21"/>
    <mergeCell ref="S2:U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B31:C31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D2:F3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69" orientation="landscape" r:id="rId1"/>
  <headerFooter>
    <oddHeader>&amp;C&amp;"Times New Roman,Félkövér"&amp;12Martonvásár Város Önkormányzatának kiadásai 2019.
Védőnői, iskola egészségügyi feladatok ellátása&amp;R&amp;"Times New Roman,Félkövér"&amp;12 5/d.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C1" zoomScaleNormal="100" workbookViewId="0">
      <selection activeCell="I3" sqref="I3"/>
    </sheetView>
  </sheetViews>
  <sheetFormatPr defaultColWidth="9.140625" defaultRowHeight="12.75" x14ac:dyDescent="0.2"/>
  <cols>
    <col min="1" max="1" width="7.5703125" style="291" customWidth="1"/>
    <col min="2" max="2" width="25.42578125" style="290" customWidth="1"/>
    <col min="3" max="3" width="9.42578125" style="290" customWidth="1"/>
    <col min="4" max="4" width="8.5703125" style="290" customWidth="1"/>
    <col min="5" max="5" width="9.7109375" style="290" customWidth="1"/>
    <col min="6" max="16384" width="9.140625" style="290"/>
  </cols>
  <sheetData>
    <row r="1" spans="1:17" ht="12" customHeight="1" x14ac:dyDescent="0.2"/>
    <row r="2" spans="1:17" s="294" customFormat="1" ht="28.5" customHeight="1" x14ac:dyDescent="0.2">
      <c r="A2" s="1237" t="s">
        <v>282</v>
      </c>
      <c r="B2" s="1238"/>
      <c r="C2" s="1232" t="s">
        <v>914</v>
      </c>
      <c r="D2" s="1232"/>
      <c r="E2" s="1233"/>
      <c r="F2" s="1232" t="s">
        <v>915</v>
      </c>
      <c r="G2" s="1232"/>
      <c r="H2" s="1233"/>
      <c r="I2" s="1232" t="s">
        <v>1087</v>
      </c>
      <c r="J2" s="1232"/>
      <c r="K2" s="1233"/>
      <c r="L2" s="1232" t="s">
        <v>916</v>
      </c>
      <c r="M2" s="1232"/>
      <c r="N2" s="1233"/>
      <c r="O2" s="290"/>
      <c r="P2" s="290"/>
      <c r="Q2" s="290"/>
    </row>
    <row r="3" spans="1:17" s="294" customFormat="1" ht="25.5" x14ac:dyDescent="0.2">
      <c r="A3" s="1216" t="s">
        <v>498</v>
      </c>
      <c r="B3" s="1207"/>
      <c r="C3" s="890" t="s">
        <v>912</v>
      </c>
      <c r="D3" s="890" t="s">
        <v>727</v>
      </c>
      <c r="E3" s="890" t="s">
        <v>950</v>
      </c>
      <c r="F3" s="1011" t="s">
        <v>912</v>
      </c>
      <c r="G3" s="1011" t="s">
        <v>727</v>
      </c>
      <c r="H3" s="1011" t="s">
        <v>950</v>
      </c>
      <c r="I3" s="1101" t="s">
        <v>912</v>
      </c>
      <c r="J3" s="1101" t="s">
        <v>727</v>
      </c>
      <c r="K3" s="1101" t="s">
        <v>950</v>
      </c>
      <c r="L3" s="1011" t="s">
        <v>912</v>
      </c>
      <c r="M3" s="1011" t="s">
        <v>727</v>
      </c>
      <c r="N3" s="1011" t="s">
        <v>950</v>
      </c>
      <c r="O3" s="290"/>
      <c r="P3" s="290"/>
      <c r="Q3" s="290"/>
    </row>
    <row r="4" spans="1:17" s="294" customFormat="1" ht="15" customHeight="1" x14ac:dyDescent="0.2">
      <c r="A4" s="489" t="s">
        <v>500</v>
      </c>
      <c r="B4" s="293" t="s">
        <v>631</v>
      </c>
      <c r="C4" s="299">
        <v>550</v>
      </c>
      <c r="D4" s="449">
        <v>42</v>
      </c>
      <c r="E4" s="138">
        <f>+D4+C4</f>
        <v>592</v>
      </c>
      <c r="F4" s="299"/>
      <c r="G4" s="1011"/>
      <c r="H4" s="138">
        <f>+G4+F4</f>
        <v>0</v>
      </c>
      <c r="I4" s="299"/>
      <c r="J4" s="1101"/>
      <c r="K4" s="138">
        <f>+J4+I4</f>
        <v>0</v>
      </c>
      <c r="L4" s="299"/>
      <c r="M4" s="1011"/>
      <c r="N4" s="138">
        <f>+M4+L4</f>
        <v>0</v>
      </c>
      <c r="O4" s="290"/>
      <c r="P4" s="290"/>
      <c r="Q4" s="290"/>
    </row>
    <row r="5" spans="1:17" s="294" customFormat="1" ht="14.25" customHeight="1" x14ac:dyDescent="0.25">
      <c r="A5" s="488" t="s">
        <v>500</v>
      </c>
      <c r="B5" s="293" t="s">
        <v>579</v>
      </c>
      <c r="C5" s="299">
        <v>300</v>
      </c>
      <c r="D5" s="299"/>
      <c r="E5" s="138">
        <f t="shared" ref="E5:E7" si="0">+D5+C5</f>
        <v>300</v>
      </c>
      <c r="F5" s="299"/>
      <c r="G5" s="299"/>
      <c r="H5" s="138">
        <f t="shared" ref="H5:H7" si="1">+G5+F5</f>
        <v>0</v>
      </c>
      <c r="I5" s="299"/>
      <c r="J5" s="299"/>
      <c r="K5" s="138">
        <f t="shared" ref="K5:K7" si="2">+J5+I5</f>
        <v>0</v>
      </c>
      <c r="L5" s="299"/>
      <c r="M5" s="299"/>
      <c r="N5" s="138">
        <f t="shared" ref="N5:N7" si="3">+M5+L5</f>
        <v>0</v>
      </c>
    </row>
    <row r="6" spans="1:17" ht="38.25" x14ac:dyDescent="0.2">
      <c r="A6" s="488" t="s">
        <v>500</v>
      </c>
      <c r="B6" s="293" t="s">
        <v>578</v>
      </c>
      <c r="C6" s="598">
        <v>15650</v>
      </c>
      <c r="D6" s="299">
        <v>-218</v>
      </c>
      <c r="E6" s="138">
        <f t="shared" si="0"/>
        <v>15432</v>
      </c>
      <c r="F6" s="598"/>
      <c r="G6" s="299"/>
      <c r="H6" s="138">
        <f t="shared" si="1"/>
        <v>0</v>
      </c>
      <c r="I6" s="598"/>
      <c r="J6" s="299">
        <v>172</v>
      </c>
      <c r="K6" s="138">
        <f t="shared" si="2"/>
        <v>172</v>
      </c>
      <c r="L6" s="598"/>
      <c r="M6" s="299">
        <v>46</v>
      </c>
      <c r="N6" s="138">
        <f t="shared" si="3"/>
        <v>46</v>
      </c>
      <c r="O6" s="294"/>
      <c r="P6" s="294"/>
      <c r="Q6" s="294"/>
    </row>
    <row r="7" spans="1:17" x14ac:dyDescent="0.2">
      <c r="A7" s="945" t="s">
        <v>500</v>
      </c>
      <c r="B7" s="793" t="s">
        <v>814</v>
      </c>
      <c r="C7" s="598">
        <v>36</v>
      </c>
      <c r="D7" s="299"/>
      <c r="E7" s="138">
        <f t="shared" si="0"/>
        <v>36</v>
      </c>
      <c r="F7" s="598">
        <v>1124</v>
      </c>
      <c r="G7" s="299"/>
      <c r="H7" s="138">
        <f t="shared" si="1"/>
        <v>1124</v>
      </c>
      <c r="I7" s="598"/>
      <c r="J7" s="299"/>
      <c r="K7" s="138">
        <f t="shared" si="2"/>
        <v>0</v>
      </c>
      <c r="L7" s="598">
        <v>304</v>
      </c>
      <c r="M7" s="299"/>
      <c r="N7" s="138">
        <f t="shared" si="3"/>
        <v>304</v>
      </c>
      <c r="O7" s="294"/>
      <c r="P7" s="294"/>
      <c r="Q7" s="294"/>
    </row>
    <row r="8" spans="1:17" ht="19.5" customHeight="1" x14ac:dyDescent="0.2">
      <c r="A8" s="1234" t="s">
        <v>180</v>
      </c>
      <c r="B8" s="1235"/>
      <c r="C8" s="301">
        <f t="shared" ref="C8:N8" si="4">SUM(C4:C7)</f>
        <v>16536</v>
      </c>
      <c r="D8" s="301">
        <f t="shared" si="4"/>
        <v>-176</v>
      </c>
      <c r="E8" s="301">
        <f t="shared" si="4"/>
        <v>16360</v>
      </c>
      <c r="F8" s="301">
        <f t="shared" si="4"/>
        <v>1124</v>
      </c>
      <c r="G8" s="301">
        <f t="shared" si="4"/>
        <v>0</v>
      </c>
      <c r="H8" s="301">
        <f t="shared" si="4"/>
        <v>1124</v>
      </c>
      <c r="I8" s="301">
        <f t="shared" ref="I8:K8" si="5">SUM(I4:I7)</f>
        <v>0</v>
      </c>
      <c r="J8" s="301">
        <f t="shared" si="5"/>
        <v>172</v>
      </c>
      <c r="K8" s="301">
        <f t="shared" si="5"/>
        <v>172</v>
      </c>
      <c r="L8" s="301">
        <f t="shared" si="4"/>
        <v>304</v>
      </c>
      <c r="M8" s="301">
        <f t="shared" si="4"/>
        <v>46</v>
      </c>
      <c r="N8" s="301">
        <f t="shared" si="4"/>
        <v>350</v>
      </c>
    </row>
    <row r="9" spans="1:17" ht="19.5" customHeight="1" x14ac:dyDescent="0.2">
      <c r="A9" s="443"/>
      <c r="B9" s="443"/>
      <c r="C9" s="444"/>
      <c r="D9" s="444"/>
      <c r="E9" s="444"/>
    </row>
    <row r="10" spans="1:17" ht="12.75" customHeight="1" x14ac:dyDescent="0.2">
      <c r="A10" s="1236" t="s">
        <v>282</v>
      </c>
      <c r="B10" s="1236"/>
      <c r="C10" s="1232"/>
      <c r="D10" s="1232"/>
      <c r="E10" s="1233"/>
    </row>
    <row r="11" spans="1:17" ht="25.5" x14ac:dyDescent="0.2">
      <c r="A11" s="1208" t="s">
        <v>498</v>
      </c>
      <c r="B11" s="1208"/>
      <c r="C11" s="890" t="s">
        <v>912</v>
      </c>
      <c r="D11" s="890" t="s">
        <v>727</v>
      </c>
      <c r="E11" s="890" t="s">
        <v>950</v>
      </c>
    </row>
    <row r="12" spans="1:17" ht="25.5" x14ac:dyDescent="0.2">
      <c r="A12" s="292" t="s">
        <v>936</v>
      </c>
      <c r="B12" s="293" t="s">
        <v>607</v>
      </c>
      <c r="C12" s="709">
        <f>+'5.f. mell. Átadott pénzeszk.'!C10</f>
        <v>2450</v>
      </c>
      <c r="D12" s="710">
        <f>+'5.f. mell. Átadott pénzeszk.'!D10</f>
        <v>0</v>
      </c>
      <c r="E12" s="710">
        <f>+D12+C12</f>
        <v>2450</v>
      </c>
    </row>
    <row r="13" spans="1:17" ht="25.5" x14ac:dyDescent="0.2">
      <c r="A13" s="292" t="s">
        <v>614</v>
      </c>
      <c r="B13" s="293" t="s">
        <v>603</v>
      </c>
      <c r="C13" s="709">
        <f>+'5.f. mell. Átadott pénzeszk.'!C11</f>
        <v>2402</v>
      </c>
      <c r="D13" s="709">
        <f>+'5.f. mell. Átadott pénzeszk.'!D11</f>
        <v>0</v>
      </c>
      <c r="E13" s="710">
        <f t="shared" ref="E13:E18" si="6">+D13+C13</f>
        <v>2402</v>
      </c>
    </row>
    <row r="14" spans="1:17" ht="25.5" x14ac:dyDescent="0.2">
      <c r="A14" s="292" t="s">
        <v>615</v>
      </c>
      <c r="B14" s="293" t="s">
        <v>604</v>
      </c>
      <c r="C14" s="709">
        <f>+'5.f. mell. Átadott pénzeszk.'!C12</f>
        <v>1791</v>
      </c>
      <c r="D14" s="709">
        <f>+'5.f. mell. Átadott pénzeszk.'!D12</f>
        <v>0</v>
      </c>
      <c r="E14" s="710">
        <f t="shared" si="6"/>
        <v>1791</v>
      </c>
    </row>
    <row r="15" spans="1:17" x14ac:dyDescent="0.2">
      <c r="A15" s="292" t="s">
        <v>613</v>
      </c>
      <c r="B15" s="293" t="s">
        <v>608</v>
      </c>
      <c r="C15" s="709">
        <f>+'5.f. mell. Átadott pénzeszk.'!C13</f>
        <v>1026</v>
      </c>
      <c r="D15" s="709">
        <f>+'5.f. mell. Átadott pénzeszk.'!D13</f>
        <v>0</v>
      </c>
      <c r="E15" s="710">
        <f t="shared" si="6"/>
        <v>1026</v>
      </c>
    </row>
    <row r="16" spans="1:17" ht="25.5" x14ac:dyDescent="0.2">
      <c r="A16" s="292" t="s">
        <v>612</v>
      </c>
      <c r="B16" s="293" t="s">
        <v>609</v>
      </c>
      <c r="C16" s="709">
        <f>+'5.f. mell. Átadott pénzeszk.'!C14</f>
        <v>1967</v>
      </c>
      <c r="D16" s="709">
        <f>+'5.f. mell. Átadott pénzeszk.'!D14</f>
        <v>0</v>
      </c>
      <c r="E16" s="710">
        <f t="shared" si="6"/>
        <v>1967</v>
      </c>
    </row>
    <row r="17" spans="1:5" x14ac:dyDescent="0.2">
      <c r="A17" s="292" t="s">
        <v>713</v>
      </c>
      <c r="B17" s="293" t="s">
        <v>710</v>
      </c>
      <c r="C17" s="709">
        <v>0</v>
      </c>
      <c r="D17" s="709"/>
      <c r="E17" s="710">
        <f t="shared" si="6"/>
        <v>0</v>
      </c>
    </row>
    <row r="18" spans="1:5" x14ac:dyDescent="0.2">
      <c r="A18" s="292" t="s">
        <v>616</v>
      </c>
      <c r="B18" s="293" t="s">
        <v>611</v>
      </c>
      <c r="C18" s="709">
        <f>+'5.f. mell. Átadott pénzeszk.'!C15</f>
        <v>501</v>
      </c>
      <c r="D18" s="709">
        <f>+'5.f. mell. Átadott pénzeszk.'!D15</f>
        <v>340</v>
      </c>
      <c r="E18" s="710">
        <f t="shared" si="6"/>
        <v>841</v>
      </c>
    </row>
    <row r="19" spans="1:5" x14ac:dyDescent="0.2">
      <c r="A19" s="1234" t="s">
        <v>180</v>
      </c>
      <c r="B19" s="1235"/>
      <c r="C19" s="711">
        <f>SUM(C12:C18)</f>
        <v>10137</v>
      </c>
      <c r="D19" s="711">
        <f>SUM(D12:D18)</f>
        <v>340</v>
      </c>
      <c r="E19" s="711">
        <f>SUM(E12:E18)</f>
        <v>10477</v>
      </c>
    </row>
    <row r="20" spans="1:5" x14ac:dyDescent="0.2">
      <c r="A20" s="445"/>
      <c r="B20" s="446"/>
      <c r="C20" s="447"/>
      <c r="D20" s="17"/>
      <c r="E20" s="17"/>
    </row>
  </sheetData>
  <mergeCells count="11">
    <mergeCell ref="F2:H2"/>
    <mergeCell ref="L2:N2"/>
    <mergeCell ref="A19:B19"/>
    <mergeCell ref="C2:E2"/>
    <mergeCell ref="C10:E10"/>
    <mergeCell ref="A10:B10"/>
    <mergeCell ref="A11:B11"/>
    <mergeCell ref="A3:B3"/>
    <mergeCell ref="A8:B8"/>
    <mergeCell ref="A2:B2"/>
    <mergeCell ref="I2:K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&amp;C&amp;"Times New Roman,Félkövér"&amp;12Martonvásár Város Önkormányzatának kiadásai 2019.
Szociális feladatok ellátása&amp;R&amp;"Times New Roman,Félkövér"&amp;12 5/e. 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"/>
  <sheetViews>
    <sheetView zoomScaleNormal="100" workbookViewId="0">
      <selection activeCell="D19" sqref="D19"/>
    </sheetView>
  </sheetViews>
  <sheetFormatPr defaultColWidth="9.140625" defaultRowHeight="12.75" x14ac:dyDescent="0.2"/>
  <cols>
    <col min="1" max="1" width="7.5703125" style="291" customWidth="1"/>
    <col min="2" max="2" width="29" style="290" customWidth="1"/>
    <col min="3" max="3" width="7.42578125" style="290" customWidth="1"/>
    <col min="4" max="4" width="6.5703125" style="290" customWidth="1"/>
    <col min="5" max="5" width="7.42578125" style="290" bestFit="1" customWidth="1"/>
    <col min="6" max="6" width="7.7109375" style="290" customWidth="1"/>
    <col min="7" max="7" width="5.85546875" style="290" customWidth="1"/>
    <col min="8" max="11" width="7.42578125" style="290" customWidth="1"/>
    <col min="12" max="12" width="9.140625" style="290" customWidth="1"/>
    <col min="13" max="13" width="8.85546875" style="290" bestFit="1" customWidth="1"/>
    <col min="14" max="14" width="9.140625" style="290" bestFit="1" customWidth="1"/>
    <col min="15" max="16384" width="9.140625" style="290"/>
  </cols>
  <sheetData>
    <row r="1" spans="1:14" ht="12.75" customHeight="1" x14ac:dyDescent="0.2">
      <c r="A1" s="1250"/>
      <c r="B1" s="1252" t="s">
        <v>499</v>
      </c>
      <c r="C1" s="1260" t="s">
        <v>101</v>
      </c>
      <c r="D1" s="1260"/>
      <c r="E1" s="1260"/>
      <c r="F1" s="1260" t="s">
        <v>107</v>
      </c>
      <c r="G1" s="1260"/>
      <c r="H1" s="1260"/>
      <c r="I1" s="1260" t="s">
        <v>621</v>
      </c>
      <c r="J1" s="1260"/>
      <c r="K1" s="1262"/>
      <c r="L1" s="1270" t="s">
        <v>180</v>
      </c>
      <c r="M1" s="1271"/>
      <c r="N1" s="1272"/>
    </row>
    <row r="2" spans="1:14" ht="29.25" customHeight="1" x14ac:dyDescent="0.2">
      <c r="A2" s="1251"/>
      <c r="B2" s="1253"/>
      <c r="C2" s="1261" t="s">
        <v>573</v>
      </c>
      <c r="D2" s="1261"/>
      <c r="E2" s="1261"/>
      <c r="F2" s="1261" t="s">
        <v>494</v>
      </c>
      <c r="G2" s="1261"/>
      <c r="H2" s="1261"/>
      <c r="I2" s="1261" t="s">
        <v>636</v>
      </c>
      <c r="J2" s="1261"/>
      <c r="K2" s="1263"/>
      <c r="L2" s="1273"/>
      <c r="M2" s="1274"/>
      <c r="N2" s="1275"/>
    </row>
    <row r="3" spans="1:14" ht="38.450000000000003" customHeight="1" x14ac:dyDescent="0.2">
      <c r="A3" s="689" t="s">
        <v>498</v>
      </c>
      <c r="B3" s="691" t="s">
        <v>282</v>
      </c>
      <c r="C3" s="890" t="s">
        <v>912</v>
      </c>
      <c r="D3" s="890" t="s">
        <v>727</v>
      </c>
      <c r="E3" s="890" t="s">
        <v>950</v>
      </c>
      <c r="F3" s="890" t="s">
        <v>912</v>
      </c>
      <c r="G3" s="890" t="s">
        <v>727</v>
      </c>
      <c r="H3" s="890" t="s">
        <v>950</v>
      </c>
      <c r="I3" s="1070" t="s">
        <v>912</v>
      </c>
      <c r="J3" s="1070" t="s">
        <v>727</v>
      </c>
      <c r="K3" s="1070" t="s">
        <v>950</v>
      </c>
      <c r="L3" s="1061" t="s">
        <v>912</v>
      </c>
      <c r="M3" s="890" t="s">
        <v>727</v>
      </c>
      <c r="N3" s="987" t="s">
        <v>950</v>
      </c>
    </row>
    <row r="4" spans="1:14" s="294" customFormat="1" ht="15" customHeight="1" x14ac:dyDescent="0.25">
      <c r="A4" s="738" t="s">
        <v>495</v>
      </c>
      <c r="B4" s="690" t="s">
        <v>496</v>
      </c>
      <c r="C4" s="478">
        <v>0</v>
      </c>
      <c r="D4" s="478"/>
      <c r="E4" s="478">
        <f>+D4+C4</f>
        <v>0</v>
      </c>
      <c r="F4" s="478">
        <v>4500</v>
      </c>
      <c r="G4" s="299"/>
      <c r="H4" s="299">
        <f>+G4+F4</f>
        <v>4500</v>
      </c>
      <c r="I4" s="299"/>
      <c r="J4" s="299"/>
      <c r="K4" s="746"/>
      <c r="L4" s="750">
        <f>+C4+F4+I4</f>
        <v>4500</v>
      </c>
      <c r="M4" s="299">
        <f t="shared" ref="M4:N7" si="0">+D4+G4+J4</f>
        <v>0</v>
      </c>
      <c r="N4" s="739">
        <f t="shared" si="0"/>
        <v>4500</v>
      </c>
    </row>
    <row r="5" spans="1:14" s="294" customFormat="1" ht="15" customHeight="1" x14ac:dyDescent="0.25">
      <c r="A5" s="1254" t="s">
        <v>865</v>
      </c>
      <c r="B5" s="1257" t="s">
        <v>935</v>
      </c>
      <c r="C5" s="1239">
        <v>150</v>
      </c>
      <c r="D5" s="1239"/>
      <c r="E5" s="1239">
        <f t="shared" ref="E5:E19" si="1">+D5+C5</f>
        <v>150</v>
      </c>
      <c r="F5" s="1239">
        <f>1850+3</f>
        <v>1853</v>
      </c>
      <c r="G5" s="1264">
        <f>-562+362</f>
        <v>-200</v>
      </c>
      <c r="H5" s="1267">
        <f t="shared" ref="H5:H39" si="2">+G5+F5</f>
        <v>1653</v>
      </c>
      <c r="I5" s="299"/>
      <c r="J5" s="299"/>
      <c r="K5" s="746"/>
      <c r="L5" s="750">
        <f>+C5+F5+I5</f>
        <v>2003</v>
      </c>
      <c r="M5" s="299">
        <f t="shared" si="0"/>
        <v>-200</v>
      </c>
      <c r="N5" s="739">
        <f t="shared" si="0"/>
        <v>1803</v>
      </c>
    </row>
    <row r="6" spans="1:14" s="294" customFormat="1" ht="15" customHeight="1" x14ac:dyDescent="0.25">
      <c r="A6" s="1255"/>
      <c r="B6" s="1258"/>
      <c r="C6" s="1240"/>
      <c r="D6" s="1240"/>
      <c r="E6" s="1240"/>
      <c r="F6" s="1240"/>
      <c r="G6" s="1265"/>
      <c r="H6" s="1268"/>
      <c r="I6" s="299"/>
      <c r="J6" s="299"/>
      <c r="K6" s="746"/>
      <c r="L6" s="750">
        <f t="shared" ref="L6:L7" si="3">+C6+F6+I6</f>
        <v>0</v>
      </c>
      <c r="M6" s="299">
        <f t="shared" si="0"/>
        <v>0</v>
      </c>
      <c r="N6" s="739">
        <f t="shared" si="0"/>
        <v>0</v>
      </c>
    </row>
    <row r="7" spans="1:14" s="294" customFormat="1" ht="15" customHeight="1" x14ac:dyDescent="0.25">
      <c r="A7" s="1256"/>
      <c r="B7" s="1259"/>
      <c r="C7" s="1241"/>
      <c r="D7" s="1241"/>
      <c r="E7" s="1241"/>
      <c r="F7" s="1241"/>
      <c r="G7" s="1266"/>
      <c r="H7" s="1269"/>
      <c r="I7" s="299"/>
      <c r="J7" s="299"/>
      <c r="K7" s="746"/>
      <c r="L7" s="750">
        <f t="shared" si="3"/>
        <v>0</v>
      </c>
      <c r="M7" s="299">
        <f t="shared" si="0"/>
        <v>0</v>
      </c>
      <c r="N7" s="739">
        <f t="shared" si="0"/>
        <v>0</v>
      </c>
    </row>
    <row r="8" spans="1:14" s="294" customFormat="1" ht="15" customHeight="1" x14ac:dyDescent="0.25">
      <c r="A8" s="738" t="s">
        <v>497</v>
      </c>
      <c r="B8" s="690" t="s">
        <v>485</v>
      </c>
      <c r="C8" s="478">
        <v>0</v>
      </c>
      <c r="D8" s="478"/>
      <c r="E8" s="478">
        <f t="shared" si="1"/>
        <v>0</v>
      </c>
      <c r="F8" s="478">
        <v>6000</v>
      </c>
      <c r="G8" s="299"/>
      <c r="H8" s="299">
        <f t="shared" si="2"/>
        <v>6000</v>
      </c>
      <c r="I8" s="299"/>
      <c r="J8" s="299"/>
      <c r="K8" s="746"/>
      <c r="L8" s="750">
        <f t="shared" ref="L8:L22" si="4">+C8+F8+I8</f>
        <v>6000</v>
      </c>
      <c r="M8" s="299">
        <f t="shared" ref="M8:M40" si="5">+D8+G8+J8</f>
        <v>0</v>
      </c>
      <c r="N8" s="739">
        <f t="shared" ref="N8:N40" si="6">+E8+H8+K8</f>
        <v>6000</v>
      </c>
    </row>
    <row r="9" spans="1:14" s="294" customFormat="1" ht="15" customHeight="1" x14ac:dyDescent="0.25">
      <c r="A9" s="1244" t="s">
        <v>501</v>
      </c>
      <c r="B9" s="1245"/>
      <c r="C9" s="479">
        <f>SUM(C10:C18)</f>
        <v>16551</v>
      </c>
      <c r="D9" s="479">
        <f t="shared" ref="D9:E9" si="7">SUM(D10:D18)</f>
        <v>340</v>
      </c>
      <c r="E9" s="479">
        <f t="shared" si="7"/>
        <v>16891</v>
      </c>
      <c r="F9" s="479"/>
      <c r="G9" s="299"/>
      <c r="H9" s="299">
        <f t="shared" si="2"/>
        <v>0</v>
      </c>
      <c r="I9" s="299"/>
      <c r="J9" s="299"/>
      <c r="K9" s="746"/>
      <c r="L9" s="750">
        <f t="shared" si="4"/>
        <v>16551</v>
      </c>
      <c r="M9" s="299">
        <f t="shared" si="5"/>
        <v>340</v>
      </c>
      <c r="N9" s="739">
        <f t="shared" si="6"/>
        <v>16891</v>
      </c>
    </row>
    <row r="10" spans="1:14" s="450" customFormat="1" ht="24.75" customHeight="1" x14ac:dyDescent="0.25">
      <c r="A10" s="573" t="s">
        <v>936</v>
      </c>
      <c r="B10" s="362" t="s">
        <v>607</v>
      </c>
      <c r="C10" s="364">
        <v>2450</v>
      </c>
      <c r="D10" s="364"/>
      <c r="E10" s="478">
        <f t="shared" si="1"/>
        <v>2450</v>
      </c>
      <c r="F10" s="364"/>
      <c r="G10" s="364"/>
      <c r="H10" s="299">
        <f t="shared" si="2"/>
        <v>0</v>
      </c>
      <c r="I10" s="364"/>
      <c r="J10" s="364"/>
      <c r="K10" s="747"/>
      <c r="L10" s="751">
        <f t="shared" si="4"/>
        <v>2450</v>
      </c>
      <c r="M10" s="364">
        <f t="shared" si="5"/>
        <v>0</v>
      </c>
      <c r="N10" s="740">
        <f t="shared" si="6"/>
        <v>2450</v>
      </c>
    </row>
    <row r="11" spans="1:14" s="450" customFormat="1" ht="15" customHeight="1" x14ac:dyDescent="0.25">
      <c r="A11" s="573" t="s">
        <v>614</v>
      </c>
      <c r="B11" s="362" t="s">
        <v>603</v>
      </c>
      <c r="C11" s="364">
        <v>2402</v>
      </c>
      <c r="D11" s="364"/>
      <c r="E11" s="478">
        <f t="shared" si="1"/>
        <v>2402</v>
      </c>
      <c r="F11" s="364"/>
      <c r="G11" s="364"/>
      <c r="H11" s="299">
        <f t="shared" si="2"/>
        <v>0</v>
      </c>
      <c r="I11" s="364"/>
      <c r="J11" s="364"/>
      <c r="K11" s="747"/>
      <c r="L11" s="751">
        <f t="shared" si="4"/>
        <v>2402</v>
      </c>
      <c r="M11" s="364">
        <f t="shared" si="5"/>
        <v>0</v>
      </c>
      <c r="N11" s="740">
        <f t="shared" si="6"/>
        <v>2402</v>
      </c>
    </row>
    <row r="12" spans="1:14" s="450" customFormat="1" ht="15" customHeight="1" x14ac:dyDescent="0.25">
      <c r="A12" s="573" t="s">
        <v>615</v>
      </c>
      <c r="B12" s="362" t="s">
        <v>604</v>
      </c>
      <c r="C12" s="364">
        <v>1791</v>
      </c>
      <c r="D12" s="364"/>
      <c r="E12" s="478">
        <f t="shared" si="1"/>
        <v>1791</v>
      </c>
      <c r="F12" s="364"/>
      <c r="G12" s="364"/>
      <c r="H12" s="299">
        <f t="shared" si="2"/>
        <v>0</v>
      </c>
      <c r="I12" s="364"/>
      <c r="J12" s="364"/>
      <c r="K12" s="747"/>
      <c r="L12" s="751">
        <f t="shared" si="4"/>
        <v>1791</v>
      </c>
      <c r="M12" s="364">
        <f t="shared" si="5"/>
        <v>0</v>
      </c>
      <c r="N12" s="740">
        <f t="shared" si="6"/>
        <v>1791</v>
      </c>
    </row>
    <row r="13" spans="1:14" s="450" customFormat="1" ht="15" customHeight="1" x14ac:dyDescent="0.25">
      <c r="A13" s="573" t="s">
        <v>613</v>
      </c>
      <c r="B13" s="362" t="s">
        <v>608</v>
      </c>
      <c r="C13" s="364">
        <v>1026</v>
      </c>
      <c r="D13" s="364"/>
      <c r="E13" s="478">
        <f t="shared" si="1"/>
        <v>1026</v>
      </c>
      <c r="F13" s="364"/>
      <c r="G13" s="364"/>
      <c r="H13" s="299">
        <f t="shared" si="2"/>
        <v>0</v>
      </c>
      <c r="I13" s="364"/>
      <c r="J13" s="364"/>
      <c r="K13" s="747"/>
      <c r="L13" s="751">
        <f t="shared" si="4"/>
        <v>1026</v>
      </c>
      <c r="M13" s="364">
        <f t="shared" si="5"/>
        <v>0</v>
      </c>
      <c r="N13" s="740">
        <f t="shared" si="6"/>
        <v>1026</v>
      </c>
    </row>
    <row r="14" spans="1:14" s="450" customFormat="1" ht="24" customHeight="1" x14ac:dyDescent="0.25">
      <c r="A14" s="573" t="s">
        <v>612</v>
      </c>
      <c r="B14" s="362" t="s">
        <v>609</v>
      </c>
      <c r="C14" s="364">
        <v>1967</v>
      </c>
      <c r="D14" s="364"/>
      <c r="E14" s="478">
        <f t="shared" si="1"/>
        <v>1967</v>
      </c>
      <c r="F14" s="364"/>
      <c r="G14" s="364"/>
      <c r="H14" s="299">
        <f t="shared" si="2"/>
        <v>0</v>
      </c>
      <c r="I14" s="364"/>
      <c r="J14" s="364"/>
      <c r="K14" s="747"/>
      <c r="L14" s="751">
        <f t="shared" si="4"/>
        <v>1967</v>
      </c>
      <c r="M14" s="364">
        <f t="shared" si="5"/>
        <v>0</v>
      </c>
      <c r="N14" s="740">
        <f t="shared" si="6"/>
        <v>1967</v>
      </c>
    </row>
    <row r="15" spans="1:14" s="450" customFormat="1" ht="15" customHeight="1" x14ac:dyDescent="0.25">
      <c r="A15" s="573" t="s">
        <v>616</v>
      </c>
      <c r="B15" s="362" t="s">
        <v>611</v>
      </c>
      <c r="C15" s="364">
        <v>501</v>
      </c>
      <c r="D15" s="364">
        <v>340</v>
      </c>
      <c r="E15" s="478">
        <f t="shared" si="1"/>
        <v>841</v>
      </c>
      <c r="F15" s="364"/>
      <c r="G15" s="364"/>
      <c r="H15" s="299">
        <f t="shared" si="2"/>
        <v>0</v>
      </c>
      <c r="I15" s="364"/>
      <c r="J15" s="364"/>
      <c r="K15" s="747"/>
      <c r="L15" s="751">
        <f t="shared" si="4"/>
        <v>501</v>
      </c>
      <c r="M15" s="364">
        <f t="shared" si="5"/>
        <v>340</v>
      </c>
      <c r="N15" s="740">
        <f t="shared" si="6"/>
        <v>841</v>
      </c>
    </row>
    <row r="16" spans="1:14" s="450" customFormat="1" ht="15" customHeight="1" x14ac:dyDescent="0.25">
      <c r="A16" s="573" t="s">
        <v>713</v>
      </c>
      <c r="B16" s="362" t="s">
        <v>710</v>
      </c>
      <c r="C16" s="364">
        <v>0</v>
      </c>
      <c r="D16" s="364"/>
      <c r="E16" s="478">
        <f t="shared" si="1"/>
        <v>0</v>
      </c>
      <c r="F16" s="364"/>
      <c r="G16" s="364"/>
      <c r="H16" s="299">
        <f t="shared" si="2"/>
        <v>0</v>
      </c>
      <c r="I16" s="364"/>
      <c r="J16" s="364"/>
      <c r="K16" s="747"/>
      <c r="L16" s="751">
        <f t="shared" si="4"/>
        <v>0</v>
      </c>
      <c r="M16" s="364"/>
      <c r="N16" s="740"/>
    </row>
    <row r="17" spans="1:14" s="450" customFormat="1" ht="15" customHeight="1" x14ac:dyDescent="0.25">
      <c r="A17" s="573" t="s">
        <v>712</v>
      </c>
      <c r="B17" s="362" t="s">
        <v>711</v>
      </c>
      <c r="C17" s="364">
        <v>888</v>
      </c>
      <c r="D17" s="364"/>
      <c r="E17" s="478">
        <f t="shared" si="1"/>
        <v>888</v>
      </c>
      <c r="F17" s="364"/>
      <c r="G17" s="364"/>
      <c r="H17" s="299">
        <f t="shared" si="2"/>
        <v>0</v>
      </c>
      <c r="I17" s="364"/>
      <c r="J17" s="364"/>
      <c r="K17" s="747"/>
      <c r="L17" s="751">
        <f t="shared" si="4"/>
        <v>888</v>
      </c>
      <c r="M17" s="364"/>
      <c r="N17" s="740"/>
    </row>
    <row r="18" spans="1:14" s="450" customFormat="1" ht="26.25" customHeight="1" x14ac:dyDescent="0.25">
      <c r="A18" s="573" t="s">
        <v>486</v>
      </c>
      <c r="B18" s="362" t="s">
        <v>610</v>
      </c>
      <c r="C18" s="364">
        <v>5526</v>
      </c>
      <c r="D18" s="364"/>
      <c r="E18" s="478">
        <f t="shared" si="1"/>
        <v>5526</v>
      </c>
      <c r="F18" s="364"/>
      <c r="G18" s="364"/>
      <c r="H18" s="299">
        <f t="shared" si="2"/>
        <v>0</v>
      </c>
      <c r="I18" s="364"/>
      <c r="J18" s="364"/>
      <c r="K18" s="747"/>
      <c r="L18" s="751">
        <f t="shared" si="4"/>
        <v>5526</v>
      </c>
      <c r="M18" s="364">
        <f t="shared" si="5"/>
        <v>0</v>
      </c>
      <c r="N18" s="740">
        <f t="shared" si="6"/>
        <v>5526</v>
      </c>
    </row>
    <row r="19" spans="1:14" s="294" customFormat="1" ht="15" customHeight="1" x14ac:dyDescent="0.25">
      <c r="A19" s="1246" t="s">
        <v>629</v>
      </c>
      <c r="B19" s="1247"/>
      <c r="C19" s="299">
        <v>113154</v>
      </c>
      <c r="D19" s="299">
        <f>5501</f>
        <v>5501</v>
      </c>
      <c r="E19" s="478">
        <f t="shared" si="1"/>
        <v>118655</v>
      </c>
      <c r="F19" s="299"/>
      <c r="G19" s="299"/>
      <c r="H19" s="299">
        <f t="shared" si="2"/>
        <v>0</v>
      </c>
      <c r="I19" s="299"/>
      <c r="J19" s="299"/>
      <c r="K19" s="746"/>
      <c r="L19" s="750">
        <f t="shared" si="4"/>
        <v>113154</v>
      </c>
      <c r="M19" s="299">
        <f t="shared" si="5"/>
        <v>5501</v>
      </c>
      <c r="N19" s="739">
        <f t="shared" si="6"/>
        <v>118655</v>
      </c>
    </row>
    <row r="20" spans="1:14" s="294" customFormat="1" ht="15" customHeight="1" x14ac:dyDescent="0.25">
      <c r="A20" s="1246" t="s">
        <v>628</v>
      </c>
      <c r="B20" s="1247"/>
      <c r="C20" s="299"/>
      <c r="D20" s="299"/>
      <c r="E20" s="299"/>
      <c r="F20" s="299"/>
      <c r="G20" s="299"/>
      <c r="H20" s="299">
        <f t="shared" si="2"/>
        <v>0</v>
      </c>
      <c r="I20" s="299"/>
      <c r="J20" s="299"/>
      <c r="K20" s="746"/>
      <c r="L20" s="750">
        <f t="shared" si="4"/>
        <v>0</v>
      </c>
      <c r="M20" s="299">
        <f t="shared" si="5"/>
        <v>0</v>
      </c>
      <c r="N20" s="739">
        <f t="shared" si="6"/>
        <v>0</v>
      </c>
    </row>
    <row r="21" spans="1:14" s="294" customFormat="1" ht="15" customHeight="1" x14ac:dyDescent="0.25">
      <c r="A21" s="1248" t="s">
        <v>601</v>
      </c>
      <c r="B21" s="1249"/>
      <c r="C21" s="299"/>
      <c r="D21" s="299"/>
      <c r="E21" s="299"/>
      <c r="F21" s="479"/>
      <c r="G21" s="299"/>
      <c r="H21" s="299">
        <f t="shared" si="2"/>
        <v>0</v>
      </c>
      <c r="I21" s="299">
        <v>5000</v>
      </c>
      <c r="J21" s="299"/>
      <c r="K21" s="299">
        <f t="shared" ref="K21" si="8">+J21+I21</f>
        <v>5000</v>
      </c>
      <c r="L21" s="750">
        <f t="shared" si="4"/>
        <v>5000</v>
      </c>
      <c r="M21" s="299">
        <f t="shared" si="5"/>
        <v>0</v>
      </c>
      <c r="N21" s="739">
        <f t="shared" si="6"/>
        <v>5000</v>
      </c>
    </row>
    <row r="22" spans="1:14" s="294" customFormat="1" ht="35.25" customHeight="1" x14ac:dyDescent="0.25">
      <c r="A22" s="1248" t="s">
        <v>570</v>
      </c>
      <c r="B22" s="1249"/>
      <c r="C22" s="299"/>
      <c r="D22" s="299"/>
      <c r="E22" s="299"/>
      <c r="F22" s="299">
        <f>SUM(F23:F38)</f>
        <v>120983</v>
      </c>
      <c r="G22" s="299">
        <f>SUM(G23:G38)</f>
        <v>3772</v>
      </c>
      <c r="H22" s="299">
        <f t="shared" si="2"/>
        <v>124755</v>
      </c>
      <c r="I22" s="299"/>
      <c r="J22" s="299"/>
      <c r="K22" s="746"/>
      <c r="L22" s="750">
        <f t="shared" si="4"/>
        <v>120983</v>
      </c>
      <c r="M22" s="299">
        <f t="shared" si="5"/>
        <v>3772</v>
      </c>
      <c r="N22" s="739">
        <f t="shared" si="6"/>
        <v>124755</v>
      </c>
    </row>
    <row r="23" spans="1:14" s="450" customFormat="1" ht="25.5" customHeight="1" x14ac:dyDescent="0.25">
      <c r="A23" s="573" t="s">
        <v>689</v>
      </c>
      <c r="B23" s="362" t="s">
        <v>489</v>
      </c>
      <c r="C23" s="363"/>
      <c r="D23" s="364"/>
      <c r="E23" s="364"/>
      <c r="F23" s="794">
        <v>9557</v>
      </c>
      <c r="G23" s="364"/>
      <c r="H23" s="299">
        <f t="shared" si="2"/>
        <v>9557</v>
      </c>
      <c r="I23" s="364"/>
      <c r="J23" s="364"/>
      <c r="K23" s="747"/>
      <c r="L23" s="751">
        <f t="shared" ref="L23:L39" si="9">+C23+F23+I23</f>
        <v>9557</v>
      </c>
      <c r="M23" s="364">
        <f t="shared" si="5"/>
        <v>0</v>
      </c>
      <c r="N23" s="740">
        <f t="shared" si="6"/>
        <v>9557</v>
      </c>
    </row>
    <row r="24" spans="1:14" s="450" customFormat="1" ht="15" customHeight="1" x14ac:dyDescent="0.25">
      <c r="A24" s="573" t="s">
        <v>690</v>
      </c>
      <c r="B24" s="362" t="s">
        <v>487</v>
      </c>
      <c r="C24" s="363"/>
      <c r="D24" s="364"/>
      <c r="E24" s="364"/>
      <c r="F24" s="794">
        <v>12029</v>
      </c>
      <c r="G24" s="364"/>
      <c r="H24" s="299">
        <f t="shared" si="2"/>
        <v>12029</v>
      </c>
      <c r="I24" s="364"/>
      <c r="J24" s="364"/>
      <c r="K24" s="747"/>
      <c r="L24" s="751">
        <f t="shared" si="9"/>
        <v>12029</v>
      </c>
      <c r="M24" s="364">
        <f t="shared" si="5"/>
        <v>0</v>
      </c>
      <c r="N24" s="740">
        <f t="shared" si="6"/>
        <v>12029</v>
      </c>
    </row>
    <row r="25" spans="1:14" s="450" customFormat="1" ht="15" customHeight="1" x14ac:dyDescent="0.25">
      <c r="A25" s="573" t="s">
        <v>691</v>
      </c>
      <c r="B25" s="362" t="s">
        <v>454</v>
      </c>
      <c r="C25" s="363"/>
      <c r="D25" s="364"/>
      <c r="E25" s="364"/>
      <c r="F25" s="794">
        <v>4810</v>
      </c>
      <c r="G25" s="364"/>
      <c r="H25" s="299">
        <f t="shared" si="2"/>
        <v>4810</v>
      </c>
      <c r="I25" s="364"/>
      <c r="J25" s="364"/>
      <c r="K25" s="747"/>
      <c r="L25" s="751">
        <f t="shared" si="9"/>
        <v>4810</v>
      </c>
      <c r="M25" s="364">
        <f t="shared" si="5"/>
        <v>0</v>
      </c>
      <c r="N25" s="740">
        <f t="shared" si="6"/>
        <v>4810</v>
      </c>
    </row>
    <row r="26" spans="1:14" s="450" customFormat="1" ht="15" customHeight="1" x14ac:dyDescent="0.25">
      <c r="A26" s="573" t="s">
        <v>692</v>
      </c>
      <c r="B26" s="362" t="s">
        <v>488</v>
      </c>
      <c r="C26" s="363"/>
      <c r="D26" s="364"/>
      <c r="E26" s="364"/>
      <c r="F26" s="794">
        <v>7203</v>
      </c>
      <c r="G26" s="364">
        <v>72</v>
      </c>
      <c r="H26" s="299">
        <f t="shared" si="2"/>
        <v>7275</v>
      </c>
      <c r="I26" s="364"/>
      <c r="J26" s="364"/>
      <c r="K26" s="747"/>
      <c r="L26" s="751">
        <f t="shared" si="9"/>
        <v>7203</v>
      </c>
      <c r="M26" s="364">
        <f t="shared" si="5"/>
        <v>72</v>
      </c>
      <c r="N26" s="740">
        <f t="shared" si="6"/>
        <v>7275</v>
      </c>
    </row>
    <row r="27" spans="1:14" s="450" customFormat="1" ht="15" customHeight="1" x14ac:dyDescent="0.25">
      <c r="A27" s="573" t="s">
        <v>693</v>
      </c>
      <c r="B27" s="362" t="s">
        <v>490</v>
      </c>
      <c r="C27" s="363"/>
      <c r="D27" s="364"/>
      <c r="E27" s="364"/>
      <c r="F27" s="794">
        <v>12094</v>
      </c>
      <c r="G27" s="364"/>
      <c r="H27" s="299">
        <f t="shared" si="2"/>
        <v>12094</v>
      </c>
      <c r="I27" s="364"/>
      <c r="J27" s="364"/>
      <c r="K27" s="747"/>
      <c r="L27" s="751">
        <f t="shared" si="9"/>
        <v>12094</v>
      </c>
      <c r="M27" s="364">
        <f t="shared" si="5"/>
        <v>0</v>
      </c>
      <c r="N27" s="740">
        <f t="shared" si="6"/>
        <v>12094</v>
      </c>
    </row>
    <row r="28" spans="1:14" s="450" customFormat="1" ht="15" customHeight="1" x14ac:dyDescent="0.25">
      <c r="A28" s="573" t="s">
        <v>694</v>
      </c>
      <c r="B28" s="362" t="s">
        <v>491</v>
      </c>
      <c r="C28" s="363"/>
      <c r="D28" s="364"/>
      <c r="E28" s="364"/>
      <c r="F28" s="794">
        <v>14781</v>
      </c>
      <c r="G28" s="364"/>
      <c r="H28" s="299">
        <f t="shared" si="2"/>
        <v>14781</v>
      </c>
      <c r="I28" s="364"/>
      <c r="J28" s="364"/>
      <c r="K28" s="747"/>
      <c r="L28" s="751">
        <f t="shared" si="9"/>
        <v>14781</v>
      </c>
      <c r="M28" s="364">
        <f t="shared" si="5"/>
        <v>0</v>
      </c>
      <c r="N28" s="740">
        <f t="shared" si="6"/>
        <v>14781</v>
      </c>
    </row>
    <row r="29" spans="1:14" s="450" customFormat="1" ht="15" customHeight="1" x14ac:dyDescent="0.25">
      <c r="A29" s="573" t="s">
        <v>695</v>
      </c>
      <c r="B29" s="362" t="s">
        <v>704</v>
      </c>
      <c r="C29" s="363"/>
      <c r="D29" s="364"/>
      <c r="E29" s="364"/>
      <c r="F29" s="794">
        <v>1550</v>
      </c>
      <c r="G29" s="364"/>
      <c r="H29" s="299">
        <f t="shared" si="2"/>
        <v>1550</v>
      </c>
      <c r="I29" s="364"/>
      <c r="J29" s="364"/>
      <c r="K29" s="747"/>
      <c r="L29" s="751">
        <f t="shared" si="9"/>
        <v>1550</v>
      </c>
      <c r="M29" s="364"/>
      <c r="N29" s="740"/>
    </row>
    <row r="30" spans="1:14" s="450" customFormat="1" ht="15" customHeight="1" x14ac:dyDescent="0.25">
      <c r="A30" s="573" t="s">
        <v>695</v>
      </c>
      <c r="B30" s="362" t="s">
        <v>492</v>
      </c>
      <c r="C30" s="363"/>
      <c r="D30" s="364"/>
      <c r="E30" s="364"/>
      <c r="F30" s="794">
        <v>26805</v>
      </c>
      <c r="G30" s="364"/>
      <c r="H30" s="299">
        <f t="shared" si="2"/>
        <v>26805</v>
      </c>
      <c r="I30" s="364"/>
      <c r="J30" s="364"/>
      <c r="K30" s="747"/>
      <c r="L30" s="751">
        <f t="shared" si="9"/>
        <v>26805</v>
      </c>
      <c r="M30" s="364">
        <f t="shared" si="5"/>
        <v>0</v>
      </c>
      <c r="N30" s="740">
        <f t="shared" si="6"/>
        <v>26805</v>
      </c>
    </row>
    <row r="31" spans="1:14" s="450" customFormat="1" ht="30.75" customHeight="1" x14ac:dyDescent="0.25">
      <c r="A31" s="573" t="s">
        <v>696</v>
      </c>
      <c r="B31" s="362" t="s">
        <v>493</v>
      </c>
      <c r="C31" s="363"/>
      <c r="D31" s="364"/>
      <c r="E31" s="364"/>
      <c r="F31" s="795">
        <v>0</v>
      </c>
      <c r="G31" s="364"/>
      <c r="H31" s="299">
        <f t="shared" si="2"/>
        <v>0</v>
      </c>
      <c r="I31" s="364"/>
      <c r="J31" s="364"/>
      <c r="K31" s="747"/>
      <c r="L31" s="751">
        <f t="shared" si="9"/>
        <v>0</v>
      </c>
      <c r="M31" s="364">
        <f t="shared" si="5"/>
        <v>0</v>
      </c>
      <c r="N31" s="740">
        <f t="shared" si="6"/>
        <v>0</v>
      </c>
    </row>
    <row r="32" spans="1:14" s="450" customFormat="1" ht="14.25" customHeight="1" x14ac:dyDescent="0.25">
      <c r="A32" s="573" t="s">
        <v>652</v>
      </c>
      <c r="B32" s="362" t="s">
        <v>705</v>
      </c>
      <c r="C32" s="363"/>
      <c r="D32" s="364"/>
      <c r="E32" s="364"/>
      <c r="F32" s="795">
        <v>3909</v>
      </c>
      <c r="G32" s="364"/>
      <c r="H32" s="299">
        <f t="shared" si="2"/>
        <v>3909</v>
      </c>
      <c r="I32" s="364"/>
      <c r="J32" s="364"/>
      <c r="K32" s="747"/>
      <c r="L32" s="751">
        <f t="shared" si="9"/>
        <v>3909</v>
      </c>
      <c r="M32" s="364">
        <f t="shared" si="5"/>
        <v>0</v>
      </c>
      <c r="N32" s="740">
        <f t="shared" si="6"/>
        <v>3909</v>
      </c>
    </row>
    <row r="33" spans="1:14" s="450" customFormat="1" ht="14.25" customHeight="1" x14ac:dyDescent="0.25">
      <c r="A33" s="573" t="s">
        <v>652</v>
      </c>
      <c r="B33" s="362" t="s">
        <v>706</v>
      </c>
      <c r="C33" s="363"/>
      <c r="D33" s="364"/>
      <c r="E33" s="364"/>
      <c r="F33" s="795">
        <v>1455</v>
      </c>
      <c r="G33" s="364"/>
      <c r="H33" s="299">
        <f t="shared" si="2"/>
        <v>1455</v>
      </c>
      <c r="I33" s="364"/>
      <c r="J33" s="364"/>
      <c r="K33" s="747"/>
      <c r="L33" s="751">
        <f t="shared" si="9"/>
        <v>1455</v>
      </c>
      <c r="M33" s="364">
        <f t="shared" si="5"/>
        <v>0</v>
      </c>
      <c r="N33" s="740">
        <f t="shared" si="6"/>
        <v>1455</v>
      </c>
    </row>
    <row r="34" spans="1:14" s="450" customFormat="1" ht="14.25" customHeight="1" x14ac:dyDescent="0.25">
      <c r="A34" s="573" t="s">
        <v>652</v>
      </c>
      <c r="B34" s="362" t="s">
        <v>707</v>
      </c>
      <c r="C34" s="363"/>
      <c r="D34" s="364"/>
      <c r="E34" s="364"/>
      <c r="F34" s="795">
        <v>927</v>
      </c>
      <c r="G34" s="364"/>
      <c r="H34" s="299">
        <f t="shared" si="2"/>
        <v>927</v>
      </c>
      <c r="I34" s="364"/>
      <c r="J34" s="364"/>
      <c r="K34" s="747"/>
      <c r="L34" s="751">
        <f t="shared" si="9"/>
        <v>927</v>
      </c>
      <c r="M34" s="364">
        <f t="shared" si="5"/>
        <v>0</v>
      </c>
      <c r="N34" s="740">
        <f t="shared" si="6"/>
        <v>927</v>
      </c>
    </row>
    <row r="35" spans="1:14" s="450" customFormat="1" ht="14.25" customHeight="1" x14ac:dyDescent="0.25">
      <c r="A35" s="573" t="s">
        <v>652</v>
      </c>
      <c r="B35" s="362" t="s">
        <v>708</v>
      </c>
      <c r="C35" s="363"/>
      <c r="D35" s="364"/>
      <c r="E35" s="364"/>
      <c r="F35" s="795">
        <v>2782</v>
      </c>
      <c r="G35" s="364"/>
      <c r="H35" s="299">
        <f t="shared" si="2"/>
        <v>2782</v>
      </c>
      <c r="I35" s="364"/>
      <c r="J35" s="364"/>
      <c r="K35" s="747"/>
      <c r="L35" s="751">
        <f t="shared" si="9"/>
        <v>2782</v>
      </c>
      <c r="M35" s="364">
        <f t="shared" si="5"/>
        <v>0</v>
      </c>
      <c r="N35" s="740">
        <f t="shared" si="6"/>
        <v>2782</v>
      </c>
    </row>
    <row r="36" spans="1:14" s="450" customFormat="1" ht="15" customHeight="1" x14ac:dyDescent="0.25">
      <c r="A36" s="573" t="s">
        <v>652</v>
      </c>
      <c r="B36" s="365" t="s">
        <v>653</v>
      </c>
      <c r="C36" s="366"/>
      <c r="D36" s="367"/>
      <c r="E36" s="367"/>
      <c r="F36" s="796">
        <f>2156+1021</f>
        <v>3177</v>
      </c>
      <c r="G36" s="364">
        <v>3700</v>
      </c>
      <c r="H36" s="299">
        <f t="shared" si="2"/>
        <v>6877</v>
      </c>
      <c r="I36" s="364"/>
      <c r="J36" s="364"/>
      <c r="K36" s="747"/>
      <c r="L36" s="751">
        <f t="shared" si="9"/>
        <v>3177</v>
      </c>
      <c r="M36" s="364">
        <f t="shared" si="5"/>
        <v>3700</v>
      </c>
      <c r="N36" s="740">
        <f t="shared" si="6"/>
        <v>6877</v>
      </c>
    </row>
    <row r="37" spans="1:14" s="450" customFormat="1" ht="15" customHeight="1" x14ac:dyDescent="0.25">
      <c r="A37" s="574" t="s">
        <v>695</v>
      </c>
      <c r="B37" s="365" t="s">
        <v>709</v>
      </c>
      <c r="C37" s="366"/>
      <c r="D37" s="367"/>
      <c r="E37" s="367"/>
      <c r="F37" s="796">
        <v>19304</v>
      </c>
      <c r="G37" s="367"/>
      <c r="H37" s="299">
        <f t="shared" ref="H37" si="10">+G37+F37</f>
        <v>19304</v>
      </c>
      <c r="I37" s="367"/>
      <c r="J37" s="367"/>
      <c r="K37" s="748"/>
      <c r="L37" s="751">
        <f t="shared" ref="L37" si="11">+C37+F37+I37</f>
        <v>19304</v>
      </c>
      <c r="M37" s="364">
        <f t="shared" ref="M37" si="12">+D37+G37+J37</f>
        <v>0</v>
      </c>
      <c r="N37" s="740">
        <f t="shared" ref="N37" si="13">+E37+H37+K37</f>
        <v>19304</v>
      </c>
    </row>
    <row r="38" spans="1:14" s="450" customFormat="1" ht="28.15" customHeight="1" x14ac:dyDescent="0.25">
      <c r="A38" s="574" t="s">
        <v>695</v>
      </c>
      <c r="B38" s="1043" t="s">
        <v>937</v>
      </c>
      <c r="C38" s="366"/>
      <c r="D38" s="367"/>
      <c r="E38" s="367"/>
      <c r="F38" s="796">
        <v>600</v>
      </c>
      <c r="G38" s="367"/>
      <c r="H38" s="299">
        <f t="shared" si="2"/>
        <v>600</v>
      </c>
      <c r="I38" s="367"/>
      <c r="J38" s="367"/>
      <c r="K38" s="748"/>
      <c r="L38" s="751">
        <f t="shared" si="9"/>
        <v>600</v>
      </c>
      <c r="M38" s="364">
        <f t="shared" si="5"/>
        <v>0</v>
      </c>
      <c r="N38" s="740">
        <f t="shared" si="6"/>
        <v>600</v>
      </c>
    </row>
    <row r="39" spans="1:14" s="294" customFormat="1" ht="26.25" customHeight="1" thickBot="1" x14ac:dyDescent="0.3">
      <c r="A39" s="741"/>
      <c r="B39" s="742" t="s">
        <v>630</v>
      </c>
      <c r="C39" s="743"/>
      <c r="D39" s="743"/>
      <c r="E39" s="743"/>
      <c r="F39" s="743"/>
      <c r="G39" s="743"/>
      <c r="H39" s="743">
        <f t="shared" si="2"/>
        <v>0</v>
      </c>
      <c r="I39" s="743"/>
      <c r="J39" s="743"/>
      <c r="K39" s="749"/>
      <c r="L39" s="752">
        <f t="shared" si="9"/>
        <v>0</v>
      </c>
      <c r="M39" s="744">
        <f t="shared" si="5"/>
        <v>0</v>
      </c>
      <c r="N39" s="745">
        <f t="shared" si="6"/>
        <v>0</v>
      </c>
    </row>
    <row r="40" spans="1:14" ht="13.5" thickBot="1" x14ac:dyDescent="0.25">
      <c r="A40" s="1242" t="s">
        <v>180</v>
      </c>
      <c r="B40" s="1243"/>
      <c r="C40" s="57">
        <f>+C19+C9+C5</f>
        <v>129855</v>
      </c>
      <c r="D40" s="57">
        <f>+D19+D9+D5</f>
        <v>5841</v>
      </c>
      <c r="E40" s="57">
        <f>+E19+E9+E5</f>
        <v>135696</v>
      </c>
      <c r="F40" s="57">
        <f>SUM(F4:F22)</f>
        <v>133336</v>
      </c>
      <c r="G40" s="57">
        <f t="shared" ref="G40:H40" si="14">SUM(G4:G22)</f>
        <v>3572</v>
      </c>
      <c r="H40" s="57">
        <f t="shared" si="14"/>
        <v>136908</v>
      </c>
      <c r="I40" s="57">
        <f>SUM(I4:I39)</f>
        <v>5000</v>
      </c>
      <c r="J40" s="57">
        <f>SUM(J4:J39)</f>
        <v>0</v>
      </c>
      <c r="K40" s="698">
        <f>SUM(K4:K39)</f>
        <v>5000</v>
      </c>
      <c r="L40" s="1048">
        <f>+C40+F40+I40</f>
        <v>268191</v>
      </c>
      <c r="M40" s="368">
        <f t="shared" si="5"/>
        <v>9413</v>
      </c>
      <c r="N40" s="737">
        <f t="shared" si="6"/>
        <v>277604</v>
      </c>
    </row>
  </sheetData>
  <mergeCells count="23">
    <mergeCell ref="F5:F7"/>
    <mergeCell ref="G5:G7"/>
    <mergeCell ref="H5:H7"/>
    <mergeCell ref="L1:N2"/>
    <mergeCell ref="F2:H2"/>
    <mergeCell ref="C1:E1"/>
    <mergeCell ref="F1:H1"/>
    <mergeCell ref="C2:E2"/>
    <mergeCell ref="I1:K1"/>
    <mergeCell ref="I2:K2"/>
    <mergeCell ref="A1:A2"/>
    <mergeCell ref="B1:B2"/>
    <mergeCell ref="A20:B20"/>
    <mergeCell ref="A21:B21"/>
    <mergeCell ref="A5:A7"/>
    <mergeCell ref="B5:B7"/>
    <mergeCell ref="C5:C7"/>
    <mergeCell ref="E5:E7"/>
    <mergeCell ref="D5:D7"/>
    <mergeCell ref="A40:B40"/>
    <mergeCell ref="A9:B9"/>
    <mergeCell ref="A19:B19"/>
    <mergeCell ref="A22:B22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&amp;C&amp;"Times New Roman,Félkövér"&amp;12Martonvásár Város Önkormányzatának kiadásai 2019.
Egyéb működési célú támogatások&amp;R&amp;"Times New Roman,Félkövér"&amp;12 5/f. melléklet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7"/>
  <sheetViews>
    <sheetView topLeftCell="A3" zoomScaleNormal="100" zoomScaleSheetLayoutView="80" workbookViewId="0">
      <pane xSplit="3" ySplit="3" topLeftCell="AE30" activePane="bottomRight" state="frozen"/>
      <selection activeCell="B34" sqref="B34"/>
      <selection pane="topRight" activeCell="B34" sqref="B34"/>
      <selection pane="bottomLeft" activeCell="B34" sqref="B34"/>
      <selection pane="bottomRight" activeCell="AF74" sqref="AF74"/>
    </sheetView>
  </sheetViews>
  <sheetFormatPr defaultColWidth="9.140625" defaultRowHeight="15" x14ac:dyDescent="0.25"/>
  <cols>
    <col min="1" max="1" width="6.140625" style="693" customWidth="1"/>
    <col min="2" max="2" width="7.140625" style="25" customWidth="1"/>
    <col min="3" max="3" width="42.42578125" style="25" customWidth="1"/>
    <col min="4" max="4" width="10.85546875" style="17" customWidth="1"/>
    <col min="5" max="5" width="10.5703125" style="17" bestFit="1" customWidth="1"/>
    <col min="6" max="6" width="10.7109375" style="17" customWidth="1"/>
    <col min="7" max="7" width="7.28515625" style="590" customWidth="1"/>
    <col min="8" max="8" width="7.85546875" style="590" customWidth="1"/>
    <col min="9" max="9" width="8.140625" style="590" bestFit="1" customWidth="1"/>
    <col min="10" max="10" width="6.85546875" style="590" customWidth="1"/>
    <col min="11" max="11" width="7.7109375" style="590" customWidth="1"/>
    <col min="12" max="12" width="8" style="590" bestFit="1" customWidth="1"/>
    <col min="13" max="14" width="7.7109375" style="590" customWidth="1"/>
    <col min="15" max="15" width="9.7109375" style="590" customWidth="1"/>
    <col min="16" max="16" width="6.140625" style="590" hidden="1" customWidth="1"/>
    <col min="17" max="17" width="6.7109375" style="590" hidden="1" customWidth="1"/>
    <col min="18" max="19" width="7" style="590" hidden="1" customWidth="1"/>
    <col min="20" max="20" width="6.42578125" style="590" hidden="1" customWidth="1"/>
    <col min="21" max="21" width="7.42578125" style="590" hidden="1" customWidth="1"/>
    <col min="22" max="22" width="7.7109375" style="590" customWidth="1"/>
    <col min="23" max="23" width="5.85546875" style="590" customWidth="1"/>
    <col min="24" max="30" width="6.42578125" style="590" customWidth="1"/>
    <col min="31" max="31" width="8" style="17" customWidth="1"/>
    <col min="32" max="32" width="8.42578125" style="17" customWidth="1"/>
    <col min="33" max="33" width="9.140625" style="17" customWidth="1"/>
    <col min="34" max="36" width="8.85546875" style="1" customWidth="1"/>
    <col min="37" max="16384" width="9.140625" style="17"/>
  </cols>
  <sheetData>
    <row r="1" spans="1:33" s="1" customFormat="1" ht="15.75" x14ac:dyDescent="0.25">
      <c r="A1" s="1286"/>
      <c r="B1" s="1286"/>
      <c r="C1" s="1286"/>
      <c r="D1" s="1286"/>
      <c r="E1" s="1286"/>
      <c r="F1" s="1286"/>
      <c r="G1" s="1286"/>
      <c r="H1" s="1286"/>
      <c r="I1" s="1286"/>
      <c r="J1" s="1286"/>
      <c r="K1" s="1286"/>
      <c r="L1" s="1286"/>
      <c r="M1" s="1286"/>
      <c r="N1" s="1286"/>
      <c r="O1" s="1286"/>
      <c r="P1" s="1286"/>
      <c r="Q1" s="1286"/>
      <c r="R1" s="1286"/>
      <c r="S1" s="1286"/>
      <c r="T1" s="1286"/>
      <c r="U1" s="1286"/>
      <c r="V1" s="1286"/>
      <c r="W1" s="1286"/>
      <c r="X1" s="1286"/>
      <c r="Y1" s="1286"/>
      <c r="Z1" s="1286"/>
      <c r="AA1" s="1286"/>
      <c r="AB1" s="1286"/>
      <c r="AC1" s="1286"/>
      <c r="AD1" s="1286"/>
      <c r="AE1" s="1286"/>
      <c r="AF1" s="1286"/>
      <c r="AG1" s="1286"/>
    </row>
    <row r="2" spans="1:33" s="1" customFormat="1" ht="16.5" thickBot="1" x14ac:dyDescent="0.3">
      <c r="A2" s="1286"/>
      <c r="B2" s="1286"/>
      <c r="C2" s="1286"/>
      <c r="D2" s="1286"/>
      <c r="E2" s="1286"/>
      <c r="F2" s="1286"/>
      <c r="G2" s="1286"/>
      <c r="H2" s="1286"/>
      <c r="I2" s="1286"/>
      <c r="J2" s="1286"/>
      <c r="K2" s="1286"/>
      <c r="L2" s="1286"/>
      <c r="M2" s="1286"/>
      <c r="N2" s="1286"/>
      <c r="O2" s="1286"/>
      <c r="P2" s="1286"/>
      <c r="Q2" s="1286"/>
      <c r="R2" s="1286"/>
      <c r="S2" s="1286"/>
      <c r="T2" s="1286"/>
      <c r="U2" s="1286"/>
      <c r="V2" s="1286"/>
      <c r="W2" s="1286"/>
      <c r="X2" s="1286"/>
      <c r="Y2" s="1286"/>
      <c r="Z2" s="1286"/>
      <c r="AA2" s="1286"/>
      <c r="AB2" s="1286"/>
      <c r="AC2" s="1286"/>
      <c r="AD2" s="1286"/>
      <c r="AE2" s="1286"/>
      <c r="AF2" s="1286"/>
      <c r="AG2" s="1286"/>
    </row>
    <row r="3" spans="1:33" s="31" customFormat="1" ht="50.25" customHeight="1" x14ac:dyDescent="0.25">
      <c r="A3" s="1196" t="s">
        <v>0</v>
      </c>
      <c r="B3" s="1198" t="s">
        <v>182</v>
      </c>
      <c r="C3" s="1199"/>
      <c r="D3" s="1189" t="s">
        <v>180</v>
      </c>
      <c r="E3" s="1183"/>
      <c r="F3" s="1184"/>
      <c r="G3" s="1211" t="s">
        <v>181</v>
      </c>
      <c r="H3" s="1185"/>
      <c r="I3" s="1185"/>
      <c r="J3" s="1185" t="s">
        <v>574</v>
      </c>
      <c r="K3" s="1185"/>
      <c r="L3" s="1185"/>
      <c r="M3" s="1185" t="s">
        <v>575</v>
      </c>
      <c r="N3" s="1185"/>
      <c r="O3" s="1185"/>
      <c r="P3" s="1188" t="s">
        <v>506</v>
      </c>
      <c r="Q3" s="1284"/>
      <c r="R3" s="1211"/>
      <c r="S3" s="1188" t="s">
        <v>193</v>
      </c>
      <c r="T3" s="1284"/>
      <c r="U3" s="1211"/>
      <c r="V3" s="1185" t="s">
        <v>787</v>
      </c>
      <c r="W3" s="1185"/>
      <c r="X3" s="1185"/>
      <c r="Y3" s="1287" t="s">
        <v>301</v>
      </c>
      <c r="Z3" s="1287"/>
      <c r="AA3" s="1287"/>
      <c r="AB3" s="1287" t="s">
        <v>686</v>
      </c>
      <c r="AC3" s="1287"/>
      <c r="AD3" s="1287"/>
      <c r="AE3" s="1183" t="s">
        <v>934</v>
      </c>
      <c r="AF3" s="1183"/>
      <c r="AG3" s="1184"/>
    </row>
    <row r="4" spans="1:33" s="31" customFormat="1" ht="12.75" customHeight="1" x14ac:dyDescent="0.25">
      <c r="A4" s="1197"/>
      <c r="B4" s="1169"/>
      <c r="C4" s="1200"/>
      <c r="D4" s="1207"/>
      <c r="E4" s="1208"/>
      <c r="F4" s="1213"/>
      <c r="G4" s="1212" t="s">
        <v>189</v>
      </c>
      <c r="H4" s="1181"/>
      <c r="I4" s="1181"/>
      <c r="J4" s="1181" t="s">
        <v>189</v>
      </c>
      <c r="K4" s="1181"/>
      <c r="L4" s="1181"/>
      <c r="M4" s="1181" t="s">
        <v>189</v>
      </c>
      <c r="N4" s="1181"/>
      <c r="O4" s="1181"/>
      <c r="P4" s="1195" t="s">
        <v>189</v>
      </c>
      <c r="Q4" s="1283"/>
      <c r="R4" s="1212"/>
      <c r="S4" s="1195" t="s">
        <v>189</v>
      </c>
      <c r="T4" s="1283"/>
      <c r="U4" s="1212"/>
      <c r="V4" s="1181" t="s">
        <v>189</v>
      </c>
      <c r="W4" s="1181"/>
      <c r="X4" s="1181"/>
      <c r="Y4" s="1285" t="s">
        <v>190</v>
      </c>
      <c r="Z4" s="1285"/>
      <c r="AA4" s="1285"/>
      <c r="AB4" s="1285"/>
      <c r="AC4" s="1285"/>
      <c r="AD4" s="1285"/>
      <c r="AE4" s="1208"/>
      <c r="AF4" s="1208"/>
      <c r="AG4" s="1213"/>
    </row>
    <row r="5" spans="1:33" s="16" customFormat="1" ht="38.25" x14ac:dyDescent="0.25">
      <c r="A5" s="1197"/>
      <c r="B5" s="1169"/>
      <c r="C5" s="1200"/>
      <c r="D5" s="890" t="s">
        <v>912</v>
      </c>
      <c r="E5" s="890" t="s">
        <v>727</v>
      </c>
      <c r="F5" s="890" t="s">
        <v>950</v>
      </c>
      <c r="G5" s="892" t="s">
        <v>912</v>
      </c>
      <c r="H5" s="892" t="s">
        <v>727</v>
      </c>
      <c r="I5" s="892" t="s">
        <v>950</v>
      </c>
      <c r="J5" s="1069" t="s">
        <v>912</v>
      </c>
      <c r="K5" s="1069" t="s">
        <v>727</v>
      </c>
      <c r="L5" s="1069" t="s">
        <v>950</v>
      </c>
      <c r="M5" s="1069" t="s">
        <v>912</v>
      </c>
      <c r="N5" s="1069" t="s">
        <v>727</v>
      </c>
      <c r="O5" s="1069" t="s">
        <v>950</v>
      </c>
      <c r="P5" s="892" t="s">
        <v>177</v>
      </c>
      <c r="Q5" s="892" t="s">
        <v>178</v>
      </c>
      <c r="R5" s="892" t="s">
        <v>179</v>
      </c>
      <c r="S5" s="892" t="s">
        <v>177</v>
      </c>
      <c r="T5" s="892" t="s">
        <v>178</v>
      </c>
      <c r="U5" s="892" t="s">
        <v>179</v>
      </c>
      <c r="V5" s="1069" t="s">
        <v>912</v>
      </c>
      <c r="W5" s="1069" t="s">
        <v>727</v>
      </c>
      <c r="X5" s="1069" t="s">
        <v>950</v>
      </c>
      <c r="Y5" s="1069" t="s">
        <v>912</v>
      </c>
      <c r="Z5" s="1069" t="s">
        <v>727</v>
      </c>
      <c r="AA5" s="1069" t="s">
        <v>950</v>
      </c>
      <c r="AB5" s="1069" t="s">
        <v>912</v>
      </c>
      <c r="AC5" s="1069" t="s">
        <v>727</v>
      </c>
      <c r="AD5" s="1069" t="s">
        <v>950</v>
      </c>
      <c r="AE5" s="1069" t="s">
        <v>912</v>
      </c>
      <c r="AF5" s="1069" t="s">
        <v>727</v>
      </c>
      <c r="AG5" s="1069" t="s">
        <v>950</v>
      </c>
    </row>
    <row r="6" spans="1:33" s="42" customFormat="1" ht="12.95" customHeight="1" x14ac:dyDescent="0.2">
      <c r="A6" s="473" t="s">
        <v>27</v>
      </c>
      <c r="B6" s="1170" t="s">
        <v>174</v>
      </c>
      <c r="C6" s="1143"/>
      <c r="D6" s="535">
        <f t="shared" ref="D6:F8" si="0">+G6+M6+P6+S6+V6+AE6+J6+Y6+AB6</f>
        <v>2763</v>
      </c>
      <c r="E6" s="535">
        <f t="shared" si="0"/>
        <v>0</v>
      </c>
      <c r="F6" s="535">
        <f t="shared" si="0"/>
        <v>2763</v>
      </c>
      <c r="G6" s="927">
        <v>671</v>
      </c>
      <c r="H6" s="699"/>
      <c r="I6" s="699">
        <f>+H6+G6</f>
        <v>671</v>
      </c>
      <c r="J6" s="699"/>
      <c r="K6" s="699"/>
      <c r="L6" s="699">
        <f>+K6+J6</f>
        <v>0</v>
      </c>
      <c r="M6" s="699"/>
      <c r="N6" s="699"/>
      <c r="O6" s="699">
        <f>+N6+M6</f>
        <v>0</v>
      </c>
      <c r="P6" s="699"/>
      <c r="Q6" s="699"/>
      <c r="R6" s="699"/>
      <c r="S6" s="699"/>
      <c r="T6" s="699"/>
      <c r="U6" s="699"/>
      <c r="V6" s="699">
        <v>2092</v>
      </c>
      <c r="W6" s="699">
        <f>-26-41+26+41</f>
        <v>0</v>
      </c>
      <c r="X6" s="699">
        <f>+W6+V6</f>
        <v>2092</v>
      </c>
      <c r="Y6" s="699"/>
      <c r="Z6" s="699"/>
      <c r="AA6" s="699">
        <f>+Z6+Y6</f>
        <v>0</v>
      </c>
      <c r="AB6" s="699"/>
      <c r="AC6" s="699"/>
      <c r="AD6" s="699">
        <f>+AC6+AB6</f>
        <v>0</v>
      </c>
      <c r="AE6" s="53"/>
      <c r="AF6" s="53"/>
      <c r="AG6" s="474">
        <f>+AF6+AE6</f>
        <v>0</v>
      </c>
    </row>
    <row r="7" spans="1:33" s="42" customFormat="1" ht="12.95" customHeight="1" x14ac:dyDescent="0.2">
      <c r="A7" s="473" t="s">
        <v>33</v>
      </c>
      <c r="B7" s="1170" t="s">
        <v>173</v>
      </c>
      <c r="C7" s="1143"/>
      <c r="D7" s="535">
        <f t="shared" si="0"/>
        <v>760</v>
      </c>
      <c r="E7" s="53">
        <f t="shared" si="0"/>
        <v>66</v>
      </c>
      <c r="F7" s="474">
        <f t="shared" si="0"/>
        <v>826</v>
      </c>
      <c r="G7" s="927"/>
      <c r="H7" s="699"/>
      <c r="I7" s="699">
        <f t="shared" ref="I7:I70" si="1">+H7+G7</f>
        <v>0</v>
      </c>
      <c r="J7" s="699">
        <v>240</v>
      </c>
      <c r="K7" s="699"/>
      <c r="L7" s="699">
        <f t="shared" ref="L7:L70" si="2">+K7+J7</f>
        <v>240</v>
      </c>
      <c r="M7" s="699"/>
      <c r="N7" s="699"/>
      <c r="O7" s="699">
        <f t="shared" ref="O7:O70" si="3">+N7+M7</f>
        <v>0</v>
      </c>
      <c r="P7" s="699"/>
      <c r="Q7" s="699"/>
      <c r="R7" s="699"/>
      <c r="S7" s="699"/>
      <c r="T7" s="699"/>
      <c r="U7" s="699"/>
      <c r="V7" s="699"/>
      <c r="W7" s="699"/>
      <c r="X7" s="699">
        <f t="shared" ref="X7:X70" si="4">+W7+V7</f>
        <v>0</v>
      </c>
      <c r="Y7" s="699"/>
      <c r="Z7" s="699"/>
      <c r="AA7" s="699">
        <f t="shared" ref="AA7:AA70" si="5">+Z7+Y7</f>
        <v>0</v>
      </c>
      <c r="AB7" s="699">
        <v>508</v>
      </c>
      <c r="AC7" s="699">
        <f>65+1</f>
        <v>66</v>
      </c>
      <c r="AD7" s="699">
        <f t="shared" ref="AD7:AD70" si="6">+AC7+AB7</f>
        <v>574</v>
      </c>
      <c r="AE7" s="53">
        <v>12</v>
      </c>
      <c r="AF7" s="53"/>
      <c r="AG7" s="474">
        <f t="shared" ref="AG7:AG70" si="7">+AF7+AE7</f>
        <v>12</v>
      </c>
    </row>
    <row r="8" spans="1:33" s="42" customFormat="1" ht="12.95" customHeight="1" x14ac:dyDescent="0.2">
      <c r="A8" s="473" t="s">
        <v>34</v>
      </c>
      <c r="B8" s="1170" t="s">
        <v>172</v>
      </c>
      <c r="C8" s="1143"/>
      <c r="D8" s="535">
        <f t="shared" si="0"/>
        <v>3523</v>
      </c>
      <c r="E8" s="53">
        <f t="shared" si="0"/>
        <v>66</v>
      </c>
      <c r="F8" s="474">
        <f t="shared" si="0"/>
        <v>3589</v>
      </c>
      <c r="G8" s="699">
        <f t="shared" ref="G8:H8" si="8">SUM(G6:G7)</f>
        <v>671</v>
      </c>
      <c r="H8" s="699">
        <f t="shared" si="8"/>
        <v>0</v>
      </c>
      <c r="I8" s="699">
        <f t="shared" si="1"/>
        <v>671</v>
      </c>
      <c r="J8" s="699">
        <f t="shared" ref="J8:K8" si="9">SUM(J6:J7)</f>
        <v>240</v>
      </c>
      <c r="K8" s="699">
        <f t="shared" si="9"/>
        <v>0</v>
      </c>
      <c r="L8" s="699">
        <f t="shared" si="2"/>
        <v>240</v>
      </c>
      <c r="M8" s="699">
        <f t="shared" ref="M8:N8" si="10">SUM(M6:M7)</f>
        <v>0</v>
      </c>
      <c r="N8" s="699">
        <f t="shared" si="10"/>
        <v>0</v>
      </c>
      <c r="O8" s="699">
        <f t="shared" si="3"/>
        <v>0</v>
      </c>
      <c r="P8" s="699">
        <f t="shared" ref="P8:Q8" si="11">SUM(P6:P7)</f>
        <v>0</v>
      </c>
      <c r="Q8" s="699">
        <f t="shared" si="11"/>
        <v>0</v>
      </c>
      <c r="R8" s="699">
        <f t="shared" ref="R8" si="12">+Q8+P8</f>
        <v>0</v>
      </c>
      <c r="S8" s="699">
        <f t="shared" ref="S8:T8" si="13">SUM(S6:S7)</f>
        <v>0</v>
      </c>
      <c r="T8" s="699">
        <f t="shared" si="13"/>
        <v>0</v>
      </c>
      <c r="U8" s="699">
        <f t="shared" ref="U8" si="14">+T8+S8</f>
        <v>0</v>
      </c>
      <c r="V8" s="699">
        <f>SUM(V6:V7)</f>
        <v>2092</v>
      </c>
      <c r="W8" s="699">
        <f>SUM(W6:W7)</f>
        <v>0</v>
      </c>
      <c r="X8" s="699">
        <f t="shared" si="4"/>
        <v>2092</v>
      </c>
      <c r="Y8" s="699">
        <f t="shared" ref="Y8:Z8" si="15">SUM(Y6:Y7)</f>
        <v>0</v>
      </c>
      <c r="Z8" s="699">
        <f t="shared" si="15"/>
        <v>0</v>
      </c>
      <c r="AA8" s="699">
        <f t="shared" si="5"/>
        <v>0</v>
      </c>
      <c r="AB8" s="699">
        <f t="shared" ref="AB8:AC8" si="16">SUM(AB6:AB7)</f>
        <v>508</v>
      </c>
      <c r="AC8" s="699">
        <f t="shared" si="16"/>
        <v>66</v>
      </c>
      <c r="AD8" s="699">
        <f t="shared" si="6"/>
        <v>574</v>
      </c>
      <c r="AE8" s="53">
        <f t="shared" ref="AE8:AF8" si="17">SUM(AE6:AE7)</f>
        <v>12</v>
      </c>
      <c r="AF8" s="53">
        <f t="shared" si="17"/>
        <v>0</v>
      </c>
      <c r="AG8" s="53">
        <f t="shared" si="7"/>
        <v>12</v>
      </c>
    </row>
    <row r="9" spans="1:33" ht="10.5" customHeight="1" x14ac:dyDescent="0.25">
      <c r="A9" s="475"/>
      <c r="B9" s="688"/>
      <c r="C9" s="296"/>
      <c r="D9" s="192"/>
      <c r="E9" s="192"/>
      <c r="F9" s="536"/>
      <c r="G9" s="575"/>
      <c r="H9" s="575"/>
      <c r="I9" s="837"/>
      <c r="J9" s="575"/>
      <c r="K9" s="575"/>
      <c r="L9" s="837"/>
      <c r="M9" s="575"/>
      <c r="N9" s="575"/>
      <c r="O9" s="837"/>
      <c r="P9" s="575"/>
      <c r="Q9" s="575"/>
      <c r="R9" s="575"/>
      <c r="S9" s="575"/>
      <c r="T9" s="575"/>
      <c r="U9" s="575"/>
      <c r="V9" s="575"/>
      <c r="W9" s="575"/>
      <c r="X9" s="837"/>
      <c r="Y9" s="575"/>
      <c r="Z9" s="575"/>
      <c r="AA9" s="837"/>
      <c r="AB9" s="575"/>
      <c r="AC9" s="575"/>
      <c r="AD9" s="837"/>
      <c r="AE9" s="56"/>
      <c r="AF9" s="56"/>
      <c r="AG9" s="536"/>
    </row>
    <row r="10" spans="1:33" s="42" customFormat="1" ht="12.95" customHeight="1" x14ac:dyDescent="0.2">
      <c r="A10" s="473" t="s">
        <v>35</v>
      </c>
      <c r="B10" s="1170" t="s">
        <v>171</v>
      </c>
      <c r="C10" s="1143"/>
      <c r="D10" s="535">
        <f>+G10+M10+P10+S10+V10+AE10+J10+Y10+AB10</f>
        <v>797</v>
      </c>
      <c r="E10" s="53">
        <f>+H10+N10+Q10+T10+W10+AF10+K10+Z10+AC10</f>
        <v>26</v>
      </c>
      <c r="F10" s="474">
        <f>+I10+O10+R10+U10+X10+AG10+L10+AA10+AD10</f>
        <v>823</v>
      </c>
      <c r="G10" s="927">
        <v>117</v>
      </c>
      <c r="H10" s="699"/>
      <c r="I10" s="699">
        <f t="shared" si="1"/>
        <v>117</v>
      </c>
      <c r="J10" s="699">
        <v>42</v>
      </c>
      <c r="K10" s="699"/>
      <c r="L10" s="699">
        <f t="shared" si="2"/>
        <v>42</v>
      </c>
      <c r="M10" s="699"/>
      <c r="N10" s="699"/>
      <c r="O10" s="699">
        <f t="shared" si="3"/>
        <v>0</v>
      </c>
      <c r="P10" s="699"/>
      <c r="Q10" s="699"/>
      <c r="R10" s="699"/>
      <c r="S10" s="699"/>
      <c r="T10" s="699"/>
      <c r="U10" s="699"/>
      <c r="V10" s="699">
        <v>408</v>
      </c>
      <c r="W10" s="699"/>
      <c r="X10" s="699">
        <f t="shared" si="4"/>
        <v>408</v>
      </c>
      <c r="Y10" s="699"/>
      <c r="Z10" s="699"/>
      <c r="AA10" s="699">
        <f t="shared" si="5"/>
        <v>0</v>
      </c>
      <c r="AB10" s="699">
        <v>228</v>
      </c>
      <c r="AC10" s="699">
        <f>27-1</f>
        <v>26</v>
      </c>
      <c r="AD10" s="699">
        <f t="shared" si="6"/>
        <v>254</v>
      </c>
      <c r="AE10" s="53">
        <v>2</v>
      </c>
      <c r="AF10" s="53"/>
      <c r="AG10" s="474">
        <f t="shared" si="7"/>
        <v>2</v>
      </c>
    </row>
    <row r="11" spans="1:33" ht="10.5" customHeight="1" x14ac:dyDescent="0.25">
      <c r="A11" s="92"/>
      <c r="C11" s="297"/>
      <c r="D11" s="192"/>
      <c r="E11" s="192"/>
      <c r="F11" s="536"/>
      <c r="G11" s="575"/>
      <c r="H11" s="575"/>
      <c r="I11" s="837"/>
      <c r="J11" s="575"/>
      <c r="K11" s="575"/>
      <c r="L11" s="837"/>
      <c r="M11" s="575"/>
      <c r="N11" s="575"/>
      <c r="O11" s="837"/>
      <c r="P11" s="575"/>
      <c r="Q11" s="575"/>
      <c r="R11" s="575"/>
      <c r="S11" s="575"/>
      <c r="T11" s="575"/>
      <c r="U11" s="575"/>
      <c r="V11" s="575"/>
      <c r="W11" s="575"/>
      <c r="X11" s="837"/>
      <c r="Y11" s="575"/>
      <c r="Z11" s="575"/>
      <c r="AA11" s="837"/>
      <c r="AB11" s="575"/>
      <c r="AC11" s="575"/>
      <c r="AD11" s="837"/>
      <c r="AE11" s="56"/>
      <c r="AF11" s="56"/>
      <c r="AG11" s="536"/>
    </row>
    <row r="12" spans="1:33" ht="12.95" customHeight="1" x14ac:dyDescent="0.25">
      <c r="A12" s="476" t="s">
        <v>42</v>
      </c>
      <c r="B12" s="1171" t="s">
        <v>41</v>
      </c>
      <c r="C12" s="1145"/>
      <c r="D12" s="535">
        <f t="shared" ref="D12:D36" si="18">+G12+M12+P12+S12+V12+AE12+J12+Y12+AB12</f>
        <v>0</v>
      </c>
      <c r="E12" s="53">
        <f t="shared" ref="E12:E36" si="19">+H12+N12+Q12+T12+W12+AF12+K12+Z12+AC12</f>
        <v>0</v>
      </c>
      <c r="F12" s="474">
        <f t="shared" ref="F12:F36" si="20">+I12+O12+R12+U12+X12+AG12+L12+AA12+AD12</f>
        <v>0</v>
      </c>
      <c r="G12" s="763"/>
      <c r="H12" s="417"/>
      <c r="I12" s="699">
        <f t="shared" si="1"/>
        <v>0</v>
      </c>
      <c r="J12" s="417"/>
      <c r="K12" s="417"/>
      <c r="L12" s="699">
        <f t="shared" si="2"/>
        <v>0</v>
      </c>
      <c r="M12" s="417"/>
      <c r="N12" s="417"/>
      <c r="O12" s="699">
        <f t="shared" si="3"/>
        <v>0</v>
      </c>
      <c r="P12" s="417"/>
      <c r="Q12" s="417"/>
      <c r="R12" s="417"/>
      <c r="S12" s="417"/>
      <c r="T12" s="417"/>
      <c r="U12" s="417"/>
      <c r="V12" s="417"/>
      <c r="W12" s="417"/>
      <c r="X12" s="699">
        <f t="shared" si="4"/>
        <v>0</v>
      </c>
      <c r="Y12" s="417"/>
      <c r="Z12" s="417"/>
      <c r="AA12" s="699">
        <f t="shared" si="5"/>
        <v>0</v>
      </c>
      <c r="AB12" s="417"/>
      <c r="AC12" s="417"/>
      <c r="AD12" s="699">
        <f t="shared" si="6"/>
        <v>0</v>
      </c>
      <c r="AE12" s="27"/>
      <c r="AF12" s="27"/>
      <c r="AG12" s="474">
        <f t="shared" si="7"/>
        <v>0</v>
      </c>
    </row>
    <row r="13" spans="1:33" ht="12.95" customHeight="1" x14ac:dyDescent="0.25">
      <c r="A13" s="476" t="s">
        <v>44</v>
      </c>
      <c r="B13" s="1171" t="s">
        <v>43</v>
      </c>
      <c r="C13" s="1145"/>
      <c r="D13" s="535">
        <f t="shared" si="18"/>
        <v>404</v>
      </c>
      <c r="E13" s="53">
        <f t="shared" si="19"/>
        <v>-80</v>
      </c>
      <c r="F13" s="474">
        <f t="shared" si="20"/>
        <v>324</v>
      </c>
      <c r="G13" s="763"/>
      <c r="H13" s="417"/>
      <c r="I13" s="699">
        <f t="shared" si="1"/>
        <v>0</v>
      </c>
      <c r="J13" s="417"/>
      <c r="K13" s="417"/>
      <c r="L13" s="699">
        <f t="shared" si="2"/>
        <v>0</v>
      </c>
      <c r="M13" s="417"/>
      <c r="N13" s="417"/>
      <c r="O13" s="699">
        <f t="shared" si="3"/>
        <v>0</v>
      </c>
      <c r="P13" s="417"/>
      <c r="Q13" s="417"/>
      <c r="R13" s="417"/>
      <c r="S13" s="417"/>
      <c r="T13" s="417"/>
      <c r="U13" s="417"/>
      <c r="V13" s="417"/>
      <c r="W13" s="417"/>
      <c r="X13" s="699">
        <f t="shared" si="4"/>
        <v>0</v>
      </c>
      <c r="Y13" s="417"/>
      <c r="Z13" s="417"/>
      <c r="AA13" s="699">
        <f t="shared" si="5"/>
        <v>0</v>
      </c>
      <c r="AB13" s="417">
        <v>404</v>
      </c>
      <c r="AC13" s="417">
        <f>16-96</f>
        <v>-80</v>
      </c>
      <c r="AD13" s="699">
        <f t="shared" si="6"/>
        <v>324</v>
      </c>
      <c r="AE13" s="27"/>
      <c r="AF13" s="27"/>
      <c r="AG13" s="474">
        <f t="shared" si="7"/>
        <v>0</v>
      </c>
    </row>
    <row r="14" spans="1:33" ht="12.95" customHeight="1" x14ac:dyDescent="0.25">
      <c r="A14" s="476" t="s">
        <v>46</v>
      </c>
      <c r="B14" s="1171" t="s">
        <v>45</v>
      </c>
      <c r="C14" s="1145"/>
      <c r="D14" s="535">
        <f t="shared" si="18"/>
        <v>0</v>
      </c>
      <c r="E14" s="53">
        <f t="shared" si="19"/>
        <v>0</v>
      </c>
      <c r="F14" s="474">
        <f t="shared" si="20"/>
        <v>0</v>
      </c>
      <c r="G14" s="763"/>
      <c r="H14" s="417"/>
      <c r="I14" s="699">
        <f t="shared" si="1"/>
        <v>0</v>
      </c>
      <c r="J14" s="417"/>
      <c r="K14" s="417"/>
      <c r="L14" s="699">
        <f t="shared" si="2"/>
        <v>0</v>
      </c>
      <c r="M14" s="417"/>
      <c r="N14" s="417"/>
      <c r="O14" s="699">
        <f t="shared" si="3"/>
        <v>0</v>
      </c>
      <c r="P14" s="417"/>
      <c r="Q14" s="417"/>
      <c r="R14" s="417"/>
      <c r="S14" s="417"/>
      <c r="T14" s="417"/>
      <c r="U14" s="417"/>
      <c r="V14" s="417"/>
      <c r="W14" s="417"/>
      <c r="X14" s="699">
        <f t="shared" si="4"/>
        <v>0</v>
      </c>
      <c r="Y14" s="417"/>
      <c r="Z14" s="417"/>
      <c r="AA14" s="699">
        <f t="shared" si="5"/>
        <v>0</v>
      </c>
      <c r="AB14" s="417"/>
      <c r="AC14" s="417"/>
      <c r="AD14" s="699">
        <f t="shared" si="6"/>
        <v>0</v>
      </c>
      <c r="AE14" s="27"/>
      <c r="AF14" s="27"/>
      <c r="AG14" s="474">
        <f t="shared" si="7"/>
        <v>0</v>
      </c>
    </row>
    <row r="15" spans="1:33" s="42" customFormat="1" ht="12.95" customHeight="1" x14ac:dyDescent="0.2">
      <c r="A15" s="473" t="s">
        <v>47</v>
      </c>
      <c r="B15" s="1170" t="s">
        <v>170</v>
      </c>
      <c r="C15" s="1143"/>
      <c r="D15" s="535">
        <f t="shared" si="18"/>
        <v>404</v>
      </c>
      <c r="E15" s="53">
        <f t="shared" si="19"/>
        <v>-80</v>
      </c>
      <c r="F15" s="474">
        <f t="shared" si="20"/>
        <v>324</v>
      </c>
      <c r="G15" s="927">
        <f t="shared" ref="G15:H15" si="21">SUM(G12:G14)</f>
        <v>0</v>
      </c>
      <c r="H15" s="699">
        <f t="shared" si="21"/>
        <v>0</v>
      </c>
      <c r="I15" s="699">
        <f t="shared" si="1"/>
        <v>0</v>
      </c>
      <c r="J15" s="699"/>
      <c r="K15" s="699"/>
      <c r="L15" s="699">
        <f t="shared" si="2"/>
        <v>0</v>
      </c>
      <c r="M15" s="699">
        <f>SUM(M12:M14)</f>
        <v>0</v>
      </c>
      <c r="N15" s="699">
        <f>SUM(N12:N14)</f>
        <v>0</v>
      </c>
      <c r="O15" s="699">
        <f t="shared" si="3"/>
        <v>0</v>
      </c>
      <c r="P15" s="699">
        <f t="shared" ref="P15:R15" si="22">SUM(P12:P14)</f>
        <v>0</v>
      </c>
      <c r="Q15" s="699">
        <f t="shared" si="22"/>
        <v>0</v>
      </c>
      <c r="R15" s="699">
        <f t="shared" si="22"/>
        <v>0</v>
      </c>
      <c r="S15" s="699">
        <f t="shared" ref="S15:AC15" si="23">SUM(S12:S14)</f>
        <v>0</v>
      </c>
      <c r="T15" s="699">
        <f t="shared" si="23"/>
        <v>0</v>
      </c>
      <c r="U15" s="699">
        <f t="shared" si="23"/>
        <v>0</v>
      </c>
      <c r="V15" s="699">
        <f t="shared" si="23"/>
        <v>0</v>
      </c>
      <c r="W15" s="699">
        <f t="shared" si="23"/>
        <v>0</v>
      </c>
      <c r="X15" s="699">
        <f t="shared" si="4"/>
        <v>0</v>
      </c>
      <c r="Y15" s="699">
        <f t="shared" si="23"/>
        <v>0</v>
      </c>
      <c r="Z15" s="699">
        <f t="shared" si="23"/>
        <v>0</v>
      </c>
      <c r="AA15" s="699">
        <f t="shared" si="5"/>
        <v>0</v>
      </c>
      <c r="AB15" s="699">
        <f t="shared" si="23"/>
        <v>404</v>
      </c>
      <c r="AC15" s="699">
        <f t="shared" si="23"/>
        <v>-80</v>
      </c>
      <c r="AD15" s="699">
        <f t="shared" si="6"/>
        <v>324</v>
      </c>
      <c r="AE15" s="53">
        <f>SUM(AE12:AE14)</f>
        <v>0</v>
      </c>
      <c r="AF15" s="53">
        <f>SUM(AF12:AF14)</f>
        <v>0</v>
      </c>
      <c r="AG15" s="474">
        <f t="shared" si="7"/>
        <v>0</v>
      </c>
    </row>
    <row r="16" spans="1:33" ht="12.95" customHeight="1" x14ac:dyDescent="0.25">
      <c r="A16" s="476" t="s">
        <v>49</v>
      </c>
      <c r="B16" s="1171" t="s">
        <v>48</v>
      </c>
      <c r="C16" s="1145"/>
      <c r="D16" s="535">
        <f t="shared" si="18"/>
        <v>2760</v>
      </c>
      <c r="E16" s="53">
        <f t="shared" si="19"/>
        <v>64</v>
      </c>
      <c r="F16" s="474">
        <f t="shared" si="20"/>
        <v>2824</v>
      </c>
      <c r="G16" s="763">
        <v>2760</v>
      </c>
      <c r="H16" s="417">
        <v>64</v>
      </c>
      <c r="I16" s="699">
        <f t="shared" si="1"/>
        <v>2824</v>
      </c>
      <c r="J16" s="417"/>
      <c r="K16" s="417"/>
      <c r="L16" s="699">
        <f t="shared" si="2"/>
        <v>0</v>
      </c>
      <c r="M16" s="417"/>
      <c r="N16" s="417"/>
      <c r="O16" s="699">
        <f t="shared" si="3"/>
        <v>0</v>
      </c>
      <c r="P16" s="417"/>
      <c r="Q16" s="417"/>
      <c r="R16" s="417"/>
      <c r="S16" s="417"/>
      <c r="T16" s="417"/>
      <c r="U16" s="417"/>
      <c r="V16" s="417"/>
      <c r="W16" s="417"/>
      <c r="X16" s="699">
        <f t="shared" si="4"/>
        <v>0</v>
      </c>
      <c r="Y16" s="417"/>
      <c r="Z16" s="417"/>
      <c r="AA16" s="699">
        <f t="shared" si="5"/>
        <v>0</v>
      </c>
      <c r="AB16" s="417"/>
      <c r="AC16" s="417"/>
      <c r="AD16" s="699">
        <f t="shared" si="6"/>
        <v>0</v>
      </c>
      <c r="AE16" s="27"/>
      <c r="AF16" s="27"/>
      <c r="AG16" s="474">
        <f t="shared" si="7"/>
        <v>0</v>
      </c>
    </row>
    <row r="17" spans="1:33" ht="12.95" customHeight="1" x14ac:dyDescent="0.25">
      <c r="A17" s="476" t="s">
        <v>51</v>
      </c>
      <c r="B17" s="1171" t="s">
        <v>50</v>
      </c>
      <c r="C17" s="1145"/>
      <c r="D17" s="535">
        <f t="shared" si="18"/>
        <v>0</v>
      </c>
      <c r="E17" s="53">
        <f t="shared" si="19"/>
        <v>0</v>
      </c>
      <c r="F17" s="474">
        <f t="shared" si="20"/>
        <v>0</v>
      </c>
      <c r="G17" s="763"/>
      <c r="H17" s="417"/>
      <c r="I17" s="699">
        <f t="shared" si="1"/>
        <v>0</v>
      </c>
      <c r="J17" s="417"/>
      <c r="K17" s="417"/>
      <c r="L17" s="699">
        <f t="shared" si="2"/>
        <v>0</v>
      </c>
      <c r="M17" s="417"/>
      <c r="N17" s="417"/>
      <c r="O17" s="699">
        <f t="shared" si="3"/>
        <v>0</v>
      </c>
      <c r="P17" s="417"/>
      <c r="Q17" s="417"/>
      <c r="R17" s="417"/>
      <c r="S17" s="417"/>
      <c r="T17" s="417"/>
      <c r="U17" s="417"/>
      <c r="V17" s="417"/>
      <c r="W17" s="417"/>
      <c r="X17" s="699">
        <f t="shared" si="4"/>
        <v>0</v>
      </c>
      <c r="Y17" s="417"/>
      <c r="Z17" s="417"/>
      <c r="AA17" s="699">
        <f t="shared" si="5"/>
        <v>0</v>
      </c>
      <c r="AB17" s="417"/>
      <c r="AC17" s="417"/>
      <c r="AD17" s="699">
        <f t="shared" si="6"/>
        <v>0</v>
      </c>
      <c r="AE17" s="27"/>
      <c r="AF17" s="27"/>
      <c r="AG17" s="474">
        <f t="shared" si="7"/>
        <v>0</v>
      </c>
    </row>
    <row r="18" spans="1:33" s="42" customFormat="1" ht="12.95" customHeight="1" x14ac:dyDescent="0.2">
      <c r="A18" s="473" t="s">
        <v>52</v>
      </c>
      <c r="B18" s="1170" t="s">
        <v>169</v>
      </c>
      <c r="C18" s="1143"/>
      <c r="D18" s="535">
        <f t="shared" si="18"/>
        <v>2760</v>
      </c>
      <c r="E18" s="53">
        <f t="shared" si="19"/>
        <v>64</v>
      </c>
      <c r="F18" s="474">
        <f t="shared" si="20"/>
        <v>2824</v>
      </c>
      <c r="G18" s="927">
        <f t="shared" ref="G18:H18" si="24">+G16+G17</f>
        <v>2760</v>
      </c>
      <c r="H18" s="699">
        <f t="shared" si="24"/>
        <v>64</v>
      </c>
      <c r="I18" s="699">
        <f t="shared" si="1"/>
        <v>2824</v>
      </c>
      <c r="J18" s="699"/>
      <c r="K18" s="699"/>
      <c r="L18" s="699">
        <f t="shared" si="2"/>
        <v>0</v>
      </c>
      <c r="M18" s="699">
        <f>+M16+M17</f>
        <v>0</v>
      </c>
      <c r="N18" s="699">
        <f>+N16+N17</f>
        <v>0</v>
      </c>
      <c r="O18" s="699">
        <f t="shared" si="3"/>
        <v>0</v>
      </c>
      <c r="P18" s="699">
        <f t="shared" ref="P18:R18" si="25">+P16+P17</f>
        <v>0</v>
      </c>
      <c r="Q18" s="699">
        <f t="shared" si="25"/>
        <v>0</v>
      </c>
      <c r="R18" s="699">
        <f t="shared" si="25"/>
        <v>0</v>
      </c>
      <c r="S18" s="699">
        <f t="shared" ref="S18:AC18" si="26">+S16+S17</f>
        <v>0</v>
      </c>
      <c r="T18" s="699">
        <f t="shared" si="26"/>
        <v>0</v>
      </c>
      <c r="U18" s="699">
        <f t="shared" si="26"/>
        <v>0</v>
      </c>
      <c r="V18" s="699">
        <f t="shared" si="26"/>
        <v>0</v>
      </c>
      <c r="W18" s="699">
        <f t="shared" si="26"/>
        <v>0</v>
      </c>
      <c r="X18" s="699">
        <f t="shared" si="4"/>
        <v>0</v>
      </c>
      <c r="Y18" s="699">
        <f t="shared" si="26"/>
        <v>0</v>
      </c>
      <c r="Z18" s="699">
        <f t="shared" si="26"/>
        <v>0</v>
      </c>
      <c r="AA18" s="699">
        <f t="shared" si="5"/>
        <v>0</v>
      </c>
      <c r="AB18" s="699">
        <f t="shared" si="26"/>
        <v>0</v>
      </c>
      <c r="AC18" s="699">
        <f t="shared" si="26"/>
        <v>0</v>
      </c>
      <c r="AD18" s="699">
        <f t="shared" si="6"/>
        <v>0</v>
      </c>
      <c r="AE18" s="53">
        <f>+AE16+AE17</f>
        <v>0</v>
      </c>
      <c r="AF18" s="53">
        <f>+AF16+AF17</f>
        <v>0</v>
      </c>
      <c r="AG18" s="474">
        <f t="shared" si="7"/>
        <v>0</v>
      </c>
    </row>
    <row r="19" spans="1:33" ht="12.95" customHeight="1" x14ac:dyDescent="0.25">
      <c r="A19" s="476" t="s">
        <v>54</v>
      </c>
      <c r="B19" s="1171" t="s">
        <v>53</v>
      </c>
      <c r="C19" s="1145"/>
      <c r="D19" s="535">
        <f t="shared" si="18"/>
        <v>0</v>
      </c>
      <c r="E19" s="53">
        <f t="shared" si="19"/>
        <v>0</v>
      </c>
      <c r="F19" s="474">
        <f t="shared" si="20"/>
        <v>0</v>
      </c>
      <c r="G19" s="763"/>
      <c r="H19" s="417"/>
      <c r="I19" s="699">
        <f t="shared" si="1"/>
        <v>0</v>
      </c>
      <c r="J19" s="417"/>
      <c r="K19" s="417"/>
      <c r="L19" s="699">
        <f t="shared" si="2"/>
        <v>0</v>
      </c>
      <c r="M19" s="417"/>
      <c r="N19" s="417"/>
      <c r="O19" s="699">
        <f t="shared" si="3"/>
        <v>0</v>
      </c>
      <c r="P19" s="417"/>
      <c r="Q19" s="417"/>
      <c r="R19" s="417"/>
      <c r="S19" s="417"/>
      <c r="T19" s="417"/>
      <c r="U19" s="417"/>
      <c r="V19" s="417"/>
      <c r="W19" s="417"/>
      <c r="X19" s="699">
        <f t="shared" si="4"/>
        <v>0</v>
      </c>
      <c r="Y19" s="417"/>
      <c r="Z19" s="417"/>
      <c r="AA19" s="699">
        <f t="shared" si="5"/>
        <v>0</v>
      </c>
      <c r="AB19" s="417"/>
      <c r="AC19" s="417"/>
      <c r="AD19" s="699">
        <f t="shared" si="6"/>
        <v>0</v>
      </c>
      <c r="AE19" s="27"/>
      <c r="AF19" s="27"/>
      <c r="AG19" s="474">
        <f t="shared" si="7"/>
        <v>0</v>
      </c>
    </row>
    <row r="20" spans="1:33" ht="12.95" customHeight="1" x14ac:dyDescent="0.25">
      <c r="A20" s="476" t="s">
        <v>56</v>
      </c>
      <c r="B20" s="1171" t="s">
        <v>55</v>
      </c>
      <c r="C20" s="1145"/>
      <c r="D20" s="535">
        <f t="shared" si="18"/>
        <v>50973</v>
      </c>
      <c r="E20" s="53">
        <f t="shared" si="19"/>
        <v>8897</v>
      </c>
      <c r="F20" s="474">
        <f t="shared" si="20"/>
        <v>59870</v>
      </c>
      <c r="G20" s="763"/>
      <c r="H20" s="417"/>
      <c r="I20" s="699">
        <f t="shared" si="1"/>
        <v>0</v>
      </c>
      <c r="J20" s="125">
        <v>37802</v>
      </c>
      <c r="K20" s="125">
        <v>7663</v>
      </c>
      <c r="L20" s="699">
        <f t="shared" si="2"/>
        <v>45465</v>
      </c>
      <c r="M20" s="125">
        <v>13171</v>
      </c>
      <c r="N20" s="417">
        <f>1143+91</f>
        <v>1234</v>
      </c>
      <c r="O20" s="699">
        <f t="shared" si="3"/>
        <v>14405</v>
      </c>
      <c r="P20" s="417"/>
      <c r="Q20" s="417"/>
      <c r="R20" s="417"/>
      <c r="S20" s="417"/>
      <c r="T20" s="417"/>
      <c r="U20" s="417"/>
      <c r="V20" s="417"/>
      <c r="W20" s="417"/>
      <c r="X20" s="699">
        <f t="shared" si="4"/>
        <v>0</v>
      </c>
      <c r="Y20" s="417"/>
      <c r="Z20" s="417"/>
      <c r="AA20" s="699">
        <f t="shared" si="5"/>
        <v>0</v>
      </c>
      <c r="AB20" s="417"/>
      <c r="AC20" s="417"/>
      <c r="AD20" s="699">
        <f t="shared" si="6"/>
        <v>0</v>
      </c>
      <c r="AE20" s="27"/>
      <c r="AF20" s="27"/>
      <c r="AG20" s="474">
        <f t="shared" si="7"/>
        <v>0</v>
      </c>
    </row>
    <row r="21" spans="1:33" ht="12.95" customHeight="1" x14ac:dyDescent="0.25">
      <c r="A21" s="476" t="s">
        <v>57</v>
      </c>
      <c r="B21" s="1171" t="s">
        <v>167</v>
      </c>
      <c r="C21" s="1145"/>
      <c r="D21" s="535">
        <f t="shared" si="18"/>
        <v>304</v>
      </c>
      <c r="E21" s="53">
        <f t="shared" si="19"/>
        <v>-64</v>
      </c>
      <c r="F21" s="474">
        <f t="shared" si="20"/>
        <v>240</v>
      </c>
      <c r="G21" s="763">
        <v>304</v>
      </c>
      <c r="H21" s="417">
        <v>-64</v>
      </c>
      <c r="I21" s="699">
        <f t="shared" si="1"/>
        <v>240</v>
      </c>
      <c r="J21" s="125"/>
      <c r="K21" s="125"/>
      <c r="L21" s="699">
        <f t="shared" si="2"/>
        <v>0</v>
      </c>
      <c r="M21" s="125"/>
      <c r="N21" s="417"/>
      <c r="O21" s="699">
        <f t="shared" si="3"/>
        <v>0</v>
      </c>
      <c r="P21" s="417"/>
      <c r="Q21" s="417"/>
      <c r="R21" s="417"/>
      <c r="S21" s="417"/>
      <c r="T21" s="417"/>
      <c r="U21" s="417"/>
      <c r="V21" s="417"/>
      <c r="W21" s="417"/>
      <c r="X21" s="699">
        <f t="shared" si="4"/>
        <v>0</v>
      </c>
      <c r="Y21" s="417"/>
      <c r="Z21" s="417"/>
      <c r="AA21" s="699">
        <f t="shared" si="5"/>
        <v>0</v>
      </c>
      <c r="AB21" s="417"/>
      <c r="AC21" s="417"/>
      <c r="AD21" s="699">
        <f t="shared" si="6"/>
        <v>0</v>
      </c>
      <c r="AE21" s="27"/>
      <c r="AF21" s="27"/>
      <c r="AG21" s="474">
        <f t="shared" si="7"/>
        <v>0</v>
      </c>
    </row>
    <row r="22" spans="1:33" ht="12.95" customHeight="1" x14ac:dyDescent="0.25">
      <c r="A22" s="476" t="s">
        <v>59</v>
      </c>
      <c r="B22" s="1171" t="s">
        <v>58</v>
      </c>
      <c r="C22" s="1145"/>
      <c r="D22" s="535">
        <f t="shared" si="18"/>
        <v>420</v>
      </c>
      <c r="E22" s="53">
        <f t="shared" si="19"/>
        <v>0</v>
      </c>
      <c r="F22" s="474">
        <f t="shared" si="20"/>
        <v>420</v>
      </c>
      <c r="G22" s="763">
        <v>420</v>
      </c>
      <c r="H22" s="417"/>
      <c r="I22" s="699">
        <f t="shared" si="1"/>
        <v>420</v>
      </c>
      <c r="J22" s="125"/>
      <c r="K22" s="125"/>
      <c r="L22" s="699">
        <f t="shared" si="2"/>
        <v>0</v>
      </c>
      <c r="M22" s="125"/>
      <c r="N22" s="417"/>
      <c r="O22" s="699">
        <f t="shared" si="3"/>
        <v>0</v>
      </c>
      <c r="P22" s="417"/>
      <c r="Q22" s="417"/>
      <c r="R22" s="417"/>
      <c r="S22" s="417"/>
      <c r="T22" s="417"/>
      <c r="U22" s="417"/>
      <c r="V22" s="417"/>
      <c r="W22" s="417"/>
      <c r="X22" s="699">
        <f t="shared" si="4"/>
        <v>0</v>
      </c>
      <c r="Y22" s="417"/>
      <c r="Z22" s="417"/>
      <c r="AA22" s="699">
        <f t="shared" si="5"/>
        <v>0</v>
      </c>
      <c r="AB22" s="417"/>
      <c r="AC22" s="417"/>
      <c r="AD22" s="699">
        <f t="shared" si="6"/>
        <v>0</v>
      </c>
      <c r="AE22" s="27"/>
      <c r="AF22" s="27"/>
      <c r="AG22" s="474">
        <f t="shared" si="7"/>
        <v>0</v>
      </c>
    </row>
    <row r="23" spans="1:33" ht="12.95" customHeight="1" x14ac:dyDescent="0.25">
      <c r="A23" s="476" t="s">
        <v>60</v>
      </c>
      <c r="B23" s="1171" t="s">
        <v>166</v>
      </c>
      <c r="C23" s="1145"/>
      <c r="D23" s="535">
        <f t="shared" si="18"/>
        <v>500</v>
      </c>
      <c r="E23" s="53">
        <f t="shared" si="19"/>
        <v>0</v>
      </c>
      <c r="F23" s="474">
        <f t="shared" si="20"/>
        <v>500</v>
      </c>
      <c r="G23" s="763">
        <v>500</v>
      </c>
      <c r="H23" s="417"/>
      <c r="I23" s="699">
        <f t="shared" si="1"/>
        <v>500</v>
      </c>
      <c r="J23" s="125"/>
      <c r="K23" s="125"/>
      <c r="L23" s="699">
        <f t="shared" si="2"/>
        <v>0</v>
      </c>
      <c r="M23" s="125"/>
      <c r="N23" s="417"/>
      <c r="O23" s="699">
        <f t="shared" si="3"/>
        <v>0</v>
      </c>
      <c r="P23" s="417"/>
      <c r="Q23" s="417"/>
      <c r="R23" s="417"/>
      <c r="S23" s="417"/>
      <c r="T23" s="417"/>
      <c r="U23" s="417"/>
      <c r="V23" s="417"/>
      <c r="W23" s="417"/>
      <c r="X23" s="699">
        <f t="shared" si="4"/>
        <v>0</v>
      </c>
      <c r="Y23" s="417"/>
      <c r="Z23" s="417"/>
      <c r="AA23" s="699">
        <f t="shared" si="5"/>
        <v>0</v>
      </c>
      <c r="AB23" s="417"/>
      <c r="AC23" s="417"/>
      <c r="AD23" s="699">
        <f t="shared" si="6"/>
        <v>0</v>
      </c>
      <c r="AE23" s="27"/>
      <c r="AF23" s="27"/>
      <c r="AG23" s="474">
        <f t="shared" si="7"/>
        <v>0</v>
      </c>
    </row>
    <row r="24" spans="1:33" ht="12.95" customHeight="1" x14ac:dyDescent="0.25">
      <c r="A24" s="476" t="s">
        <v>63</v>
      </c>
      <c r="B24" s="1171" t="s">
        <v>62</v>
      </c>
      <c r="C24" s="1145"/>
      <c r="D24" s="535">
        <f t="shared" si="18"/>
        <v>0</v>
      </c>
      <c r="E24" s="53">
        <f t="shared" si="19"/>
        <v>0</v>
      </c>
      <c r="F24" s="474">
        <f t="shared" si="20"/>
        <v>0</v>
      </c>
      <c r="G24" s="763"/>
      <c r="H24" s="417"/>
      <c r="I24" s="699">
        <f t="shared" si="1"/>
        <v>0</v>
      </c>
      <c r="J24" s="125"/>
      <c r="K24" s="125"/>
      <c r="L24" s="699">
        <f t="shared" si="2"/>
        <v>0</v>
      </c>
      <c r="M24" s="125"/>
      <c r="N24" s="417"/>
      <c r="O24" s="699">
        <f t="shared" si="3"/>
        <v>0</v>
      </c>
      <c r="P24" s="417"/>
      <c r="Q24" s="417"/>
      <c r="R24" s="417"/>
      <c r="S24" s="417"/>
      <c r="T24" s="417"/>
      <c r="U24" s="417"/>
      <c r="V24" s="417"/>
      <c r="W24" s="417"/>
      <c r="X24" s="699">
        <f t="shared" si="4"/>
        <v>0</v>
      </c>
      <c r="Y24" s="417"/>
      <c r="Z24" s="417"/>
      <c r="AA24" s="699">
        <f t="shared" si="5"/>
        <v>0</v>
      </c>
      <c r="AB24" s="417"/>
      <c r="AC24" s="417"/>
      <c r="AD24" s="699">
        <f t="shared" si="6"/>
        <v>0</v>
      </c>
      <c r="AE24" s="27"/>
      <c r="AF24" s="27"/>
      <c r="AG24" s="474">
        <f t="shared" si="7"/>
        <v>0</v>
      </c>
    </row>
    <row r="25" spans="1:33" ht="12.95" customHeight="1" x14ac:dyDescent="0.25">
      <c r="A25" s="476" t="s">
        <v>65</v>
      </c>
      <c r="B25" s="1171" t="s">
        <v>64</v>
      </c>
      <c r="C25" s="1145"/>
      <c r="D25" s="535">
        <f t="shared" si="18"/>
        <v>10856</v>
      </c>
      <c r="E25" s="53">
        <f t="shared" si="19"/>
        <v>127</v>
      </c>
      <c r="F25" s="474">
        <f t="shared" si="20"/>
        <v>10983</v>
      </c>
      <c r="G25" s="763">
        <v>3186</v>
      </c>
      <c r="H25" s="417">
        <v>779</v>
      </c>
      <c r="I25" s="699">
        <f t="shared" si="1"/>
        <v>3965</v>
      </c>
      <c r="J25" s="125">
        <v>318</v>
      </c>
      <c r="K25" s="125">
        <v>-268</v>
      </c>
      <c r="L25" s="699">
        <f t="shared" si="2"/>
        <v>50</v>
      </c>
      <c r="M25" s="125"/>
      <c r="N25" s="417"/>
      <c r="O25" s="699">
        <f t="shared" si="3"/>
        <v>0</v>
      </c>
      <c r="P25" s="417"/>
      <c r="Q25" s="417"/>
      <c r="R25" s="417"/>
      <c r="S25" s="417"/>
      <c r="T25" s="417"/>
      <c r="U25" s="417"/>
      <c r="V25" s="417"/>
      <c r="W25" s="417"/>
      <c r="X25" s="699">
        <f t="shared" si="4"/>
        <v>0</v>
      </c>
      <c r="Y25" s="417">
        <v>5656</v>
      </c>
      <c r="Z25" s="417">
        <v>247</v>
      </c>
      <c r="AA25" s="699">
        <f t="shared" si="5"/>
        <v>5903</v>
      </c>
      <c r="AB25" s="417">
        <v>1696</v>
      </c>
      <c r="AC25" s="417">
        <f>-144-487</f>
        <v>-631</v>
      </c>
      <c r="AD25" s="699">
        <f t="shared" si="6"/>
        <v>1065</v>
      </c>
      <c r="AE25" s="27"/>
      <c r="AF25" s="27"/>
      <c r="AG25" s="474">
        <f t="shared" si="7"/>
        <v>0</v>
      </c>
    </row>
    <row r="26" spans="1:33" s="42" customFormat="1" ht="12.95" customHeight="1" x14ac:dyDescent="0.2">
      <c r="A26" s="473" t="s">
        <v>66</v>
      </c>
      <c r="B26" s="1170" t="s">
        <v>156</v>
      </c>
      <c r="C26" s="1143"/>
      <c r="D26" s="535">
        <f t="shared" si="18"/>
        <v>63053</v>
      </c>
      <c r="E26" s="53">
        <f t="shared" si="19"/>
        <v>8960</v>
      </c>
      <c r="F26" s="474">
        <f t="shared" si="20"/>
        <v>72013</v>
      </c>
      <c r="G26" s="927">
        <f t="shared" ref="G26:AF26" si="27">+G25+G24+G23+G22+G21+G20+G19</f>
        <v>4410</v>
      </c>
      <c r="H26" s="699">
        <f t="shared" si="27"/>
        <v>715</v>
      </c>
      <c r="I26" s="699">
        <f t="shared" si="1"/>
        <v>5125</v>
      </c>
      <c r="J26" s="137">
        <f t="shared" si="27"/>
        <v>38120</v>
      </c>
      <c r="K26" s="137">
        <f t="shared" si="27"/>
        <v>7395</v>
      </c>
      <c r="L26" s="699">
        <f t="shared" si="2"/>
        <v>45515</v>
      </c>
      <c r="M26" s="137">
        <f t="shared" si="27"/>
        <v>13171</v>
      </c>
      <c r="N26" s="699">
        <f t="shared" si="27"/>
        <v>1234</v>
      </c>
      <c r="O26" s="699">
        <f t="shared" si="3"/>
        <v>14405</v>
      </c>
      <c r="P26" s="699">
        <f t="shared" si="27"/>
        <v>0</v>
      </c>
      <c r="Q26" s="699">
        <f t="shared" si="27"/>
        <v>0</v>
      </c>
      <c r="R26" s="699">
        <f t="shared" si="27"/>
        <v>0</v>
      </c>
      <c r="S26" s="699">
        <f t="shared" si="27"/>
        <v>0</v>
      </c>
      <c r="T26" s="699">
        <f t="shared" si="27"/>
        <v>0</v>
      </c>
      <c r="U26" s="699">
        <f t="shared" si="27"/>
        <v>0</v>
      </c>
      <c r="V26" s="699">
        <f t="shared" si="27"/>
        <v>0</v>
      </c>
      <c r="W26" s="699">
        <f t="shared" si="27"/>
        <v>0</v>
      </c>
      <c r="X26" s="699">
        <f t="shared" si="4"/>
        <v>0</v>
      </c>
      <c r="Y26" s="699">
        <f>+Y25+Y24+Y23+Y22+Y21+Y20+Y19</f>
        <v>5656</v>
      </c>
      <c r="Z26" s="699">
        <f t="shared" si="27"/>
        <v>247</v>
      </c>
      <c r="AA26" s="699">
        <f t="shared" si="5"/>
        <v>5903</v>
      </c>
      <c r="AB26" s="699">
        <f t="shared" si="27"/>
        <v>1696</v>
      </c>
      <c r="AC26" s="699">
        <f t="shared" si="27"/>
        <v>-631</v>
      </c>
      <c r="AD26" s="699">
        <f t="shared" si="6"/>
        <v>1065</v>
      </c>
      <c r="AE26" s="53">
        <f t="shared" si="27"/>
        <v>0</v>
      </c>
      <c r="AF26" s="53">
        <f t="shared" si="27"/>
        <v>0</v>
      </c>
      <c r="AG26" s="474">
        <f t="shared" si="7"/>
        <v>0</v>
      </c>
    </row>
    <row r="27" spans="1:33" ht="12.95" customHeight="1" x14ac:dyDescent="0.25">
      <c r="A27" s="476" t="s">
        <v>68</v>
      </c>
      <c r="B27" s="1171" t="s">
        <v>67</v>
      </c>
      <c r="C27" s="1145"/>
      <c r="D27" s="535">
        <f t="shared" si="18"/>
        <v>157</v>
      </c>
      <c r="E27" s="53">
        <f t="shared" si="19"/>
        <v>8</v>
      </c>
      <c r="F27" s="474">
        <f t="shared" si="20"/>
        <v>165</v>
      </c>
      <c r="G27" s="763"/>
      <c r="H27" s="417"/>
      <c r="I27" s="699">
        <f t="shared" si="1"/>
        <v>0</v>
      </c>
      <c r="J27" s="125"/>
      <c r="K27" s="125"/>
      <c r="L27" s="699">
        <f t="shared" si="2"/>
        <v>0</v>
      </c>
      <c r="M27" s="125"/>
      <c r="N27" s="417"/>
      <c r="O27" s="699">
        <f t="shared" si="3"/>
        <v>0</v>
      </c>
      <c r="P27" s="417"/>
      <c r="Q27" s="417"/>
      <c r="R27" s="417"/>
      <c r="S27" s="417"/>
      <c r="T27" s="417"/>
      <c r="U27" s="417"/>
      <c r="V27" s="417"/>
      <c r="W27" s="417"/>
      <c r="X27" s="699">
        <f t="shared" si="4"/>
        <v>0</v>
      </c>
      <c r="Y27" s="417"/>
      <c r="Z27" s="417"/>
      <c r="AA27" s="699">
        <f t="shared" si="5"/>
        <v>0</v>
      </c>
      <c r="AB27" s="417">
        <v>157</v>
      </c>
      <c r="AC27" s="417">
        <v>8</v>
      </c>
      <c r="AD27" s="699">
        <f t="shared" si="6"/>
        <v>165</v>
      </c>
      <c r="AE27" s="27"/>
      <c r="AF27" s="27"/>
      <c r="AG27" s="474">
        <f t="shared" si="7"/>
        <v>0</v>
      </c>
    </row>
    <row r="28" spans="1:33" ht="12.95" customHeight="1" x14ac:dyDescent="0.25">
      <c r="A28" s="476" t="s">
        <v>70</v>
      </c>
      <c r="B28" s="1171" t="s">
        <v>69</v>
      </c>
      <c r="C28" s="1145"/>
      <c r="D28" s="535">
        <f t="shared" si="18"/>
        <v>0</v>
      </c>
      <c r="E28" s="53">
        <f t="shared" si="19"/>
        <v>0</v>
      </c>
      <c r="F28" s="474">
        <f t="shared" si="20"/>
        <v>0</v>
      </c>
      <c r="G28" s="763"/>
      <c r="H28" s="417"/>
      <c r="I28" s="699">
        <f t="shared" si="1"/>
        <v>0</v>
      </c>
      <c r="J28" s="125"/>
      <c r="K28" s="125"/>
      <c r="L28" s="699">
        <f t="shared" si="2"/>
        <v>0</v>
      </c>
      <c r="M28" s="125"/>
      <c r="N28" s="417"/>
      <c r="O28" s="699">
        <f t="shared" si="3"/>
        <v>0</v>
      </c>
      <c r="P28" s="417"/>
      <c r="Q28" s="417"/>
      <c r="R28" s="417"/>
      <c r="S28" s="417"/>
      <c r="T28" s="417"/>
      <c r="U28" s="417"/>
      <c r="V28" s="417"/>
      <c r="W28" s="417"/>
      <c r="X28" s="699">
        <f t="shared" si="4"/>
        <v>0</v>
      </c>
      <c r="Y28" s="417"/>
      <c r="Z28" s="417"/>
      <c r="AA28" s="699">
        <f t="shared" si="5"/>
        <v>0</v>
      </c>
      <c r="AB28" s="417"/>
      <c r="AC28" s="417"/>
      <c r="AD28" s="699">
        <f t="shared" si="6"/>
        <v>0</v>
      </c>
      <c r="AE28" s="27"/>
      <c r="AF28" s="27"/>
      <c r="AG28" s="474">
        <f t="shared" si="7"/>
        <v>0</v>
      </c>
    </row>
    <row r="29" spans="1:33" s="42" customFormat="1" ht="12.95" customHeight="1" x14ac:dyDescent="0.2">
      <c r="A29" s="473" t="s">
        <v>71</v>
      </c>
      <c r="B29" s="1170" t="s">
        <v>155</v>
      </c>
      <c r="C29" s="1143"/>
      <c r="D29" s="535">
        <f t="shared" si="18"/>
        <v>157</v>
      </c>
      <c r="E29" s="53">
        <f t="shared" si="19"/>
        <v>8</v>
      </c>
      <c r="F29" s="474">
        <f t="shared" si="20"/>
        <v>165</v>
      </c>
      <c r="G29" s="927">
        <f t="shared" ref="G29:H29" si="28">+G27+G28</f>
        <v>0</v>
      </c>
      <c r="H29" s="699">
        <f t="shared" si="28"/>
        <v>0</v>
      </c>
      <c r="I29" s="699">
        <f>+H29+G29</f>
        <v>0</v>
      </c>
      <c r="J29" s="137"/>
      <c r="K29" s="137"/>
      <c r="L29" s="699">
        <f t="shared" si="2"/>
        <v>0</v>
      </c>
      <c r="M29" s="137">
        <f>+M27+M28</f>
        <v>0</v>
      </c>
      <c r="N29" s="699">
        <f>+N27+N28</f>
        <v>0</v>
      </c>
      <c r="O29" s="699">
        <f t="shared" si="3"/>
        <v>0</v>
      </c>
      <c r="P29" s="699">
        <f t="shared" ref="P29:AC29" si="29">+P27+P28</f>
        <v>0</v>
      </c>
      <c r="Q29" s="699">
        <f t="shared" si="29"/>
        <v>0</v>
      </c>
      <c r="R29" s="699">
        <f t="shared" si="29"/>
        <v>0</v>
      </c>
      <c r="S29" s="699">
        <f t="shared" si="29"/>
        <v>0</v>
      </c>
      <c r="T29" s="699">
        <f t="shared" si="29"/>
        <v>0</v>
      </c>
      <c r="U29" s="699">
        <f t="shared" si="29"/>
        <v>0</v>
      </c>
      <c r="V29" s="699">
        <f t="shared" si="29"/>
        <v>0</v>
      </c>
      <c r="W29" s="699">
        <f t="shared" si="29"/>
        <v>0</v>
      </c>
      <c r="X29" s="699">
        <f t="shared" si="4"/>
        <v>0</v>
      </c>
      <c r="Y29" s="699">
        <f t="shared" si="29"/>
        <v>0</v>
      </c>
      <c r="Z29" s="699">
        <f t="shared" si="29"/>
        <v>0</v>
      </c>
      <c r="AA29" s="699">
        <f t="shared" si="5"/>
        <v>0</v>
      </c>
      <c r="AB29" s="699">
        <f t="shared" si="29"/>
        <v>157</v>
      </c>
      <c r="AC29" s="699">
        <f t="shared" si="29"/>
        <v>8</v>
      </c>
      <c r="AD29" s="699">
        <f t="shared" si="6"/>
        <v>165</v>
      </c>
      <c r="AE29" s="53">
        <f>+AE27+AE28</f>
        <v>0</v>
      </c>
      <c r="AF29" s="53">
        <f>+AF27+AF28</f>
        <v>0</v>
      </c>
      <c r="AG29" s="474">
        <f t="shared" si="7"/>
        <v>0</v>
      </c>
    </row>
    <row r="30" spans="1:33" ht="12.95" customHeight="1" x14ac:dyDescent="0.25">
      <c r="A30" s="476" t="s">
        <v>73</v>
      </c>
      <c r="B30" s="1171" t="s">
        <v>72</v>
      </c>
      <c r="C30" s="1145"/>
      <c r="D30" s="535">
        <f t="shared" si="18"/>
        <v>12143</v>
      </c>
      <c r="E30" s="53">
        <f t="shared" si="19"/>
        <v>5021</v>
      </c>
      <c r="F30" s="474">
        <f t="shared" si="20"/>
        <v>17164</v>
      </c>
      <c r="G30" s="763">
        <v>588</v>
      </c>
      <c r="H30" s="417">
        <v>168</v>
      </c>
      <c r="I30" s="699">
        <f t="shared" si="1"/>
        <v>756</v>
      </c>
      <c r="J30" s="125">
        <v>7704</v>
      </c>
      <c r="K30" s="125">
        <v>4570</v>
      </c>
      <c r="L30" s="699">
        <f t="shared" si="2"/>
        <v>12274</v>
      </c>
      <c r="M30" s="125">
        <v>2788</v>
      </c>
      <c r="N30" s="417">
        <f>977+25</f>
        <v>1002</v>
      </c>
      <c r="O30" s="699">
        <f t="shared" si="3"/>
        <v>3790</v>
      </c>
      <c r="P30" s="417"/>
      <c r="Q30" s="417"/>
      <c r="R30" s="417"/>
      <c r="S30" s="417"/>
      <c r="T30" s="417"/>
      <c r="U30" s="417"/>
      <c r="V30" s="417"/>
      <c r="W30" s="417"/>
      <c r="X30" s="699">
        <f t="shared" si="4"/>
        <v>0</v>
      </c>
      <c r="Y30" s="417">
        <v>124</v>
      </c>
      <c r="Z30" s="417">
        <v>-7</v>
      </c>
      <c r="AA30" s="699">
        <f t="shared" si="5"/>
        <v>117</v>
      </c>
      <c r="AB30" s="417">
        <v>939</v>
      </c>
      <c r="AC30" s="417">
        <f>-249-463</f>
        <v>-712</v>
      </c>
      <c r="AD30" s="699">
        <f t="shared" si="6"/>
        <v>227</v>
      </c>
      <c r="AE30" s="27"/>
      <c r="AF30" s="27"/>
      <c r="AG30" s="474">
        <f t="shared" si="7"/>
        <v>0</v>
      </c>
    </row>
    <row r="31" spans="1:33" ht="12.95" customHeight="1" x14ac:dyDescent="0.25">
      <c r="A31" s="476" t="s">
        <v>75</v>
      </c>
      <c r="B31" s="1171" t="s">
        <v>74</v>
      </c>
      <c r="C31" s="1145"/>
      <c r="D31" s="535">
        <f t="shared" si="18"/>
        <v>64794</v>
      </c>
      <c r="E31" s="53">
        <f t="shared" si="19"/>
        <v>17974</v>
      </c>
      <c r="F31" s="474">
        <f t="shared" si="20"/>
        <v>82768</v>
      </c>
      <c r="G31" s="763">
        <v>605</v>
      </c>
      <c r="H31" s="417"/>
      <c r="I31" s="699">
        <f t="shared" si="1"/>
        <v>605</v>
      </c>
      <c r="J31" s="125">
        <v>4346</v>
      </c>
      <c r="K31" s="125"/>
      <c r="L31" s="699">
        <f t="shared" si="2"/>
        <v>4346</v>
      </c>
      <c r="M31" s="125">
        <v>820</v>
      </c>
      <c r="N31" s="417"/>
      <c r="O31" s="699">
        <f t="shared" si="3"/>
        <v>820</v>
      </c>
      <c r="P31" s="417"/>
      <c r="Q31" s="417"/>
      <c r="R31" s="417"/>
      <c r="S31" s="417"/>
      <c r="T31" s="417"/>
      <c r="U31" s="417"/>
      <c r="V31" s="417"/>
      <c r="W31" s="417"/>
      <c r="X31" s="699">
        <f t="shared" si="4"/>
        <v>0</v>
      </c>
      <c r="Y31" s="417">
        <v>54</v>
      </c>
      <c r="Z31" s="417"/>
      <c r="AA31" s="699">
        <f t="shared" si="5"/>
        <v>54</v>
      </c>
      <c r="AB31" s="417"/>
      <c r="AC31" s="417"/>
      <c r="AD31" s="699">
        <f t="shared" si="6"/>
        <v>0</v>
      </c>
      <c r="AE31" s="417">
        <v>58969</v>
      </c>
      <c r="AF31" s="27">
        <f>31246-13272</f>
        <v>17974</v>
      </c>
      <c r="AG31" s="474">
        <f t="shared" si="7"/>
        <v>76943</v>
      </c>
    </row>
    <row r="32" spans="1:33" ht="12.95" customHeight="1" x14ac:dyDescent="0.25">
      <c r="A32" s="476" t="s">
        <v>76</v>
      </c>
      <c r="B32" s="1171" t="s">
        <v>154</v>
      </c>
      <c r="C32" s="1145"/>
      <c r="D32" s="535">
        <f t="shared" si="18"/>
        <v>0</v>
      </c>
      <c r="E32" s="53">
        <f t="shared" si="19"/>
        <v>0</v>
      </c>
      <c r="F32" s="474">
        <f t="shared" si="20"/>
        <v>0</v>
      </c>
      <c r="G32" s="763"/>
      <c r="H32" s="417"/>
      <c r="I32" s="699">
        <f t="shared" si="1"/>
        <v>0</v>
      </c>
      <c r="J32" s="125"/>
      <c r="K32" s="125"/>
      <c r="L32" s="699">
        <f t="shared" si="2"/>
        <v>0</v>
      </c>
      <c r="M32" s="125"/>
      <c r="N32" s="417"/>
      <c r="O32" s="699">
        <f t="shared" si="3"/>
        <v>0</v>
      </c>
      <c r="P32" s="417"/>
      <c r="Q32" s="417"/>
      <c r="R32" s="417"/>
      <c r="S32" s="417"/>
      <c r="T32" s="417"/>
      <c r="U32" s="417"/>
      <c r="V32" s="417"/>
      <c r="W32" s="417"/>
      <c r="X32" s="699">
        <f t="shared" si="4"/>
        <v>0</v>
      </c>
      <c r="Y32" s="417"/>
      <c r="Z32" s="417"/>
      <c r="AA32" s="699">
        <f t="shared" si="5"/>
        <v>0</v>
      </c>
      <c r="AB32" s="417"/>
      <c r="AC32" s="417"/>
      <c r="AD32" s="699">
        <f t="shared" si="6"/>
        <v>0</v>
      </c>
      <c r="AE32" s="27"/>
      <c r="AF32" s="27"/>
      <c r="AG32" s="474">
        <f t="shared" si="7"/>
        <v>0</v>
      </c>
    </row>
    <row r="33" spans="1:33" ht="12.95" customHeight="1" x14ac:dyDescent="0.25">
      <c r="A33" s="476" t="s">
        <v>77</v>
      </c>
      <c r="B33" s="1171" t="s">
        <v>153</v>
      </c>
      <c r="C33" s="1145"/>
      <c r="D33" s="535">
        <f t="shared" si="18"/>
        <v>0</v>
      </c>
      <c r="E33" s="53">
        <f t="shared" si="19"/>
        <v>0</v>
      </c>
      <c r="F33" s="474">
        <f t="shared" si="20"/>
        <v>0</v>
      </c>
      <c r="G33" s="763"/>
      <c r="H33" s="417"/>
      <c r="I33" s="699">
        <f t="shared" si="1"/>
        <v>0</v>
      </c>
      <c r="J33" s="417"/>
      <c r="K33" s="417"/>
      <c r="L33" s="699">
        <f t="shared" si="2"/>
        <v>0</v>
      </c>
      <c r="M33" s="417"/>
      <c r="N33" s="417"/>
      <c r="O33" s="699">
        <f t="shared" si="3"/>
        <v>0</v>
      </c>
      <c r="P33" s="417"/>
      <c r="Q33" s="417"/>
      <c r="R33" s="417"/>
      <c r="S33" s="417"/>
      <c r="T33" s="417"/>
      <c r="U33" s="417"/>
      <c r="V33" s="417"/>
      <c r="W33" s="417"/>
      <c r="X33" s="699">
        <f t="shared" si="4"/>
        <v>0</v>
      </c>
      <c r="Y33" s="417"/>
      <c r="Z33" s="417"/>
      <c r="AA33" s="699">
        <f t="shared" si="5"/>
        <v>0</v>
      </c>
      <c r="AB33" s="417"/>
      <c r="AC33" s="417"/>
      <c r="AD33" s="699">
        <f t="shared" si="6"/>
        <v>0</v>
      </c>
      <c r="AE33" s="27"/>
      <c r="AF33" s="27"/>
      <c r="AG33" s="474">
        <f t="shared" si="7"/>
        <v>0</v>
      </c>
    </row>
    <row r="34" spans="1:33" ht="12.95" customHeight="1" x14ac:dyDescent="0.25">
      <c r="A34" s="476" t="s">
        <v>79</v>
      </c>
      <c r="B34" s="1171" t="s">
        <v>78</v>
      </c>
      <c r="C34" s="1145"/>
      <c r="D34" s="535">
        <f t="shared" si="18"/>
        <v>1180</v>
      </c>
      <c r="E34" s="53">
        <f t="shared" si="19"/>
        <v>320</v>
      </c>
      <c r="F34" s="474">
        <f t="shared" si="20"/>
        <v>1500</v>
      </c>
      <c r="G34" s="763">
        <f>1632-719</f>
        <v>913</v>
      </c>
      <c r="H34" s="417">
        <v>320</v>
      </c>
      <c r="I34" s="699">
        <f t="shared" si="1"/>
        <v>1233</v>
      </c>
      <c r="J34" s="417"/>
      <c r="K34" s="417"/>
      <c r="L34" s="699">
        <f t="shared" si="2"/>
        <v>0</v>
      </c>
      <c r="M34" s="417"/>
      <c r="N34" s="417"/>
      <c r="O34" s="699">
        <f t="shared" si="3"/>
        <v>0</v>
      </c>
      <c r="P34" s="417"/>
      <c r="Q34" s="417"/>
      <c r="R34" s="417"/>
      <c r="S34" s="417"/>
      <c r="T34" s="417"/>
      <c r="U34" s="417"/>
      <c r="V34" s="417"/>
      <c r="W34" s="417"/>
      <c r="X34" s="699">
        <f t="shared" si="4"/>
        <v>0</v>
      </c>
      <c r="Y34" s="417"/>
      <c r="Z34" s="417"/>
      <c r="AA34" s="699">
        <f t="shared" si="5"/>
        <v>0</v>
      </c>
      <c r="AB34" s="417"/>
      <c r="AC34" s="417"/>
      <c r="AD34" s="699">
        <f t="shared" si="6"/>
        <v>0</v>
      </c>
      <c r="AE34" s="27">
        <v>267</v>
      </c>
      <c r="AF34" s="27"/>
      <c r="AG34" s="474">
        <f t="shared" si="7"/>
        <v>267</v>
      </c>
    </row>
    <row r="35" spans="1:33" s="42" customFormat="1" ht="12.95" customHeight="1" x14ac:dyDescent="0.2">
      <c r="A35" s="473" t="s">
        <v>80</v>
      </c>
      <c r="B35" s="1170" t="s">
        <v>152</v>
      </c>
      <c r="C35" s="1143"/>
      <c r="D35" s="535">
        <f t="shared" si="18"/>
        <v>78117</v>
      </c>
      <c r="E35" s="53">
        <f t="shared" si="19"/>
        <v>23315</v>
      </c>
      <c r="F35" s="474">
        <f t="shared" si="20"/>
        <v>101432</v>
      </c>
      <c r="G35" s="927">
        <f t="shared" ref="G35:M35" si="30">SUM(G30:G34)</f>
        <v>2106</v>
      </c>
      <c r="H35" s="699">
        <f t="shared" si="30"/>
        <v>488</v>
      </c>
      <c r="I35" s="699">
        <f t="shared" si="1"/>
        <v>2594</v>
      </c>
      <c r="J35" s="699">
        <f t="shared" si="30"/>
        <v>12050</v>
      </c>
      <c r="K35" s="699">
        <f t="shared" si="30"/>
        <v>4570</v>
      </c>
      <c r="L35" s="699">
        <f t="shared" si="2"/>
        <v>16620</v>
      </c>
      <c r="M35" s="699">
        <f t="shared" si="30"/>
        <v>3608</v>
      </c>
      <c r="N35" s="699">
        <f>SUM(N30:N34)</f>
        <v>1002</v>
      </c>
      <c r="O35" s="699">
        <f t="shared" si="3"/>
        <v>4610</v>
      </c>
      <c r="P35" s="699">
        <f t="shared" ref="P35:Z35" si="31">SUM(P30:P34)</f>
        <v>0</v>
      </c>
      <c r="Q35" s="699">
        <f t="shared" si="31"/>
        <v>0</v>
      </c>
      <c r="R35" s="699">
        <f t="shared" si="31"/>
        <v>0</v>
      </c>
      <c r="S35" s="699">
        <f t="shared" si="31"/>
        <v>0</v>
      </c>
      <c r="T35" s="699">
        <f t="shared" si="31"/>
        <v>0</v>
      </c>
      <c r="U35" s="699">
        <f t="shared" si="31"/>
        <v>0</v>
      </c>
      <c r="V35" s="699">
        <f t="shared" si="31"/>
        <v>0</v>
      </c>
      <c r="W35" s="699">
        <f t="shared" si="31"/>
        <v>0</v>
      </c>
      <c r="X35" s="699">
        <f t="shared" si="4"/>
        <v>0</v>
      </c>
      <c r="Y35" s="699">
        <f t="shared" si="31"/>
        <v>178</v>
      </c>
      <c r="Z35" s="699">
        <f t="shared" si="31"/>
        <v>-7</v>
      </c>
      <c r="AA35" s="699">
        <f t="shared" si="5"/>
        <v>171</v>
      </c>
      <c r="AB35" s="699">
        <f t="shared" ref="AB35:AC35" si="32">SUM(AB30:AB34)</f>
        <v>939</v>
      </c>
      <c r="AC35" s="699">
        <f t="shared" si="32"/>
        <v>-712</v>
      </c>
      <c r="AD35" s="699">
        <f t="shared" si="6"/>
        <v>227</v>
      </c>
      <c r="AE35" s="53">
        <f>SUM(AE30:AE34)</f>
        <v>59236</v>
      </c>
      <c r="AF35" s="53">
        <f>SUM(AF30:AF34)</f>
        <v>17974</v>
      </c>
      <c r="AG35" s="474">
        <f t="shared" si="7"/>
        <v>77210</v>
      </c>
    </row>
    <row r="36" spans="1:33" s="42" customFormat="1" ht="12.95" customHeight="1" x14ac:dyDescent="0.2">
      <c r="A36" s="473" t="s">
        <v>81</v>
      </c>
      <c r="B36" s="1170" t="s">
        <v>151</v>
      </c>
      <c r="C36" s="1143"/>
      <c r="D36" s="535">
        <f t="shared" si="18"/>
        <v>144491</v>
      </c>
      <c r="E36" s="53">
        <f t="shared" si="19"/>
        <v>32267</v>
      </c>
      <c r="F36" s="474">
        <f t="shared" si="20"/>
        <v>176758</v>
      </c>
      <c r="G36" s="927">
        <f>+G35+G29+G26+G18+G15</f>
        <v>9276</v>
      </c>
      <c r="H36" s="699">
        <f t="shared" ref="H36:AF36" si="33">+H35+H29+H26+H18+H15</f>
        <v>1267</v>
      </c>
      <c r="I36" s="699">
        <f t="shared" si="1"/>
        <v>10543</v>
      </c>
      <c r="J36" s="699">
        <f t="shared" si="33"/>
        <v>50170</v>
      </c>
      <c r="K36" s="699">
        <f t="shared" si="33"/>
        <v>11965</v>
      </c>
      <c r="L36" s="699">
        <f t="shared" si="2"/>
        <v>62135</v>
      </c>
      <c r="M36" s="699">
        <f t="shared" si="33"/>
        <v>16779</v>
      </c>
      <c r="N36" s="699">
        <f t="shared" si="33"/>
        <v>2236</v>
      </c>
      <c r="O36" s="699">
        <f t="shared" si="3"/>
        <v>19015</v>
      </c>
      <c r="P36" s="699">
        <f t="shared" si="33"/>
        <v>0</v>
      </c>
      <c r="Q36" s="699">
        <f t="shared" si="33"/>
        <v>0</v>
      </c>
      <c r="R36" s="699">
        <f t="shared" si="33"/>
        <v>0</v>
      </c>
      <c r="S36" s="699">
        <f t="shared" si="33"/>
        <v>0</v>
      </c>
      <c r="T36" s="699">
        <f t="shared" si="33"/>
        <v>0</v>
      </c>
      <c r="U36" s="699">
        <f t="shared" si="33"/>
        <v>0</v>
      </c>
      <c r="V36" s="699">
        <f t="shared" si="33"/>
        <v>0</v>
      </c>
      <c r="W36" s="699">
        <f t="shared" si="33"/>
        <v>0</v>
      </c>
      <c r="X36" s="699">
        <f t="shared" si="4"/>
        <v>0</v>
      </c>
      <c r="Y36" s="699">
        <f t="shared" si="33"/>
        <v>5834</v>
      </c>
      <c r="Z36" s="699">
        <f t="shared" si="33"/>
        <v>240</v>
      </c>
      <c r="AA36" s="699">
        <f t="shared" si="5"/>
        <v>6074</v>
      </c>
      <c r="AB36" s="699">
        <f t="shared" ref="AB36:AC36" si="34">+AB35+AB29+AB26+AB18+AB15</f>
        <v>3196</v>
      </c>
      <c r="AC36" s="699">
        <f t="shared" si="34"/>
        <v>-1415</v>
      </c>
      <c r="AD36" s="699">
        <f t="shared" si="6"/>
        <v>1781</v>
      </c>
      <c r="AE36" s="53">
        <f t="shared" si="33"/>
        <v>59236</v>
      </c>
      <c r="AF36" s="53">
        <f t="shared" si="33"/>
        <v>17974</v>
      </c>
      <c r="AG36" s="474">
        <f t="shared" si="7"/>
        <v>77210</v>
      </c>
    </row>
    <row r="37" spans="1:33" ht="8.25" customHeight="1" x14ac:dyDescent="0.25">
      <c r="A37" s="475"/>
      <c r="B37" s="688"/>
      <c r="C37" s="296"/>
      <c r="D37" s="192"/>
      <c r="E37" s="192"/>
      <c r="F37" s="536"/>
      <c r="G37" s="575"/>
      <c r="H37" s="575"/>
      <c r="I37" s="837"/>
      <c r="J37" s="575"/>
      <c r="K37" s="575"/>
      <c r="L37" s="837"/>
      <c r="M37" s="575"/>
      <c r="N37" s="575"/>
      <c r="O37" s="837"/>
      <c r="P37" s="575"/>
      <c r="Q37" s="575"/>
      <c r="R37" s="575"/>
      <c r="S37" s="575"/>
      <c r="T37" s="575"/>
      <c r="U37" s="575"/>
      <c r="V37" s="575"/>
      <c r="W37" s="575"/>
      <c r="X37" s="837"/>
      <c r="Y37" s="575"/>
      <c r="Z37" s="575"/>
      <c r="AA37" s="837"/>
      <c r="AB37" s="575"/>
      <c r="AC37" s="575"/>
      <c r="AD37" s="837"/>
      <c r="AE37" s="56"/>
      <c r="AF37" s="56"/>
      <c r="AG37" s="536"/>
    </row>
    <row r="38" spans="1:33" ht="12.95" hidden="1" customHeight="1" x14ac:dyDescent="0.25">
      <c r="A38" s="92" t="s">
        <v>83</v>
      </c>
      <c r="B38" s="1190" t="s">
        <v>82</v>
      </c>
      <c r="C38" s="1191"/>
      <c r="D38" s="192">
        <f t="shared" ref="D38:D75" si="35">+G38+M38+P38+S38+V38+AE38+J38+Y38+AB38</f>
        <v>0</v>
      </c>
      <c r="E38" s="192">
        <f t="shared" ref="E38:E75" si="36">+H38+N38+Q38+T38+W38+AF38+K38+Z38+AC38</f>
        <v>0</v>
      </c>
      <c r="F38" s="536">
        <f t="shared" ref="F38:F75" si="37">+I38+O38+R38+U38+X38+AG38+L38+AA38+AD38</f>
        <v>0</v>
      </c>
      <c r="G38" s="575"/>
      <c r="H38" s="575"/>
      <c r="I38" s="837">
        <f t="shared" si="1"/>
        <v>0</v>
      </c>
      <c r="J38" s="575"/>
      <c r="K38" s="575"/>
      <c r="L38" s="837">
        <f t="shared" si="2"/>
        <v>0</v>
      </c>
      <c r="M38" s="575"/>
      <c r="N38" s="575"/>
      <c r="O38" s="837">
        <f t="shared" si="3"/>
        <v>0</v>
      </c>
      <c r="P38" s="575"/>
      <c r="Q38" s="575"/>
      <c r="R38" s="575"/>
      <c r="S38" s="575"/>
      <c r="T38" s="575"/>
      <c r="U38" s="575"/>
      <c r="V38" s="575"/>
      <c r="W38" s="575"/>
      <c r="X38" s="837">
        <f t="shared" si="4"/>
        <v>0</v>
      </c>
      <c r="Y38" s="575"/>
      <c r="Z38" s="575"/>
      <c r="AA38" s="837">
        <f t="shared" si="5"/>
        <v>0</v>
      </c>
      <c r="AB38" s="575"/>
      <c r="AC38" s="575"/>
      <c r="AD38" s="837">
        <f t="shared" si="6"/>
        <v>0</v>
      </c>
      <c r="AE38" s="56"/>
      <c r="AF38" s="56"/>
      <c r="AG38" s="536">
        <f t="shared" si="7"/>
        <v>0</v>
      </c>
    </row>
    <row r="39" spans="1:33" ht="12.95" hidden="1" customHeight="1" x14ac:dyDescent="0.25">
      <c r="A39" s="757" t="s">
        <v>84</v>
      </c>
      <c r="B39" s="1190" t="s">
        <v>136</v>
      </c>
      <c r="C39" s="1191"/>
      <c r="D39" s="192">
        <f t="shared" si="35"/>
        <v>0</v>
      </c>
      <c r="E39" s="192">
        <f t="shared" si="36"/>
        <v>0</v>
      </c>
      <c r="F39" s="536">
        <f t="shared" si="37"/>
        <v>0</v>
      </c>
      <c r="G39" s="575"/>
      <c r="H39" s="575"/>
      <c r="I39" s="837">
        <f t="shared" si="1"/>
        <v>0</v>
      </c>
      <c r="J39" s="575"/>
      <c r="K39" s="575"/>
      <c r="L39" s="837">
        <f t="shared" si="2"/>
        <v>0</v>
      </c>
      <c r="M39" s="575"/>
      <c r="N39" s="575"/>
      <c r="O39" s="837">
        <f t="shared" si="3"/>
        <v>0</v>
      </c>
      <c r="P39" s="575"/>
      <c r="Q39" s="575"/>
      <c r="R39" s="575"/>
      <c r="S39" s="575"/>
      <c r="T39" s="575"/>
      <c r="U39" s="575"/>
      <c r="V39" s="575"/>
      <c r="W39" s="575"/>
      <c r="X39" s="837">
        <f t="shared" si="4"/>
        <v>0</v>
      </c>
      <c r="Y39" s="575"/>
      <c r="Z39" s="575"/>
      <c r="AA39" s="837">
        <f t="shared" si="5"/>
        <v>0</v>
      </c>
      <c r="AB39" s="575"/>
      <c r="AC39" s="575"/>
      <c r="AD39" s="837">
        <f t="shared" si="6"/>
        <v>0</v>
      </c>
      <c r="AE39" s="56"/>
      <c r="AF39" s="56"/>
      <c r="AG39" s="536">
        <f t="shared" si="7"/>
        <v>0</v>
      </c>
    </row>
    <row r="40" spans="1:33" s="38" customFormat="1" ht="12.95" hidden="1" customHeight="1" x14ac:dyDescent="0.2">
      <c r="A40" s="758" t="s">
        <v>84</v>
      </c>
      <c r="B40" s="753"/>
      <c r="C40" s="765" t="s">
        <v>138</v>
      </c>
      <c r="D40" s="192">
        <f t="shared" si="35"/>
        <v>0</v>
      </c>
      <c r="E40" s="192">
        <f t="shared" si="36"/>
        <v>0</v>
      </c>
      <c r="F40" s="536">
        <f t="shared" si="37"/>
        <v>0</v>
      </c>
      <c r="G40" s="838"/>
      <c r="H40" s="838"/>
      <c r="I40" s="837">
        <f t="shared" si="1"/>
        <v>0</v>
      </c>
      <c r="J40" s="838"/>
      <c r="K40" s="838"/>
      <c r="L40" s="837">
        <f t="shared" si="2"/>
        <v>0</v>
      </c>
      <c r="M40" s="838"/>
      <c r="N40" s="838"/>
      <c r="O40" s="837">
        <f t="shared" si="3"/>
        <v>0</v>
      </c>
      <c r="P40" s="838"/>
      <c r="Q40" s="838"/>
      <c r="R40" s="838"/>
      <c r="S40" s="838"/>
      <c r="T40" s="838"/>
      <c r="U40" s="838"/>
      <c r="V40" s="838"/>
      <c r="W40" s="838"/>
      <c r="X40" s="837">
        <f t="shared" si="4"/>
        <v>0</v>
      </c>
      <c r="Y40" s="838"/>
      <c r="Z40" s="838"/>
      <c r="AA40" s="837">
        <f t="shared" si="5"/>
        <v>0</v>
      </c>
      <c r="AB40" s="838"/>
      <c r="AC40" s="838"/>
      <c r="AD40" s="837">
        <f t="shared" si="6"/>
        <v>0</v>
      </c>
      <c r="AE40" s="754"/>
      <c r="AF40" s="754"/>
      <c r="AG40" s="536">
        <f t="shared" si="7"/>
        <v>0</v>
      </c>
    </row>
    <row r="41" spans="1:33" ht="12.95" hidden="1" customHeight="1" x14ac:dyDescent="0.25">
      <c r="A41" s="92" t="s">
        <v>86</v>
      </c>
      <c r="B41" s="1190" t="s">
        <v>85</v>
      </c>
      <c r="C41" s="1191"/>
      <c r="D41" s="192">
        <f t="shared" si="35"/>
        <v>0</v>
      </c>
      <c r="E41" s="192">
        <f t="shared" si="36"/>
        <v>0</v>
      </c>
      <c r="F41" s="536">
        <f t="shared" si="37"/>
        <v>0</v>
      </c>
      <c r="G41" s="575"/>
      <c r="H41" s="575"/>
      <c r="I41" s="837">
        <f t="shared" si="1"/>
        <v>0</v>
      </c>
      <c r="J41" s="575"/>
      <c r="K41" s="575"/>
      <c r="L41" s="837">
        <f t="shared" si="2"/>
        <v>0</v>
      </c>
      <c r="M41" s="575"/>
      <c r="N41" s="575"/>
      <c r="O41" s="837">
        <f t="shared" si="3"/>
        <v>0</v>
      </c>
      <c r="P41" s="575"/>
      <c r="Q41" s="575"/>
      <c r="R41" s="575"/>
      <c r="S41" s="575"/>
      <c r="T41" s="575"/>
      <c r="U41" s="575"/>
      <c r="V41" s="575"/>
      <c r="W41" s="575"/>
      <c r="X41" s="837">
        <f t="shared" si="4"/>
        <v>0</v>
      </c>
      <c r="Y41" s="575"/>
      <c r="Z41" s="575"/>
      <c r="AA41" s="837">
        <f t="shared" si="5"/>
        <v>0</v>
      </c>
      <c r="AB41" s="575"/>
      <c r="AC41" s="575"/>
      <c r="AD41" s="837">
        <f t="shared" si="6"/>
        <v>0</v>
      </c>
      <c r="AE41" s="56"/>
      <c r="AF41" s="56"/>
      <c r="AG41" s="536">
        <f t="shared" si="7"/>
        <v>0</v>
      </c>
    </row>
    <row r="42" spans="1:33" ht="12.95" hidden="1" customHeight="1" x14ac:dyDescent="0.25">
      <c r="A42" s="757" t="s">
        <v>87</v>
      </c>
      <c r="B42" s="1190" t="s">
        <v>139</v>
      </c>
      <c r="C42" s="1191"/>
      <c r="D42" s="192">
        <f t="shared" si="35"/>
        <v>0</v>
      </c>
      <c r="E42" s="192">
        <f t="shared" si="36"/>
        <v>0</v>
      </c>
      <c r="F42" s="536">
        <f t="shared" si="37"/>
        <v>0</v>
      </c>
      <c r="G42" s="575"/>
      <c r="H42" s="575"/>
      <c r="I42" s="837">
        <f t="shared" si="1"/>
        <v>0</v>
      </c>
      <c r="J42" s="575"/>
      <c r="K42" s="575"/>
      <c r="L42" s="837">
        <f t="shared" si="2"/>
        <v>0</v>
      </c>
      <c r="M42" s="575"/>
      <c r="N42" s="575"/>
      <c r="O42" s="837">
        <f t="shared" si="3"/>
        <v>0</v>
      </c>
      <c r="P42" s="575"/>
      <c r="Q42" s="575"/>
      <c r="R42" s="575"/>
      <c r="S42" s="575"/>
      <c r="T42" s="575"/>
      <c r="U42" s="575"/>
      <c r="V42" s="575"/>
      <c r="W42" s="575"/>
      <c r="X42" s="837">
        <f t="shared" si="4"/>
        <v>0</v>
      </c>
      <c r="Y42" s="575"/>
      <c r="Z42" s="575"/>
      <c r="AA42" s="837">
        <f t="shared" si="5"/>
        <v>0</v>
      </c>
      <c r="AB42" s="575"/>
      <c r="AC42" s="575"/>
      <c r="AD42" s="837">
        <f t="shared" si="6"/>
        <v>0</v>
      </c>
      <c r="AE42" s="56"/>
      <c r="AF42" s="56"/>
      <c r="AG42" s="536">
        <f t="shared" si="7"/>
        <v>0</v>
      </c>
    </row>
    <row r="43" spans="1:33" s="38" customFormat="1" ht="12.95" hidden="1" customHeight="1" x14ac:dyDescent="0.2">
      <c r="A43" s="758" t="s">
        <v>87</v>
      </c>
      <c r="B43" s="753"/>
      <c r="C43" s="766" t="s">
        <v>88</v>
      </c>
      <c r="D43" s="192">
        <f t="shared" si="35"/>
        <v>0</v>
      </c>
      <c r="E43" s="192">
        <f t="shared" si="36"/>
        <v>0</v>
      </c>
      <c r="F43" s="536">
        <f t="shared" si="37"/>
        <v>0</v>
      </c>
      <c r="G43" s="838"/>
      <c r="H43" s="838"/>
      <c r="I43" s="837">
        <f t="shared" si="1"/>
        <v>0</v>
      </c>
      <c r="J43" s="838"/>
      <c r="K43" s="838"/>
      <c r="L43" s="837">
        <f t="shared" si="2"/>
        <v>0</v>
      </c>
      <c r="M43" s="838"/>
      <c r="N43" s="838"/>
      <c r="O43" s="837">
        <f t="shared" si="3"/>
        <v>0</v>
      </c>
      <c r="P43" s="838"/>
      <c r="Q43" s="838"/>
      <c r="R43" s="838"/>
      <c r="S43" s="838"/>
      <c r="T43" s="838"/>
      <c r="U43" s="838"/>
      <c r="V43" s="838"/>
      <c r="W43" s="838"/>
      <c r="X43" s="837">
        <f t="shared" si="4"/>
        <v>0</v>
      </c>
      <c r="Y43" s="838"/>
      <c r="Z43" s="838"/>
      <c r="AA43" s="837">
        <f t="shared" si="5"/>
        <v>0</v>
      </c>
      <c r="AB43" s="838"/>
      <c r="AC43" s="838"/>
      <c r="AD43" s="837">
        <f t="shared" si="6"/>
        <v>0</v>
      </c>
      <c r="AE43" s="754"/>
      <c r="AF43" s="754"/>
      <c r="AG43" s="536">
        <f t="shared" si="7"/>
        <v>0</v>
      </c>
    </row>
    <row r="44" spans="1:33" s="38" customFormat="1" ht="12.95" hidden="1" customHeight="1" x14ac:dyDescent="0.2">
      <c r="A44" s="758" t="s">
        <v>87</v>
      </c>
      <c r="B44" s="753"/>
      <c r="C44" s="765" t="s">
        <v>140</v>
      </c>
      <c r="D44" s="192">
        <f t="shared" si="35"/>
        <v>0</v>
      </c>
      <c r="E44" s="192">
        <f t="shared" si="36"/>
        <v>0</v>
      </c>
      <c r="F44" s="536">
        <f t="shared" si="37"/>
        <v>0</v>
      </c>
      <c r="G44" s="838"/>
      <c r="H44" s="838"/>
      <c r="I44" s="837">
        <f t="shared" si="1"/>
        <v>0</v>
      </c>
      <c r="J44" s="838"/>
      <c r="K44" s="838"/>
      <c r="L44" s="837">
        <f t="shared" si="2"/>
        <v>0</v>
      </c>
      <c r="M44" s="838"/>
      <c r="N44" s="838"/>
      <c r="O44" s="837">
        <f t="shared" si="3"/>
        <v>0</v>
      </c>
      <c r="P44" s="838"/>
      <c r="Q44" s="838"/>
      <c r="R44" s="838"/>
      <c r="S44" s="838"/>
      <c r="T44" s="838"/>
      <c r="U44" s="838"/>
      <c r="V44" s="838"/>
      <c r="W44" s="838"/>
      <c r="X44" s="837">
        <f t="shared" si="4"/>
        <v>0</v>
      </c>
      <c r="Y44" s="838"/>
      <c r="Z44" s="838"/>
      <c r="AA44" s="837">
        <f t="shared" si="5"/>
        <v>0</v>
      </c>
      <c r="AB44" s="838"/>
      <c r="AC44" s="838"/>
      <c r="AD44" s="837">
        <f t="shared" si="6"/>
        <v>0</v>
      </c>
      <c r="AE44" s="754"/>
      <c r="AF44" s="754"/>
      <c r="AG44" s="536">
        <f t="shared" si="7"/>
        <v>0</v>
      </c>
    </row>
    <row r="45" spans="1:33" ht="12.95" hidden="1" customHeight="1" x14ac:dyDescent="0.25">
      <c r="A45" s="757" t="s">
        <v>89</v>
      </c>
      <c r="B45" s="1194" t="s">
        <v>141</v>
      </c>
      <c r="C45" s="1152"/>
      <c r="D45" s="192">
        <f t="shared" si="35"/>
        <v>0</v>
      </c>
      <c r="E45" s="192">
        <f t="shared" si="36"/>
        <v>0</v>
      </c>
      <c r="F45" s="536">
        <f t="shared" si="37"/>
        <v>0</v>
      </c>
      <c r="G45" s="575"/>
      <c r="H45" s="575"/>
      <c r="I45" s="837">
        <f t="shared" si="1"/>
        <v>0</v>
      </c>
      <c r="J45" s="575"/>
      <c r="K45" s="575"/>
      <c r="L45" s="837">
        <f t="shared" si="2"/>
        <v>0</v>
      </c>
      <c r="M45" s="575"/>
      <c r="N45" s="575"/>
      <c r="O45" s="837">
        <f t="shared" si="3"/>
        <v>0</v>
      </c>
      <c r="P45" s="575"/>
      <c r="Q45" s="575"/>
      <c r="R45" s="575"/>
      <c r="S45" s="575"/>
      <c r="T45" s="575"/>
      <c r="U45" s="575"/>
      <c r="V45" s="575"/>
      <c r="W45" s="575"/>
      <c r="X45" s="837">
        <f t="shared" si="4"/>
        <v>0</v>
      </c>
      <c r="Y45" s="575"/>
      <c r="Z45" s="575"/>
      <c r="AA45" s="837">
        <f t="shared" si="5"/>
        <v>0</v>
      </c>
      <c r="AB45" s="575"/>
      <c r="AC45" s="575"/>
      <c r="AD45" s="837">
        <f t="shared" si="6"/>
        <v>0</v>
      </c>
      <c r="AE45" s="56"/>
      <c r="AF45" s="56"/>
      <c r="AG45" s="536">
        <f t="shared" si="7"/>
        <v>0</v>
      </c>
    </row>
    <row r="46" spans="1:33" s="38" customFormat="1" ht="12.95" hidden="1" customHeight="1" x14ac:dyDescent="0.2">
      <c r="A46" s="758" t="s">
        <v>89</v>
      </c>
      <c r="B46" s="753"/>
      <c r="C46" s="765" t="s">
        <v>142</v>
      </c>
      <c r="D46" s="192">
        <f t="shared" si="35"/>
        <v>0</v>
      </c>
      <c r="E46" s="192">
        <f t="shared" si="36"/>
        <v>0</v>
      </c>
      <c r="F46" s="536">
        <f t="shared" si="37"/>
        <v>0</v>
      </c>
      <c r="G46" s="838"/>
      <c r="H46" s="838"/>
      <c r="I46" s="837">
        <f t="shared" si="1"/>
        <v>0</v>
      </c>
      <c r="J46" s="838"/>
      <c r="K46" s="838"/>
      <c r="L46" s="837">
        <f t="shared" si="2"/>
        <v>0</v>
      </c>
      <c r="M46" s="838"/>
      <c r="N46" s="838"/>
      <c r="O46" s="837">
        <f t="shared" si="3"/>
        <v>0</v>
      </c>
      <c r="P46" s="838"/>
      <c r="Q46" s="838"/>
      <c r="R46" s="838"/>
      <c r="S46" s="838"/>
      <c r="T46" s="838"/>
      <c r="U46" s="838"/>
      <c r="V46" s="838"/>
      <c r="W46" s="838"/>
      <c r="X46" s="837">
        <f t="shared" si="4"/>
        <v>0</v>
      </c>
      <c r="Y46" s="838"/>
      <c r="Z46" s="838"/>
      <c r="AA46" s="837">
        <f t="shared" si="5"/>
        <v>0</v>
      </c>
      <c r="AB46" s="838"/>
      <c r="AC46" s="838"/>
      <c r="AD46" s="837">
        <f t="shared" si="6"/>
        <v>0</v>
      </c>
      <c r="AE46" s="754"/>
      <c r="AF46" s="754"/>
      <c r="AG46" s="536">
        <f t="shared" si="7"/>
        <v>0</v>
      </c>
    </row>
    <row r="47" spans="1:33" ht="12.95" hidden="1" customHeight="1" x14ac:dyDescent="0.25">
      <c r="A47" s="757" t="s">
        <v>90</v>
      </c>
      <c r="B47" s="1194" t="s">
        <v>143</v>
      </c>
      <c r="C47" s="1152"/>
      <c r="D47" s="192">
        <f t="shared" si="35"/>
        <v>0</v>
      </c>
      <c r="E47" s="192">
        <f t="shared" si="36"/>
        <v>0</v>
      </c>
      <c r="F47" s="536">
        <f t="shared" si="37"/>
        <v>0</v>
      </c>
      <c r="G47" s="575"/>
      <c r="H47" s="575"/>
      <c r="I47" s="837">
        <f t="shared" si="1"/>
        <v>0</v>
      </c>
      <c r="J47" s="575"/>
      <c r="K47" s="575"/>
      <c r="L47" s="837">
        <f t="shared" si="2"/>
        <v>0</v>
      </c>
      <c r="M47" s="575"/>
      <c r="N47" s="575"/>
      <c r="O47" s="837">
        <f t="shared" si="3"/>
        <v>0</v>
      </c>
      <c r="P47" s="575"/>
      <c r="Q47" s="575"/>
      <c r="R47" s="575"/>
      <c r="S47" s="575"/>
      <c r="T47" s="575"/>
      <c r="U47" s="575"/>
      <c r="V47" s="575"/>
      <c r="W47" s="575"/>
      <c r="X47" s="837">
        <f t="shared" si="4"/>
        <v>0</v>
      </c>
      <c r="Y47" s="575"/>
      <c r="Z47" s="575"/>
      <c r="AA47" s="837">
        <f t="shared" si="5"/>
        <v>0</v>
      </c>
      <c r="AB47" s="575"/>
      <c r="AC47" s="575"/>
      <c r="AD47" s="837">
        <f t="shared" si="6"/>
        <v>0</v>
      </c>
      <c r="AE47" s="56"/>
      <c r="AF47" s="56"/>
      <c r="AG47" s="536">
        <f t="shared" si="7"/>
        <v>0</v>
      </c>
    </row>
    <row r="48" spans="1:33" s="38" customFormat="1" ht="12.95" hidden="1" customHeight="1" x14ac:dyDescent="0.2">
      <c r="A48" s="758" t="s">
        <v>90</v>
      </c>
      <c r="B48" s="753"/>
      <c r="C48" s="765" t="s">
        <v>144</v>
      </c>
      <c r="D48" s="192">
        <f t="shared" si="35"/>
        <v>0</v>
      </c>
      <c r="E48" s="192">
        <f t="shared" si="36"/>
        <v>0</v>
      </c>
      <c r="F48" s="536">
        <f t="shared" si="37"/>
        <v>0</v>
      </c>
      <c r="G48" s="838"/>
      <c r="H48" s="838"/>
      <c r="I48" s="837">
        <f t="shared" si="1"/>
        <v>0</v>
      </c>
      <c r="J48" s="838"/>
      <c r="K48" s="838"/>
      <c r="L48" s="837">
        <f t="shared" si="2"/>
        <v>0</v>
      </c>
      <c r="M48" s="838"/>
      <c r="N48" s="838"/>
      <c r="O48" s="837">
        <f t="shared" si="3"/>
        <v>0</v>
      </c>
      <c r="P48" s="838"/>
      <c r="Q48" s="838"/>
      <c r="R48" s="838"/>
      <c r="S48" s="838"/>
      <c r="T48" s="838"/>
      <c r="U48" s="838"/>
      <c r="V48" s="838"/>
      <c r="W48" s="838"/>
      <c r="X48" s="837">
        <f t="shared" si="4"/>
        <v>0</v>
      </c>
      <c r="Y48" s="838"/>
      <c r="Z48" s="838"/>
      <c r="AA48" s="837">
        <f t="shared" si="5"/>
        <v>0</v>
      </c>
      <c r="AB48" s="838"/>
      <c r="AC48" s="838"/>
      <c r="AD48" s="837">
        <f t="shared" si="6"/>
        <v>0</v>
      </c>
      <c r="AE48" s="754"/>
      <c r="AF48" s="754"/>
      <c r="AG48" s="536">
        <f t="shared" si="7"/>
        <v>0</v>
      </c>
    </row>
    <row r="49" spans="1:33" ht="12.95" hidden="1" customHeight="1" x14ac:dyDescent="0.25">
      <c r="A49" s="92" t="s">
        <v>91</v>
      </c>
      <c r="B49" s="1194" t="s">
        <v>145</v>
      </c>
      <c r="C49" s="1152"/>
      <c r="D49" s="192">
        <f t="shared" si="35"/>
        <v>0</v>
      </c>
      <c r="E49" s="192">
        <f t="shared" si="36"/>
        <v>0</v>
      </c>
      <c r="F49" s="536">
        <f t="shared" si="37"/>
        <v>0</v>
      </c>
      <c r="G49" s="575"/>
      <c r="H49" s="575"/>
      <c r="I49" s="837">
        <f t="shared" si="1"/>
        <v>0</v>
      </c>
      <c r="J49" s="575"/>
      <c r="K49" s="575"/>
      <c r="L49" s="837">
        <f t="shared" si="2"/>
        <v>0</v>
      </c>
      <c r="M49" s="575"/>
      <c r="N49" s="575"/>
      <c r="O49" s="837">
        <f t="shared" si="3"/>
        <v>0</v>
      </c>
      <c r="P49" s="575"/>
      <c r="Q49" s="575"/>
      <c r="R49" s="575"/>
      <c r="S49" s="575"/>
      <c r="T49" s="575"/>
      <c r="U49" s="575"/>
      <c r="V49" s="575"/>
      <c r="W49" s="575"/>
      <c r="X49" s="837">
        <f t="shared" si="4"/>
        <v>0</v>
      </c>
      <c r="Y49" s="575"/>
      <c r="Z49" s="575"/>
      <c r="AA49" s="837">
        <f t="shared" si="5"/>
        <v>0</v>
      </c>
      <c r="AB49" s="575"/>
      <c r="AC49" s="575"/>
      <c r="AD49" s="837">
        <f t="shared" si="6"/>
        <v>0</v>
      </c>
      <c r="AE49" s="56"/>
      <c r="AF49" s="56"/>
      <c r="AG49" s="536">
        <f t="shared" si="7"/>
        <v>0</v>
      </c>
    </row>
    <row r="50" spans="1:33" s="38" customFormat="1" ht="12.95" hidden="1" customHeight="1" x14ac:dyDescent="0.2">
      <c r="A50" s="758" t="s">
        <v>91</v>
      </c>
      <c r="B50" s="753"/>
      <c r="C50" s="765" t="s">
        <v>92</v>
      </c>
      <c r="D50" s="192">
        <f t="shared" si="35"/>
        <v>0</v>
      </c>
      <c r="E50" s="192">
        <f t="shared" si="36"/>
        <v>0</v>
      </c>
      <c r="F50" s="536">
        <f t="shared" si="37"/>
        <v>0</v>
      </c>
      <c r="G50" s="838"/>
      <c r="H50" s="838"/>
      <c r="I50" s="837">
        <f t="shared" si="1"/>
        <v>0</v>
      </c>
      <c r="J50" s="838"/>
      <c r="K50" s="838"/>
      <c r="L50" s="837">
        <f t="shared" si="2"/>
        <v>0</v>
      </c>
      <c r="M50" s="838"/>
      <c r="N50" s="838"/>
      <c r="O50" s="837">
        <f t="shared" si="3"/>
        <v>0</v>
      </c>
      <c r="P50" s="838"/>
      <c r="Q50" s="838"/>
      <c r="R50" s="838"/>
      <c r="S50" s="838"/>
      <c r="T50" s="838"/>
      <c r="U50" s="838"/>
      <c r="V50" s="838"/>
      <c r="W50" s="838"/>
      <c r="X50" s="837">
        <f t="shared" si="4"/>
        <v>0</v>
      </c>
      <c r="Y50" s="838"/>
      <c r="Z50" s="838"/>
      <c r="AA50" s="837">
        <f t="shared" si="5"/>
        <v>0</v>
      </c>
      <c r="AB50" s="838"/>
      <c r="AC50" s="838"/>
      <c r="AD50" s="837">
        <f t="shared" si="6"/>
        <v>0</v>
      </c>
      <c r="AE50" s="754"/>
      <c r="AF50" s="754"/>
      <c r="AG50" s="536">
        <f t="shared" si="7"/>
        <v>0</v>
      </c>
    </row>
    <row r="51" spans="1:33" ht="12.95" hidden="1" customHeight="1" x14ac:dyDescent="0.25">
      <c r="A51" s="757" t="s">
        <v>93</v>
      </c>
      <c r="B51" s="1194" t="s">
        <v>146</v>
      </c>
      <c r="C51" s="1152"/>
      <c r="D51" s="192">
        <f t="shared" si="35"/>
        <v>0</v>
      </c>
      <c r="E51" s="192">
        <f t="shared" si="36"/>
        <v>0</v>
      </c>
      <c r="F51" s="536">
        <f t="shared" si="37"/>
        <v>0</v>
      </c>
      <c r="G51" s="575"/>
      <c r="H51" s="575"/>
      <c r="I51" s="837">
        <f t="shared" si="1"/>
        <v>0</v>
      </c>
      <c r="J51" s="575"/>
      <c r="K51" s="575"/>
      <c r="L51" s="837">
        <f t="shared" si="2"/>
        <v>0</v>
      </c>
      <c r="M51" s="575"/>
      <c r="N51" s="575"/>
      <c r="O51" s="837">
        <f t="shared" si="3"/>
        <v>0</v>
      </c>
      <c r="P51" s="575"/>
      <c r="Q51" s="575"/>
      <c r="R51" s="575"/>
      <c r="S51" s="575"/>
      <c r="T51" s="575"/>
      <c r="U51" s="575"/>
      <c r="V51" s="575"/>
      <c r="W51" s="575"/>
      <c r="X51" s="837">
        <f t="shared" si="4"/>
        <v>0</v>
      </c>
      <c r="Y51" s="575"/>
      <c r="Z51" s="575"/>
      <c r="AA51" s="837">
        <f t="shared" si="5"/>
        <v>0</v>
      </c>
      <c r="AB51" s="575"/>
      <c r="AC51" s="575"/>
      <c r="AD51" s="837">
        <f t="shared" si="6"/>
        <v>0</v>
      </c>
      <c r="AE51" s="56"/>
      <c r="AF51" s="56"/>
      <c r="AG51" s="536">
        <f t="shared" si="7"/>
        <v>0</v>
      </c>
    </row>
    <row r="52" spans="1:33" s="38" customFormat="1" ht="12.95" hidden="1" customHeight="1" x14ac:dyDescent="0.2">
      <c r="A52" s="758" t="s">
        <v>93</v>
      </c>
      <c r="B52" s="753"/>
      <c r="C52" s="765" t="s">
        <v>147</v>
      </c>
      <c r="D52" s="192">
        <f t="shared" si="35"/>
        <v>0</v>
      </c>
      <c r="E52" s="192">
        <f t="shared" si="36"/>
        <v>0</v>
      </c>
      <c r="F52" s="536">
        <f t="shared" si="37"/>
        <v>0</v>
      </c>
      <c r="G52" s="838"/>
      <c r="H52" s="838"/>
      <c r="I52" s="837">
        <f t="shared" si="1"/>
        <v>0</v>
      </c>
      <c r="J52" s="838"/>
      <c r="K52" s="838"/>
      <c r="L52" s="837">
        <f t="shared" si="2"/>
        <v>0</v>
      </c>
      <c r="M52" s="838"/>
      <c r="N52" s="838"/>
      <c r="O52" s="837">
        <f t="shared" si="3"/>
        <v>0</v>
      </c>
      <c r="P52" s="838"/>
      <c r="Q52" s="838"/>
      <c r="R52" s="838"/>
      <c r="S52" s="838"/>
      <c r="T52" s="838"/>
      <c r="U52" s="838"/>
      <c r="V52" s="838"/>
      <c r="W52" s="838"/>
      <c r="X52" s="837">
        <f t="shared" si="4"/>
        <v>0</v>
      </c>
      <c r="Y52" s="838"/>
      <c r="Z52" s="838"/>
      <c r="AA52" s="837">
        <f t="shared" si="5"/>
        <v>0</v>
      </c>
      <c r="AB52" s="838"/>
      <c r="AC52" s="838"/>
      <c r="AD52" s="837">
        <f t="shared" si="6"/>
        <v>0</v>
      </c>
      <c r="AE52" s="754"/>
      <c r="AF52" s="754"/>
      <c r="AG52" s="536">
        <f t="shared" si="7"/>
        <v>0</v>
      </c>
    </row>
    <row r="53" spans="1:33" s="38" customFormat="1" ht="12.95" hidden="1" customHeight="1" x14ac:dyDescent="0.2">
      <c r="A53" s="758" t="s">
        <v>93</v>
      </c>
      <c r="B53" s="753"/>
      <c r="C53" s="765" t="s">
        <v>137</v>
      </c>
      <c r="D53" s="192">
        <f t="shared" si="35"/>
        <v>0</v>
      </c>
      <c r="E53" s="192">
        <f t="shared" si="36"/>
        <v>0</v>
      </c>
      <c r="F53" s="536">
        <f t="shared" si="37"/>
        <v>0</v>
      </c>
      <c r="G53" s="838"/>
      <c r="H53" s="838"/>
      <c r="I53" s="837">
        <f t="shared" si="1"/>
        <v>0</v>
      </c>
      <c r="J53" s="838"/>
      <c r="K53" s="838"/>
      <c r="L53" s="837">
        <f t="shared" si="2"/>
        <v>0</v>
      </c>
      <c r="M53" s="838"/>
      <c r="N53" s="838"/>
      <c r="O53" s="837">
        <f t="shared" si="3"/>
        <v>0</v>
      </c>
      <c r="P53" s="838"/>
      <c r="Q53" s="838"/>
      <c r="R53" s="838"/>
      <c r="S53" s="838"/>
      <c r="T53" s="838"/>
      <c r="U53" s="838"/>
      <c r="V53" s="838"/>
      <c r="W53" s="838"/>
      <c r="X53" s="837">
        <f t="shared" si="4"/>
        <v>0</v>
      </c>
      <c r="Y53" s="838"/>
      <c r="Z53" s="838"/>
      <c r="AA53" s="837">
        <f t="shared" si="5"/>
        <v>0</v>
      </c>
      <c r="AB53" s="838"/>
      <c r="AC53" s="838"/>
      <c r="AD53" s="837">
        <f t="shared" si="6"/>
        <v>0</v>
      </c>
      <c r="AE53" s="754"/>
      <c r="AF53" s="754"/>
      <c r="AG53" s="536">
        <f t="shared" si="7"/>
        <v>0</v>
      </c>
    </row>
    <row r="54" spans="1:33" s="38" customFormat="1" ht="12.95" hidden="1" customHeight="1" x14ac:dyDescent="0.2">
      <c r="A54" s="759" t="s">
        <v>93</v>
      </c>
      <c r="B54" s="753"/>
      <c r="C54" s="765" t="s">
        <v>148</v>
      </c>
      <c r="D54" s="192">
        <f t="shared" si="35"/>
        <v>0</v>
      </c>
      <c r="E54" s="192">
        <f t="shared" si="36"/>
        <v>0</v>
      </c>
      <c r="F54" s="536">
        <f t="shared" si="37"/>
        <v>0</v>
      </c>
      <c r="G54" s="755"/>
      <c r="H54" s="755"/>
      <c r="I54" s="837">
        <f t="shared" si="1"/>
        <v>0</v>
      </c>
      <c r="J54" s="755"/>
      <c r="K54" s="755"/>
      <c r="L54" s="837">
        <f t="shared" si="2"/>
        <v>0</v>
      </c>
      <c r="M54" s="755"/>
      <c r="N54" s="755"/>
      <c r="O54" s="837">
        <f t="shared" si="3"/>
        <v>0</v>
      </c>
      <c r="P54" s="755"/>
      <c r="Q54" s="755"/>
      <c r="R54" s="755"/>
      <c r="S54" s="755"/>
      <c r="T54" s="755"/>
      <c r="U54" s="755"/>
      <c r="V54" s="755"/>
      <c r="W54" s="755"/>
      <c r="X54" s="837">
        <f t="shared" si="4"/>
        <v>0</v>
      </c>
      <c r="Y54" s="755"/>
      <c r="Z54" s="755"/>
      <c r="AA54" s="837">
        <f t="shared" si="5"/>
        <v>0</v>
      </c>
      <c r="AB54" s="755"/>
      <c r="AC54" s="755"/>
      <c r="AD54" s="837">
        <f t="shared" si="6"/>
        <v>0</v>
      </c>
      <c r="AE54" s="755"/>
      <c r="AF54" s="755"/>
      <c r="AG54" s="536">
        <f t="shared" si="7"/>
        <v>0</v>
      </c>
    </row>
    <row r="55" spans="1:33" s="38" customFormat="1" ht="12.95" hidden="1" customHeight="1" x14ac:dyDescent="0.2">
      <c r="A55" s="758" t="s">
        <v>93</v>
      </c>
      <c r="B55" s="753"/>
      <c r="C55" s="765" t="s">
        <v>149</v>
      </c>
      <c r="D55" s="192">
        <f t="shared" si="35"/>
        <v>0</v>
      </c>
      <c r="E55" s="192">
        <f t="shared" si="36"/>
        <v>0</v>
      </c>
      <c r="F55" s="536">
        <f t="shared" si="37"/>
        <v>0</v>
      </c>
      <c r="G55" s="838"/>
      <c r="H55" s="838"/>
      <c r="I55" s="837">
        <f t="shared" si="1"/>
        <v>0</v>
      </c>
      <c r="J55" s="838"/>
      <c r="K55" s="838"/>
      <c r="L55" s="837">
        <f t="shared" si="2"/>
        <v>0</v>
      </c>
      <c r="M55" s="838"/>
      <c r="N55" s="838"/>
      <c r="O55" s="837">
        <f t="shared" si="3"/>
        <v>0</v>
      </c>
      <c r="P55" s="838"/>
      <c r="Q55" s="838"/>
      <c r="R55" s="838"/>
      <c r="S55" s="838"/>
      <c r="T55" s="838"/>
      <c r="U55" s="838"/>
      <c r="V55" s="838"/>
      <c r="W55" s="838"/>
      <c r="X55" s="837">
        <f t="shared" si="4"/>
        <v>0</v>
      </c>
      <c r="Y55" s="838"/>
      <c r="Z55" s="838"/>
      <c r="AA55" s="837">
        <f t="shared" si="5"/>
        <v>0</v>
      </c>
      <c r="AB55" s="838"/>
      <c r="AC55" s="838"/>
      <c r="AD55" s="837">
        <f t="shared" si="6"/>
        <v>0</v>
      </c>
      <c r="AE55" s="754"/>
      <c r="AF55" s="754"/>
      <c r="AG55" s="536">
        <f t="shared" si="7"/>
        <v>0</v>
      </c>
    </row>
    <row r="56" spans="1:33" s="42" customFormat="1" ht="12.95" hidden="1" customHeight="1" x14ac:dyDescent="0.2">
      <c r="A56" s="475" t="s">
        <v>94</v>
      </c>
      <c r="B56" s="1192" t="s">
        <v>150</v>
      </c>
      <c r="C56" s="1193"/>
      <c r="D56" s="192">
        <f t="shared" si="35"/>
        <v>0</v>
      </c>
      <c r="E56" s="192">
        <f t="shared" si="36"/>
        <v>0</v>
      </c>
      <c r="F56" s="536">
        <f t="shared" si="37"/>
        <v>0</v>
      </c>
      <c r="G56" s="837"/>
      <c r="H56" s="837"/>
      <c r="I56" s="837">
        <f t="shared" si="1"/>
        <v>0</v>
      </c>
      <c r="J56" s="837"/>
      <c r="K56" s="837"/>
      <c r="L56" s="837">
        <f t="shared" si="2"/>
        <v>0</v>
      </c>
      <c r="M56" s="837"/>
      <c r="N56" s="837"/>
      <c r="O56" s="837">
        <f t="shared" si="3"/>
        <v>0</v>
      </c>
      <c r="P56" s="837"/>
      <c r="Q56" s="837"/>
      <c r="R56" s="837"/>
      <c r="S56" s="837"/>
      <c r="T56" s="837"/>
      <c r="U56" s="837"/>
      <c r="V56" s="837"/>
      <c r="W56" s="837"/>
      <c r="X56" s="837">
        <f t="shared" si="4"/>
        <v>0</v>
      </c>
      <c r="Y56" s="837"/>
      <c r="Z56" s="837"/>
      <c r="AA56" s="837">
        <f t="shared" si="5"/>
        <v>0</v>
      </c>
      <c r="AB56" s="837"/>
      <c r="AC56" s="837"/>
      <c r="AD56" s="837">
        <f t="shared" si="6"/>
        <v>0</v>
      </c>
      <c r="AE56" s="192"/>
      <c r="AF56" s="192"/>
      <c r="AG56" s="536">
        <f t="shared" si="7"/>
        <v>0</v>
      </c>
    </row>
    <row r="57" spans="1:33" ht="7.5" hidden="1" customHeight="1" x14ac:dyDescent="0.25">
      <c r="A57" s="475"/>
      <c r="B57" s="1192"/>
      <c r="C57" s="1193"/>
      <c r="D57" s="192">
        <f t="shared" si="35"/>
        <v>0</v>
      </c>
      <c r="E57" s="192">
        <f t="shared" si="36"/>
        <v>0</v>
      </c>
      <c r="F57" s="536">
        <f t="shared" si="37"/>
        <v>0</v>
      </c>
      <c r="G57" s="837"/>
      <c r="H57" s="837"/>
      <c r="I57" s="837">
        <f t="shared" si="1"/>
        <v>0</v>
      </c>
      <c r="J57" s="837"/>
      <c r="K57" s="837"/>
      <c r="L57" s="837">
        <f t="shared" si="2"/>
        <v>0</v>
      </c>
      <c r="M57" s="837"/>
      <c r="N57" s="837"/>
      <c r="O57" s="837">
        <f t="shared" si="3"/>
        <v>0</v>
      </c>
      <c r="P57" s="575"/>
      <c r="Q57" s="575"/>
      <c r="R57" s="575"/>
      <c r="S57" s="575"/>
      <c r="T57" s="575"/>
      <c r="U57" s="575"/>
      <c r="V57" s="575"/>
      <c r="W57" s="575"/>
      <c r="X57" s="837">
        <f t="shared" si="4"/>
        <v>0</v>
      </c>
      <c r="Y57" s="575"/>
      <c r="Z57" s="575"/>
      <c r="AA57" s="837">
        <f t="shared" si="5"/>
        <v>0</v>
      </c>
      <c r="AB57" s="575"/>
      <c r="AC57" s="575"/>
      <c r="AD57" s="837">
        <f t="shared" si="6"/>
        <v>0</v>
      </c>
      <c r="AE57" s="56"/>
      <c r="AF57" s="56"/>
      <c r="AG57" s="536">
        <f t="shared" si="7"/>
        <v>0</v>
      </c>
    </row>
    <row r="58" spans="1:33" ht="12.95" customHeight="1" x14ac:dyDescent="0.25">
      <c r="A58" s="476" t="s">
        <v>96</v>
      </c>
      <c r="B58" s="1166" t="s">
        <v>95</v>
      </c>
      <c r="C58" s="1218"/>
      <c r="D58" s="535">
        <f t="shared" si="35"/>
        <v>948</v>
      </c>
      <c r="E58" s="53">
        <f t="shared" si="36"/>
        <v>29</v>
      </c>
      <c r="F58" s="474">
        <f t="shared" si="37"/>
        <v>977</v>
      </c>
      <c r="G58" s="763"/>
      <c r="H58" s="417"/>
      <c r="I58" s="699">
        <f t="shared" si="1"/>
        <v>0</v>
      </c>
      <c r="J58" s="417"/>
      <c r="K58" s="417"/>
      <c r="L58" s="699">
        <f t="shared" si="2"/>
        <v>0</v>
      </c>
      <c r="M58" s="417"/>
      <c r="N58" s="417"/>
      <c r="O58" s="699">
        <f t="shared" si="3"/>
        <v>0</v>
      </c>
      <c r="P58" s="417"/>
      <c r="Q58" s="417"/>
      <c r="R58" s="417"/>
      <c r="S58" s="417"/>
      <c r="T58" s="417"/>
      <c r="U58" s="417"/>
      <c r="V58" s="417"/>
      <c r="W58" s="417"/>
      <c r="X58" s="699">
        <f t="shared" si="4"/>
        <v>0</v>
      </c>
      <c r="Y58" s="417"/>
      <c r="Z58" s="417"/>
      <c r="AA58" s="699">
        <f t="shared" si="5"/>
        <v>0</v>
      </c>
      <c r="AB58" s="417"/>
      <c r="AC58" s="417"/>
      <c r="AD58" s="699">
        <f t="shared" si="6"/>
        <v>0</v>
      </c>
      <c r="AE58" s="27">
        <v>948</v>
      </c>
      <c r="AF58" s="27">
        <v>29</v>
      </c>
      <c r="AG58" s="474">
        <f t="shared" si="7"/>
        <v>977</v>
      </c>
    </row>
    <row r="59" spans="1:33" ht="12.95" customHeight="1" x14ac:dyDescent="0.25">
      <c r="A59" s="476" t="s">
        <v>98</v>
      </c>
      <c r="B59" s="1166" t="s">
        <v>97</v>
      </c>
      <c r="C59" s="1218"/>
      <c r="D59" s="535">
        <f t="shared" si="35"/>
        <v>0</v>
      </c>
      <c r="E59" s="53">
        <f t="shared" si="36"/>
        <v>0</v>
      </c>
      <c r="F59" s="474">
        <f t="shared" si="37"/>
        <v>0</v>
      </c>
      <c r="G59" s="763"/>
      <c r="H59" s="417"/>
      <c r="I59" s="699">
        <f t="shared" si="1"/>
        <v>0</v>
      </c>
      <c r="J59" s="417"/>
      <c r="K59" s="417"/>
      <c r="L59" s="699">
        <f t="shared" si="2"/>
        <v>0</v>
      </c>
      <c r="M59" s="417"/>
      <c r="N59" s="417"/>
      <c r="O59" s="699">
        <f t="shared" si="3"/>
        <v>0</v>
      </c>
      <c r="P59" s="417"/>
      <c r="Q59" s="417"/>
      <c r="R59" s="417"/>
      <c r="S59" s="417"/>
      <c r="T59" s="417"/>
      <c r="U59" s="417"/>
      <c r="V59" s="417"/>
      <c r="W59" s="417"/>
      <c r="X59" s="699">
        <f t="shared" si="4"/>
        <v>0</v>
      </c>
      <c r="Y59" s="417"/>
      <c r="Z59" s="417"/>
      <c r="AA59" s="699">
        <f t="shared" si="5"/>
        <v>0</v>
      </c>
      <c r="AB59" s="417"/>
      <c r="AC59" s="417"/>
      <c r="AD59" s="699">
        <f t="shared" si="6"/>
        <v>0</v>
      </c>
      <c r="AE59" s="27"/>
      <c r="AF59" s="27"/>
      <c r="AG59" s="474">
        <f t="shared" si="7"/>
        <v>0</v>
      </c>
    </row>
    <row r="60" spans="1:33" ht="12.95" customHeight="1" x14ac:dyDescent="0.25">
      <c r="A60" s="476" t="s">
        <v>101</v>
      </c>
      <c r="B60" s="1166" t="s">
        <v>165</v>
      </c>
      <c r="C60" s="1218"/>
      <c r="D60" s="535">
        <f t="shared" si="35"/>
        <v>0</v>
      </c>
      <c r="E60" s="53">
        <f t="shared" si="36"/>
        <v>0</v>
      </c>
      <c r="F60" s="474">
        <f t="shared" si="37"/>
        <v>0</v>
      </c>
      <c r="G60" s="763"/>
      <c r="H60" s="417"/>
      <c r="I60" s="699">
        <f t="shared" si="1"/>
        <v>0</v>
      </c>
      <c r="J60" s="417"/>
      <c r="K60" s="417"/>
      <c r="L60" s="699">
        <f t="shared" si="2"/>
        <v>0</v>
      </c>
      <c r="M60" s="417"/>
      <c r="N60" s="417"/>
      <c r="O60" s="699">
        <f t="shared" si="3"/>
        <v>0</v>
      </c>
      <c r="P60" s="417"/>
      <c r="Q60" s="417"/>
      <c r="R60" s="417"/>
      <c r="S60" s="417"/>
      <c r="T60" s="417"/>
      <c r="U60" s="417"/>
      <c r="V60" s="417"/>
      <c r="W60" s="417"/>
      <c r="X60" s="699">
        <f t="shared" si="4"/>
        <v>0</v>
      </c>
      <c r="Y60" s="417"/>
      <c r="Z60" s="417"/>
      <c r="AA60" s="699">
        <f t="shared" si="5"/>
        <v>0</v>
      </c>
      <c r="AB60" s="417"/>
      <c r="AC60" s="417"/>
      <c r="AD60" s="699">
        <f t="shared" si="6"/>
        <v>0</v>
      </c>
      <c r="AE60" s="27"/>
      <c r="AF60" s="27"/>
      <c r="AG60" s="474">
        <f t="shared" si="7"/>
        <v>0</v>
      </c>
    </row>
    <row r="61" spans="1:33" ht="12.95" customHeight="1" x14ac:dyDescent="0.25">
      <c r="A61" s="476" t="s">
        <v>103</v>
      </c>
      <c r="B61" s="1166" t="s">
        <v>102</v>
      </c>
      <c r="C61" s="1218"/>
      <c r="D61" s="535">
        <f t="shared" si="35"/>
        <v>0</v>
      </c>
      <c r="E61" s="53">
        <f t="shared" si="36"/>
        <v>0</v>
      </c>
      <c r="F61" s="474">
        <f t="shared" si="37"/>
        <v>0</v>
      </c>
      <c r="G61" s="763"/>
      <c r="H61" s="417"/>
      <c r="I61" s="699">
        <f t="shared" si="1"/>
        <v>0</v>
      </c>
      <c r="J61" s="417"/>
      <c r="K61" s="417"/>
      <c r="L61" s="699">
        <f t="shared" si="2"/>
        <v>0</v>
      </c>
      <c r="M61" s="417"/>
      <c r="N61" s="417"/>
      <c r="O61" s="699">
        <f t="shared" si="3"/>
        <v>0</v>
      </c>
      <c r="P61" s="417"/>
      <c r="Q61" s="417"/>
      <c r="R61" s="417"/>
      <c r="S61" s="417"/>
      <c r="T61" s="417"/>
      <c r="U61" s="417"/>
      <c r="V61" s="417"/>
      <c r="W61" s="417"/>
      <c r="X61" s="699">
        <f t="shared" si="4"/>
        <v>0</v>
      </c>
      <c r="Y61" s="417"/>
      <c r="Z61" s="417"/>
      <c r="AA61" s="699">
        <f t="shared" si="5"/>
        <v>0</v>
      </c>
      <c r="AB61" s="417"/>
      <c r="AC61" s="417"/>
      <c r="AD61" s="699">
        <f t="shared" si="6"/>
        <v>0</v>
      </c>
      <c r="AE61" s="27"/>
      <c r="AF61" s="27"/>
      <c r="AG61" s="474">
        <f t="shared" si="7"/>
        <v>0</v>
      </c>
    </row>
    <row r="62" spans="1:33" ht="12.95" customHeight="1" x14ac:dyDescent="0.25">
      <c r="A62" s="476" t="s">
        <v>105</v>
      </c>
      <c r="B62" s="1166" t="s">
        <v>164</v>
      </c>
      <c r="C62" s="1218"/>
      <c r="D62" s="535">
        <f t="shared" si="35"/>
        <v>0</v>
      </c>
      <c r="E62" s="53">
        <f t="shared" si="36"/>
        <v>0</v>
      </c>
      <c r="F62" s="474">
        <f t="shared" si="37"/>
        <v>0</v>
      </c>
      <c r="G62" s="763"/>
      <c r="H62" s="417"/>
      <c r="I62" s="699">
        <f t="shared" si="1"/>
        <v>0</v>
      </c>
      <c r="J62" s="417"/>
      <c r="K62" s="417"/>
      <c r="L62" s="699">
        <f t="shared" si="2"/>
        <v>0</v>
      </c>
      <c r="M62" s="417"/>
      <c r="N62" s="417"/>
      <c r="O62" s="699">
        <f t="shared" si="3"/>
        <v>0</v>
      </c>
      <c r="P62" s="417"/>
      <c r="Q62" s="417"/>
      <c r="R62" s="417"/>
      <c r="S62" s="417"/>
      <c r="T62" s="417"/>
      <c r="U62" s="417"/>
      <c r="V62" s="417"/>
      <c r="W62" s="417"/>
      <c r="X62" s="699">
        <f t="shared" si="4"/>
        <v>0</v>
      </c>
      <c r="Y62" s="417"/>
      <c r="Z62" s="417"/>
      <c r="AA62" s="699">
        <f t="shared" si="5"/>
        <v>0</v>
      </c>
      <c r="AB62" s="417">
        <v>0</v>
      </c>
      <c r="AC62" s="417"/>
      <c r="AD62" s="699">
        <f t="shared" si="6"/>
        <v>0</v>
      </c>
      <c r="AE62" s="27"/>
      <c r="AF62" s="27"/>
      <c r="AG62" s="474">
        <f t="shared" si="7"/>
        <v>0</v>
      </c>
    </row>
    <row r="63" spans="1:33" ht="12.95" customHeight="1" x14ac:dyDescent="0.25">
      <c r="A63" s="476" t="s">
        <v>107</v>
      </c>
      <c r="B63" s="1171" t="s">
        <v>106</v>
      </c>
      <c r="C63" s="1145"/>
      <c r="D63" s="535">
        <f t="shared" si="35"/>
        <v>117576</v>
      </c>
      <c r="E63" s="53">
        <f t="shared" si="36"/>
        <v>-86626</v>
      </c>
      <c r="F63" s="474">
        <f t="shared" si="37"/>
        <v>30950</v>
      </c>
      <c r="G63" s="763"/>
      <c r="H63" s="417"/>
      <c r="I63" s="699">
        <f t="shared" si="1"/>
        <v>0</v>
      </c>
      <c r="J63" s="417"/>
      <c r="K63" s="417"/>
      <c r="L63" s="699">
        <f t="shared" si="2"/>
        <v>0</v>
      </c>
      <c r="M63" s="417"/>
      <c r="N63" s="417"/>
      <c r="O63" s="699">
        <f t="shared" si="3"/>
        <v>0</v>
      </c>
      <c r="P63" s="417"/>
      <c r="Q63" s="417"/>
      <c r="R63" s="417"/>
      <c r="S63" s="417"/>
      <c r="T63" s="417"/>
      <c r="U63" s="417"/>
      <c r="V63" s="417"/>
      <c r="W63" s="417"/>
      <c r="X63" s="699">
        <f t="shared" si="4"/>
        <v>0</v>
      </c>
      <c r="Y63" s="417"/>
      <c r="Z63" s="417"/>
      <c r="AA63" s="699">
        <f t="shared" si="5"/>
        <v>0</v>
      </c>
      <c r="AB63" s="417"/>
      <c r="AC63" s="417"/>
      <c r="AD63" s="699">
        <f t="shared" si="6"/>
        <v>0</v>
      </c>
      <c r="AE63" s="27">
        <f>+SUM(AE64:AE74)</f>
        <v>117576</v>
      </c>
      <c r="AF63" s="27">
        <f>+SUM(AF64:AF74)</f>
        <v>-86626</v>
      </c>
      <c r="AG63" s="474">
        <f>+AF63+AE63</f>
        <v>30950</v>
      </c>
    </row>
    <row r="64" spans="1:33" ht="12.95" customHeight="1" x14ac:dyDescent="0.25">
      <c r="A64" s="476"/>
      <c r="B64" s="687"/>
      <c r="C64" s="733" t="s">
        <v>815</v>
      </c>
      <c r="D64" s="29">
        <f t="shared" si="35"/>
        <v>356</v>
      </c>
      <c r="E64" s="27">
        <f t="shared" si="36"/>
        <v>0</v>
      </c>
      <c r="F64" s="477">
        <f t="shared" si="37"/>
        <v>356</v>
      </c>
      <c r="G64" s="763"/>
      <c r="H64" s="417"/>
      <c r="I64" s="699">
        <f t="shared" si="1"/>
        <v>0</v>
      </c>
      <c r="J64" s="417"/>
      <c r="K64" s="417"/>
      <c r="L64" s="699">
        <f t="shared" si="2"/>
        <v>0</v>
      </c>
      <c r="M64" s="417"/>
      <c r="N64" s="417"/>
      <c r="O64" s="699">
        <f t="shared" si="3"/>
        <v>0</v>
      </c>
      <c r="P64" s="417"/>
      <c r="Q64" s="417"/>
      <c r="R64" s="417"/>
      <c r="S64" s="417"/>
      <c r="T64" s="417"/>
      <c r="U64" s="417"/>
      <c r="V64" s="417"/>
      <c r="W64" s="417"/>
      <c r="X64" s="699">
        <f t="shared" si="4"/>
        <v>0</v>
      </c>
      <c r="Y64" s="417"/>
      <c r="Z64" s="417"/>
      <c r="AA64" s="699">
        <f t="shared" si="5"/>
        <v>0</v>
      </c>
      <c r="AB64" s="417"/>
      <c r="AC64" s="417"/>
      <c r="AD64" s="699">
        <f t="shared" si="6"/>
        <v>0</v>
      </c>
      <c r="AE64" s="417">
        <v>356</v>
      </c>
      <c r="AF64" s="27"/>
      <c r="AG64" s="474">
        <f t="shared" si="7"/>
        <v>356</v>
      </c>
    </row>
    <row r="65" spans="1:36" ht="12.95" customHeight="1" x14ac:dyDescent="0.25">
      <c r="A65" s="476"/>
      <c r="B65" s="687"/>
      <c r="C65" s="733" t="s">
        <v>657</v>
      </c>
      <c r="D65" s="29">
        <f t="shared" si="35"/>
        <v>0</v>
      </c>
      <c r="E65" s="27">
        <f t="shared" si="36"/>
        <v>0</v>
      </c>
      <c r="F65" s="477">
        <f t="shared" si="37"/>
        <v>0</v>
      </c>
      <c r="G65" s="763"/>
      <c r="H65" s="417"/>
      <c r="I65" s="699">
        <f t="shared" si="1"/>
        <v>0</v>
      </c>
      <c r="J65" s="417"/>
      <c r="K65" s="417"/>
      <c r="L65" s="699">
        <f t="shared" si="2"/>
        <v>0</v>
      </c>
      <c r="M65" s="417"/>
      <c r="N65" s="417"/>
      <c r="O65" s="699">
        <f t="shared" si="3"/>
        <v>0</v>
      </c>
      <c r="P65" s="417"/>
      <c r="Q65" s="417"/>
      <c r="R65" s="417"/>
      <c r="S65" s="417"/>
      <c r="T65" s="417"/>
      <c r="U65" s="417"/>
      <c r="V65" s="417"/>
      <c r="W65" s="417"/>
      <c r="X65" s="699">
        <f t="shared" si="4"/>
        <v>0</v>
      </c>
      <c r="Y65" s="417"/>
      <c r="Z65" s="417"/>
      <c r="AA65" s="699">
        <f t="shared" si="5"/>
        <v>0</v>
      </c>
      <c r="AB65" s="417"/>
      <c r="AC65" s="417"/>
      <c r="AD65" s="699">
        <f t="shared" si="6"/>
        <v>0</v>
      </c>
      <c r="AE65" s="417"/>
      <c r="AF65" s="27"/>
      <c r="AG65" s="474">
        <f t="shared" si="7"/>
        <v>0</v>
      </c>
    </row>
    <row r="66" spans="1:36" ht="12.95" customHeight="1" x14ac:dyDescent="0.25">
      <c r="A66" s="476"/>
      <c r="B66" s="687"/>
      <c r="C66" s="733" t="s">
        <v>862</v>
      </c>
      <c r="D66" s="29">
        <f t="shared" si="35"/>
        <v>10682</v>
      </c>
      <c r="E66" s="27">
        <f t="shared" si="36"/>
        <v>0</v>
      </c>
      <c r="F66" s="477">
        <f t="shared" si="37"/>
        <v>10682</v>
      </c>
      <c r="G66" s="763"/>
      <c r="H66" s="417"/>
      <c r="I66" s="699">
        <f t="shared" si="1"/>
        <v>0</v>
      </c>
      <c r="J66" s="417"/>
      <c r="K66" s="417"/>
      <c r="L66" s="699">
        <f t="shared" si="2"/>
        <v>0</v>
      </c>
      <c r="M66" s="417"/>
      <c r="N66" s="417"/>
      <c r="O66" s="699">
        <f t="shared" si="3"/>
        <v>0</v>
      </c>
      <c r="P66" s="417"/>
      <c r="Q66" s="417"/>
      <c r="R66" s="417"/>
      <c r="S66" s="417"/>
      <c r="T66" s="417"/>
      <c r="U66" s="417"/>
      <c r="V66" s="417"/>
      <c r="W66" s="417"/>
      <c r="X66" s="699">
        <f t="shared" si="4"/>
        <v>0</v>
      </c>
      <c r="Y66" s="417"/>
      <c r="Z66" s="417"/>
      <c r="AA66" s="699">
        <f t="shared" si="5"/>
        <v>0</v>
      </c>
      <c r="AB66" s="417"/>
      <c r="AC66" s="417"/>
      <c r="AD66" s="699">
        <f t="shared" si="6"/>
        <v>0</v>
      </c>
      <c r="AE66" s="417">
        <v>10682</v>
      </c>
      <c r="AF66" s="27"/>
      <c r="AG66" s="474">
        <f t="shared" si="7"/>
        <v>10682</v>
      </c>
    </row>
    <row r="67" spans="1:36" ht="12.95" customHeight="1" x14ac:dyDescent="0.25">
      <c r="A67" s="476"/>
      <c r="B67" s="687"/>
      <c r="C67" s="733" t="s">
        <v>617</v>
      </c>
      <c r="D67" s="29">
        <f t="shared" si="35"/>
        <v>0</v>
      </c>
      <c r="E67" s="27">
        <f t="shared" si="36"/>
        <v>0</v>
      </c>
      <c r="F67" s="477">
        <f t="shared" si="37"/>
        <v>0</v>
      </c>
      <c r="G67" s="763"/>
      <c r="H67" s="417"/>
      <c r="I67" s="699">
        <f t="shared" si="1"/>
        <v>0</v>
      </c>
      <c r="J67" s="417"/>
      <c r="K67" s="417"/>
      <c r="L67" s="699">
        <f t="shared" si="2"/>
        <v>0</v>
      </c>
      <c r="M67" s="417"/>
      <c r="N67" s="417"/>
      <c r="O67" s="699">
        <f t="shared" si="3"/>
        <v>0</v>
      </c>
      <c r="P67" s="417"/>
      <c r="Q67" s="417"/>
      <c r="R67" s="417"/>
      <c r="S67" s="417"/>
      <c r="T67" s="417"/>
      <c r="U67" s="417"/>
      <c r="V67" s="417"/>
      <c r="W67" s="417"/>
      <c r="X67" s="699">
        <f t="shared" si="4"/>
        <v>0</v>
      </c>
      <c r="Y67" s="417"/>
      <c r="Z67" s="417"/>
      <c r="AA67" s="699">
        <f t="shared" si="5"/>
        <v>0</v>
      </c>
      <c r="AB67" s="417"/>
      <c r="AC67" s="417"/>
      <c r="AD67" s="699">
        <f t="shared" si="6"/>
        <v>0</v>
      </c>
      <c r="AE67" s="27"/>
      <c r="AF67" s="27"/>
      <c r="AG67" s="474">
        <f t="shared" si="7"/>
        <v>0</v>
      </c>
    </row>
    <row r="68" spans="1:36" ht="12.95" customHeight="1" x14ac:dyDescent="0.25">
      <c r="A68" s="476"/>
      <c r="B68" s="687"/>
      <c r="C68" s="733" t="s">
        <v>688</v>
      </c>
      <c r="D68" s="29">
        <f t="shared" si="35"/>
        <v>0</v>
      </c>
      <c r="E68" s="27">
        <f t="shared" si="36"/>
        <v>0</v>
      </c>
      <c r="F68" s="477">
        <f t="shared" si="37"/>
        <v>0</v>
      </c>
      <c r="G68" s="763"/>
      <c r="H68" s="417"/>
      <c r="I68" s="699">
        <f t="shared" si="1"/>
        <v>0</v>
      </c>
      <c r="J68" s="417"/>
      <c r="K68" s="417"/>
      <c r="L68" s="699">
        <f t="shared" si="2"/>
        <v>0</v>
      </c>
      <c r="M68" s="417"/>
      <c r="N68" s="417"/>
      <c r="O68" s="699">
        <f t="shared" si="3"/>
        <v>0</v>
      </c>
      <c r="P68" s="417"/>
      <c r="Q68" s="417"/>
      <c r="R68" s="417"/>
      <c r="S68" s="417"/>
      <c r="T68" s="417"/>
      <c r="U68" s="417"/>
      <c r="V68" s="417"/>
      <c r="W68" s="417"/>
      <c r="X68" s="699">
        <f t="shared" si="4"/>
        <v>0</v>
      </c>
      <c r="Y68" s="417"/>
      <c r="Z68" s="417"/>
      <c r="AA68" s="699">
        <f t="shared" si="5"/>
        <v>0</v>
      </c>
      <c r="AB68" s="417"/>
      <c r="AC68" s="417"/>
      <c r="AD68" s="699">
        <f t="shared" si="6"/>
        <v>0</v>
      </c>
      <c r="AE68" s="27"/>
      <c r="AF68" s="27"/>
      <c r="AG68" s="474">
        <f t="shared" si="7"/>
        <v>0</v>
      </c>
    </row>
    <row r="69" spans="1:36" ht="12.95" customHeight="1" x14ac:dyDescent="0.25">
      <c r="A69" s="476"/>
      <c r="B69" s="687"/>
      <c r="C69" s="733" t="s">
        <v>619</v>
      </c>
      <c r="D69" s="29">
        <f t="shared" si="35"/>
        <v>-3509</v>
      </c>
      <c r="E69" s="27">
        <f t="shared" si="36"/>
        <v>3226</v>
      </c>
      <c r="F69" s="477">
        <f t="shared" si="37"/>
        <v>-283</v>
      </c>
      <c r="G69" s="763"/>
      <c r="H69" s="417"/>
      <c r="I69" s="699">
        <f t="shared" si="1"/>
        <v>0</v>
      </c>
      <c r="J69" s="417"/>
      <c r="K69" s="417"/>
      <c r="L69" s="699">
        <f t="shared" si="2"/>
        <v>0</v>
      </c>
      <c r="M69" s="417"/>
      <c r="N69" s="417"/>
      <c r="O69" s="699">
        <f t="shared" si="3"/>
        <v>0</v>
      </c>
      <c r="P69" s="417"/>
      <c r="Q69" s="417"/>
      <c r="R69" s="417"/>
      <c r="S69" s="417"/>
      <c r="T69" s="417"/>
      <c r="U69" s="417"/>
      <c r="V69" s="417"/>
      <c r="W69" s="417"/>
      <c r="X69" s="699">
        <f t="shared" si="4"/>
        <v>0</v>
      </c>
      <c r="Y69" s="417"/>
      <c r="Z69" s="417"/>
      <c r="AA69" s="699">
        <f t="shared" si="5"/>
        <v>0</v>
      </c>
      <c r="AB69" s="417"/>
      <c r="AC69" s="417"/>
      <c r="AD69" s="699">
        <f t="shared" si="6"/>
        <v>0</v>
      </c>
      <c r="AE69" s="27">
        <v>-3509</v>
      </c>
      <c r="AF69" s="27">
        <v>3226</v>
      </c>
      <c r="AG69" s="474">
        <f t="shared" si="7"/>
        <v>-283</v>
      </c>
    </row>
    <row r="70" spans="1:36" ht="12.95" customHeight="1" x14ac:dyDescent="0.25">
      <c r="A70" s="476"/>
      <c r="B70" s="687"/>
      <c r="C70" s="733" t="s">
        <v>717</v>
      </c>
      <c r="D70" s="29">
        <f t="shared" si="35"/>
        <v>4091</v>
      </c>
      <c r="E70" s="27">
        <f t="shared" si="36"/>
        <v>-4087</v>
      </c>
      <c r="F70" s="477">
        <f t="shared" si="37"/>
        <v>4</v>
      </c>
      <c r="G70" s="763"/>
      <c r="H70" s="417"/>
      <c r="I70" s="699">
        <f t="shared" si="1"/>
        <v>0</v>
      </c>
      <c r="J70" s="417"/>
      <c r="K70" s="417"/>
      <c r="L70" s="699">
        <f t="shared" si="2"/>
        <v>0</v>
      </c>
      <c r="M70" s="417"/>
      <c r="N70" s="417"/>
      <c r="O70" s="699">
        <f t="shared" si="3"/>
        <v>0</v>
      </c>
      <c r="P70" s="417"/>
      <c r="Q70" s="417"/>
      <c r="R70" s="417"/>
      <c r="S70" s="417"/>
      <c r="T70" s="417"/>
      <c r="U70" s="417"/>
      <c r="V70" s="417"/>
      <c r="W70" s="417"/>
      <c r="X70" s="699">
        <f t="shared" si="4"/>
        <v>0</v>
      </c>
      <c r="Y70" s="417"/>
      <c r="Z70" s="417"/>
      <c r="AA70" s="699">
        <f t="shared" si="5"/>
        <v>0</v>
      </c>
      <c r="AB70" s="417"/>
      <c r="AC70" s="417"/>
      <c r="AD70" s="699">
        <f t="shared" si="6"/>
        <v>0</v>
      </c>
      <c r="AE70" s="27">
        <v>4091</v>
      </c>
      <c r="AF70" s="27">
        <f>-4091+4</f>
        <v>-4087</v>
      </c>
      <c r="AG70" s="474">
        <f t="shared" si="7"/>
        <v>4</v>
      </c>
    </row>
    <row r="71" spans="1:36" s="590" customFormat="1" ht="12.95" customHeight="1" x14ac:dyDescent="0.25">
      <c r="A71" s="476"/>
      <c r="B71" s="687"/>
      <c r="C71" s="733" t="s">
        <v>715</v>
      </c>
      <c r="D71" s="763">
        <f t="shared" si="35"/>
        <v>0</v>
      </c>
      <c r="E71" s="417">
        <f t="shared" si="36"/>
        <v>0</v>
      </c>
      <c r="F71" s="764">
        <f t="shared" si="37"/>
        <v>0</v>
      </c>
      <c r="G71" s="763"/>
      <c r="H71" s="417"/>
      <c r="I71" s="699">
        <f t="shared" ref="I71:I107" si="38">+H71+G71</f>
        <v>0</v>
      </c>
      <c r="J71" s="417"/>
      <c r="K71" s="417"/>
      <c r="L71" s="699">
        <f t="shared" ref="L71:L107" si="39">+K71+J71</f>
        <v>0</v>
      </c>
      <c r="M71" s="417"/>
      <c r="N71" s="417"/>
      <c r="O71" s="699">
        <f t="shared" ref="O71:O107" si="40">+N71+M71</f>
        <v>0</v>
      </c>
      <c r="P71" s="417"/>
      <c r="Q71" s="417"/>
      <c r="R71" s="417"/>
      <c r="S71" s="417"/>
      <c r="T71" s="417"/>
      <c r="U71" s="417"/>
      <c r="V71" s="417"/>
      <c r="W71" s="417"/>
      <c r="X71" s="699">
        <f t="shared" ref="X71:X107" si="41">+W71+V71</f>
        <v>0</v>
      </c>
      <c r="Y71" s="417"/>
      <c r="Z71" s="417"/>
      <c r="AA71" s="699">
        <f t="shared" ref="AA71:AA107" si="42">+Z71+Y71</f>
        <v>0</v>
      </c>
      <c r="AB71" s="417"/>
      <c r="AC71" s="417"/>
      <c r="AD71" s="699">
        <f t="shared" ref="AD71:AD107" si="43">+AC71+AB71</f>
        <v>0</v>
      </c>
      <c r="AE71" s="417"/>
      <c r="AF71" s="417"/>
      <c r="AG71" s="474">
        <f t="shared" ref="AG71:AG106" si="44">+AF71+AE71</f>
        <v>0</v>
      </c>
      <c r="AH71" s="756"/>
      <c r="AI71" s="756"/>
      <c r="AJ71" s="756"/>
    </row>
    <row r="72" spans="1:36" s="590" customFormat="1" ht="12.95" customHeight="1" x14ac:dyDescent="0.25">
      <c r="A72" s="476"/>
      <c r="B72" s="769"/>
      <c r="C72" s="770" t="s">
        <v>800</v>
      </c>
      <c r="D72" s="763">
        <f t="shared" si="35"/>
        <v>0</v>
      </c>
      <c r="E72" s="417">
        <f t="shared" si="36"/>
        <v>0</v>
      </c>
      <c r="F72" s="764">
        <f t="shared" si="37"/>
        <v>0</v>
      </c>
      <c r="G72" s="763"/>
      <c r="H72" s="417"/>
      <c r="I72" s="699"/>
      <c r="J72" s="417"/>
      <c r="K72" s="417"/>
      <c r="L72" s="699"/>
      <c r="M72" s="417"/>
      <c r="N72" s="417"/>
      <c r="O72" s="699"/>
      <c r="P72" s="417"/>
      <c r="Q72" s="417"/>
      <c r="R72" s="417"/>
      <c r="S72" s="417"/>
      <c r="T72" s="417"/>
      <c r="U72" s="417"/>
      <c r="V72" s="417"/>
      <c r="W72" s="417"/>
      <c r="X72" s="699"/>
      <c r="Y72" s="417"/>
      <c r="Z72" s="417"/>
      <c r="AA72" s="699"/>
      <c r="AB72" s="417"/>
      <c r="AC72" s="417"/>
      <c r="AD72" s="699"/>
      <c r="AE72" s="417"/>
      <c r="AF72" s="417"/>
      <c r="AG72" s="474"/>
      <c r="AH72" s="756"/>
      <c r="AI72" s="756"/>
      <c r="AJ72" s="756"/>
    </row>
    <row r="73" spans="1:36" ht="12.95" customHeight="1" x14ac:dyDescent="0.25">
      <c r="A73" s="476"/>
      <c r="B73" s="687"/>
      <c r="C73" s="733" t="s">
        <v>618</v>
      </c>
      <c r="D73" s="29">
        <f t="shared" si="35"/>
        <v>22176</v>
      </c>
      <c r="E73" s="417">
        <f t="shared" si="36"/>
        <v>-12692</v>
      </c>
      <c r="F73" s="764">
        <f t="shared" si="37"/>
        <v>9484</v>
      </c>
      <c r="G73" s="763"/>
      <c r="H73" s="417"/>
      <c r="I73" s="699">
        <f t="shared" si="38"/>
        <v>0</v>
      </c>
      <c r="J73" s="417"/>
      <c r="K73" s="417"/>
      <c r="L73" s="699">
        <f t="shared" si="39"/>
        <v>0</v>
      </c>
      <c r="M73" s="417"/>
      <c r="N73" s="417"/>
      <c r="O73" s="699">
        <f t="shared" si="40"/>
        <v>0</v>
      </c>
      <c r="P73" s="417"/>
      <c r="Q73" s="417"/>
      <c r="R73" s="417"/>
      <c r="S73" s="417"/>
      <c r="T73" s="417"/>
      <c r="U73" s="417"/>
      <c r="V73" s="417"/>
      <c r="W73" s="417"/>
      <c r="X73" s="699">
        <f t="shared" si="41"/>
        <v>0</v>
      </c>
      <c r="Y73" s="417"/>
      <c r="Z73" s="417"/>
      <c r="AA73" s="699">
        <f t="shared" si="42"/>
        <v>0</v>
      </c>
      <c r="AB73" s="417"/>
      <c r="AC73" s="417"/>
      <c r="AD73" s="699">
        <f t="shared" si="43"/>
        <v>0</v>
      </c>
      <c r="AE73" s="417">
        <v>22176</v>
      </c>
      <c r="AF73" s="27">
        <f>-12688-4</f>
        <v>-12692</v>
      </c>
      <c r="AG73" s="474">
        <f t="shared" si="44"/>
        <v>9484</v>
      </c>
    </row>
    <row r="74" spans="1:36" ht="12.95" customHeight="1" x14ac:dyDescent="0.25">
      <c r="A74" s="476"/>
      <c r="B74" s="687"/>
      <c r="C74" s="733" t="s">
        <v>599</v>
      </c>
      <c r="D74" s="29">
        <f t="shared" si="35"/>
        <v>83780</v>
      </c>
      <c r="E74" s="27">
        <f t="shared" si="36"/>
        <v>-73073</v>
      </c>
      <c r="F74" s="764">
        <f t="shared" si="37"/>
        <v>10707</v>
      </c>
      <c r="G74" s="763"/>
      <c r="H74" s="417"/>
      <c r="I74" s="699">
        <f t="shared" si="38"/>
        <v>0</v>
      </c>
      <c r="J74" s="417"/>
      <c r="K74" s="417"/>
      <c r="L74" s="699">
        <f t="shared" si="39"/>
        <v>0</v>
      </c>
      <c r="M74" s="417"/>
      <c r="N74" s="417"/>
      <c r="O74" s="699">
        <f t="shared" si="40"/>
        <v>0</v>
      </c>
      <c r="P74" s="417"/>
      <c r="Q74" s="417"/>
      <c r="R74" s="417"/>
      <c r="S74" s="417"/>
      <c r="T74" s="417"/>
      <c r="U74" s="417"/>
      <c r="V74" s="417"/>
      <c r="W74" s="417"/>
      <c r="X74" s="699">
        <f t="shared" si="41"/>
        <v>0</v>
      </c>
      <c r="Y74" s="417"/>
      <c r="Z74" s="417"/>
      <c r="AA74" s="699">
        <f t="shared" si="42"/>
        <v>0</v>
      </c>
      <c r="AB74" s="417"/>
      <c r="AC74" s="417"/>
      <c r="AD74" s="699">
        <f t="shared" si="43"/>
        <v>0</v>
      </c>
      <c r="AE74" s="27">
        <v>83780</v>
      </c>
      <c r="AF74" s="27">
        <v>-73073</v>
      </c>
      <c r="AG74" s="474">
        <f t="shared" si="44"/>
        <v>10707</v>
      </c>
    </row>
    <row r="75" spans="1:36" s="42" customFormat="1" ht="12.95" customHeight="1" x14ac:dyDescent="0.2">
      <c r="A75" s="405" t="s">
        <v>108</v>
      </c>
      <c r="B75" s="1142" t="s">
        <v>163</v>
      </c>
      <c r="C75" s="1143"/>
      <c r="D75" s="535">
        <f t="shared" si="35"/>
        <v>118524</v>
      </c>
      <c r="E75" s="53">
        <f t="shared" si="36"/>
        <v>-86597</v>
      </c>
      <c r="F75" s="474">
        <f t="shared" si="37"/>
        <v>31927</v>
      </c>
      <c r="G75" s="927">
        <f>+G63+G62+G61+G60+G59+G58</f>
        <v>0</v>
      </c>
      <c r="H75" s="699">
        <f>+H63+H62+H61+H60+H59+H58</f>
        <v>0</v>
      </c>
      <c r="I75" s="699">
        <f t="shared" si="38"/>
        <v>0</v>
      </c>
      <c r="J75" s="699"/>
      <c r="K75" s="699"/>
      <c r="L75" s="699">
        <f t="shared" si="39"/>
        <v>0</v>
      </c>
      <c r="M75" s="699"/>
      <c r="N75" s="699"/>
      <c r="O75" s="699">
        <f t="shared" si="40"/>
        <v>0</v>
      </c>
      <c r="P75" s="699">
        <f t="shared" ref="P75:W75" si="45">+P63+P62+P61+P60+P59+P58</f>
        <v>0</v>
      </c>
      <c r="Q75" s="699">
        <f t="shared" si="45"/>
        <v>0</v>
      </c>
      <c r="R75" s="699">
        <f t="shared" si="45"/>
        <v>0</v>
      </c>
      <c r="S75" s="699">
        <f t="shared" si="45"/>
        <v>0</v>
      </c>
      <c r="T75" s="699">
        <f t="shared" si="45"/>
        <v>0</v>
      </c>
      <c r="U75" s="699">
        <f t="shared" si="45"/>
        <v>0</v>
      </c>
      <c r="V75" s="699">
        <f t="shared" si="45"/>
        <v>0</v>
      </c>
      <c r="W75" s="699">
        <f t="shared" si="45"/>
        <v>0</v>
      </c>
      <c r="X75" s="699">
        <f t="shared" si="41"/>
        <v>0</v>
      </c>
      <c r="Y75" s="699">
        <f t="shared" ref="Y75:Z75" si="46">+Y63+Y62+Y61+Y60+Y59+Y58</f>
        <v>0</v>
      </c>
      <c r="Z75" s="699">
        <f t="shared" si="46"/>
        <v>0</v>
      </c>
      <c r="AA75" s="699">
        <f t="shared" si="42"/>
        <v>0</v>
      </c>
      <c r="AB75" s="699">
        <f>+AB63+AB62+AB61+AB60+AB59+AB58</f>
        <v>0</v>
      </c>
      <c r="AC75" s="699"/>
      <c r="AD75" s="699">
        <f t="shared" si="43"/>
        <v>0</v>
      </c>
      <c r="AE75" s="53">
        <f>+AE63+AE62+AE61+AE60+AE59+AE58</f>
        <v>118524</v>
      </c>
      <c r="AF75" s="53">
        <f>+AF63+AF62+AF61+AF60+AF59+AF58</f>
        <v>-86597</v>
      </c>
      <c r="AG75" s="474">
        <f>+AF75+AE75</f>
        <v>31927</v>
      </c>
    </row>
    <row r="76" spans="1:36" ht="11.25" customHeight="1" x14ac:dyDescent="0.25">
      <c r="A76" s="475"/>
      <c r="B76" s="408"/>
      <c r="C76" s="1046"/>
      <c r="D76" s="192"/>
      <c r="E76" s="192"/>
      <c r="F76" s="536"/>
      <c r="G76" s="575"/>
      <c r="H76" s="575"/>
      <c r="I76" s="837"/>
      <c r="J76" s="575"/>
      <c r="K76" s="575"/>
      <c r="L76" s="837"/>
      <c r="M76" s="575"/>
      <c r="N76" s="575"/>
      <c r="O76" s="837"/>
      <c r="P76" s="575"/>
      <c r="Q76" s="575"/>
      <c r="R76" s="575"/>
      <c r="S76" s="575"/>
      <c r="T76" s="575"/>
      <c r="U76" s="575"/>
      <c r="V76" s="575"/>
      <c r="W76" s="575"/>
      <c r="X76" s="837"/>
      <c r="Y76" s="575"/>
      <c r="Z76" s="575"/>
      <c r="AA76" s="837"/>
      <c r="AB76" s="575"/>
      <c r="AC76" s="575"/>
      <c r="AD76" s="837"/>
      <c r="AE76" s="56"/>
      <c r="AF76" s="56"/>
      <c r="AG76" s="536"/>
    </row>
    <row r="77" spans="1:36" ht="12.95" customHeight="1" x14ac:dyDescent="0.25">
      <c r="A77" s="10" t="s">
        <v>110</v>
      </c>
      <c r="B77" s="1144" t="s">
        <v>109</v>
      </c>
      <c r="C77" s="1145"/>
      <c r="D77" s="535">
        <f t="shared" ref="D77:D96" si="47">+G77+M77+P77+S77+V77+AE77+J77+Y77+AB77</f>
        <v>0</v>
      </c>
      <c r="E77" s="53">
        <f t="shared" ref="E77:E96" si="48">+H77+N77+Q77+T77+W77+AF77+K77+Z77+AC77</f>
        <v>0</v>
      </c>
      <c r="F77" s="53">
        <f t="shared" ref="F77:F96" si="49">+I77+O77+R77+U77+X77+AG77+L77+AA77+AD77</f>
        <v>0</v>
      </c>
      <c r="G77" s="417"/>
      <c r="H77" s="417"/>
      <c r="I77" s="699">
        <f t="shared" si="38"/>
        <v>0</v>
      </c>
      <c r="J77" s="417"/>
      <c r="K77" s="417"/>
      <c r="L77" s="699">
        <f t="shared" si="39"/>
        <v>0</v>
      </c>
      <c r="M77" s="417"/>
      <c r="N77" s="417"/>
      <c r="O77" s="699">
        <f t="shared" si="40"/>
        <v>0</v>
      </c>
      <c r="P77" s="417"/>
      <c r="Q77" s="417"/>
      <c r="R77" s="417"/>
      <c r="S77" s="417"/>
      <c r="T77" s="417"/>
      <c r="U77" s="417"/>
      <c r="V77" s="417"/>
      <c r="W77" s="417"/>
      <c r="X77" s="699">
        <f t="shared" si="41"/>
        <v>0</v>
      </c>
      <c r="Y77" s="417"/>
      <c r="Z77" s="417"/>
      <c r="AA77" s="699">
        <f t="shared" si="42"/>
        <v>0</v>
      </c>
      <c r="AB77" s="417"/>
      <c r="AC77" s="417"/>
      <c r="AD77" s="699">
        <f t="shared" si="43"/>
        <v>0</v>
      </c>
      <c r="AE77" s="27"/>
      <c r="AF77" s="27"/>
      <c r="AG77" s="53">
        <f t="shared" si="44"/>
        <v>0</v>
      </c>
    </row>
    <row r="78" spans="1:36" ht="12.95" customHeight="1" x14ac:dyDescent="0.25">
      <c r="A78" s="10" t="s">
        <v>111</v>
      </c>
      <c r="B78" s="1144" t="s">
        <v>162</v>
      </c>
      <c r="C78" s="1145"/>
      <c r="D78" s="535">
        <f t="shared" si="47"/>
        <v>1000</v>
      </c>
      <c r="E78" s="53">
        <f t="shared" si="48"/>
        <v>0</v>
      </c>
      <c r="F78" s="53">
        <f t="shared" si="49"/>
        <v>1000</v>
      </c>
      <c r="G78" s="417"/>
      <c r="H78" s="417"/>
      <c r="I78" s="699">
        <f t="shared" si="38"/>
        <v>0</v>
      </c>
      <c r="J78" s="417"/>
      <c r="K78" s="417"/>
      <c r="L78" s="699">
        <f t="shared" si="39"/>
        <v>0</v>
      </c>
      <c r="M78" s="417"/>
      <c r="N78" s="417"/>
      <c r="O78" s="699">
        <f t="shared" si="40"/>
        <v>0</v>
      </c>
      <c r="P78" s="417"/>
      <c r="Q78" s="417"/>
      <c r="R78" s="417"/>
      <c r="S78" s="417"/>
      <c r="T78" s="417"/>
      <c r="U78" s="417"/>
      <c r="V78" s="417"/>
      <c r="W78" s="417"/>
      <c r="X78" s="699">
        <f t="shared" si="41"/>
        <v>0</v>
      </c>
      <c r="Y78" s="417"/>
      <c r="Z78" s="417"/>
      <c r="AA78" s="699">
        <f t="shared" si="42"/>
        <v>0</v>
      </c>
      <c r="AB78" s="417"/>
      <c r="AC78" s="417"/>
      <c r="AD78" s="699">
        <f t="shared" si="43"/>
        <v>0</v>
      </c>
      <c r="AE78" s="27">
        <v>1000</v>
      </c>
      <c r="AF78" s="27"/>
      <c r="AG78" s="53">
        <f t="shared" si="44"/>
        <v>1000</v>
      </c>
    </row>
    <row r="79" spans="1:36" s="38" customFormat="1" ht="12.95" customHeight="1" x14ac:dyDescent="0.2">
      <c r="A79" s="32" t="s">
        <v>111</v>
      </c>
      <c r="B79" s="1063"/>
      <c r="C79" s="1064" t="s">
        <v>112</v>
      </c>
      <c r="D79" s="535">
        <f t="shared" si="47"/>
        <v>0</v>
      </c>
      <c r="E79" s="53">
        <f t="shared" si="48"/>
        <v>0</v>
      </c>
      <c r="F79" s="53">
        <f t="shared" si="49"/>
        <v>0</v>
      </c>
      <c r="G79" s="885"/>
      <c r="H79" s="885"/>
      <c r="I79" s="699">
        <f t="shared" si="38"/>
        <v>0</v>
      </c>
      <c r="J79" s="885"/>
      <c r="K79" s="885"/>
      <c r="L79" s="699">
        <f t="shared" si="39"/>
        <v>0</v>
      </c>
      <c r="M79" s="885"/>
      <c r="N79" s="885"/>
      <c r="O79" s="699">
        <f t="shared" si="40"/>
        <v>0</v>
      </c>
      <c r="P79" s="885"/>
      <c r="Q79" s="885"/>
      <c r="R79" s="885"/>
      <c r="S79" s="885"/>
      <c r="T79" s="885"/>
      <c r="U79" s="885"/>
      <c r="V79" s="885"/>
      <c r="W79" s="885"/>
      <c r="X79" s="699">
        <f t="shared" si="41"/>
        <v>0</v>
      </c>
      <c r="Y79" s="885"/>
      <c r="Z79" s="885"/>
      <c r="AA79" s="699">
        <f t="shared" si="42"/>
        <v>0</v>
      </c>
      <c r="AB79" s="885"/>
      <c r="AC79" s="885"/>
      <c r="AD79" s="699">
        <f t="shared" si="43"/>
        <v>0</v>
      </c>
      <c r="AE79" s="48"/>
      <c r="AF79" s="48"/>
      <c r="AG79" s="53">
        <f t="shared" si="44"/>
        <v>0</v>
      </c>
    </row>
    <row r="80" spans="1:36" ht="12.95" customHeight="1" x14ac:dyDescent="0.25">
      <c r="A80" s="10" t="s">
        <v>114</v>
      </c>
      <c r="B80" s="1144" t="s">
        <v>113</v>
      </c>
      <c r="C80" s="1145"/>
      <c r="D80" s="535">
        <f t="shared" si="47"/>
        <v>0</v>
      </c>
      <c r="E80" s="53">
        <f t="shared" si="48"/>
        <v>0</v>
      </c>
      <c r="F80" s="53">
        <f t="shared" si="49"/>
        <v>0</v>
      </c>
      <c r="G80" s="417"/>
      <c r="H80" s="417"/>
      <c r="I80" s="699">
        <f t="shared" si="38"/>
        <v>0</v>
      </c>
      <c r="J80" s="417"/>
      <c r="K80" s="417"/>
      <c r="L80" s="699">
        <f t="shared" si="39"/>
        <v>0</v>
      </c>
      <c r="M80" s="417"/>
      <c r="N80" s="417"/>
      <c r="O80" s="699">
        <f t="shared" si="40"/>
        <v>0</v>
      </c>
      <c r="P80" s="417"/>
      <c r="Q80" s="417"/>
      <c r="R80" s="417"/>
      <c r="S80" s="417"/>
      <c r="T80" s="417"/>
      <c r="U80" s="417"/>
      <c r="V80" s="417"/>
      <c r="W80" s="417"/>
      <c r="X80" s="699">
        <f t="shared" si="41"/>
        <v>0</v>
      </c>
      <c r="Y80" s="417"/>
      <c r="Z80" s="417"/>
      <c r="AA80" s="699">
        <f t="shared" si="42"/>
        <v>0</v>
      </c>
      <c r="AB80" s="417"/>
      <c r="AC80" s="417"/>
      <c r="AD80" s="699">
        <f t="shared" si="43"/>
        <v>0</v>
      </c>
      <c r="AE80" s="27"/>
      <c r="AF80" s="27"/>
      <c r="AG80" s="53">
        <f t="shared" si="44"/>
        <v>0</v>
      </c>
    </row>
    <row r="81" spans="1:33" ht="12.95" customHeight="1" x14ac:dyDescent="0.25">
      <c r="A81" s="10" t="s">
        <v>116</v>
      </c>
      <c r="B81" s="1144" t="s">
        <v>115</v>
      </c>
      <c r="C81" s="1145"/>
      <c r="D81" s="535">
        <f t="shared" si="47"/>
        <v>0</v>
      </c>
      <c r="E81" s="53">
        <f t="shared" si="48"/>
        <v>0</v>
      </c>
      <c r="F81" s="53">
        <f t="shared" si="49"/>
        <v>0</v>
      </c>
      <c r="G81" s="417"/>
      <c r="H81" s="417"/>
      <c r="I81" s="699">
        <f t="shared" si="38"/>
        <v>0</v>
      </c>
      <c r="J81" s="417"/>
      <c r="K81" s="417"/>
      <c r="L81" s="699">
        <f t="shared" si="39"/>
        <v>0</v>
      </c>
      <c r="M81" s="417"/>
      <c r="N81" s="417"/>
      <c r="O81" s="699">
        <f t="shared" si="40"/>
        <v>0</v>
      </c>
      <c r="P81" s="417"/>
      <c r="Q81" s="417"/>
      <c r="R81" s="417"/>
      <c r="S81" s="417"/>
      <c r="T81" s="417"/>
      <c r="U81" s="417"/>
      <c r="V81" s="417"/>
      <c r="W81" s="417"/>
      <c r="X81" s="699">
        <f t="shared" si="41"/>
        <v>0</v>
      </c>
      <c r="Y81" s="417"/>
      <c r="Z81" s="417"/>
      <c r="AA81" s="699">
        <f t="shared" si="42"/>
        <v>0</v>
      </c>
      <c r="AB81" s="417"/>
      <c r="AC81" s="417"/>
      <c r="AD81" s="699">
        <f t="shared" si="43"/>
        <v>0</v>
      </c>
      <c r="AE81" s="27"/>
      <c r="AF81" s="27"/>
      <c r="AG81" s="53">
        <f t="shared" si="44"/>
        <v>0</v>
      </c>
    </row>
    <row r="82" spans="1:33" ht="12.95" customHeight="1" x14ac:dyDescent="0.25">
      <c r="A82" s="10" t="s">
        <v>118</v>
      </c>
      <c r="B82" s="1144" t="s">
        <v>117</v>
      </c>
      <c r="C82" s="1145"/>
      <c r="D82" s="535">
        <f t="shared" si="47"/>
        <v>0</v>
      </c>
      <c r="E82" s="53">
        <f t="shared" si="48"/>
        <v>0</v>
      </c>
      <c r="F82" s="53">
        <f t="shared" si="49"/>
        <v>0</v>
      </c>
      <c r="G82" s="417"/>
      <c r="H82" s="417"/>
      <c r="I82" s="699">
        <f t="shared" si="38"/>
        <v>0</v>
      </c>
      <c r="J82" s="417"/>
      <c r="K82" s="417"/>
      <c r="L82" s="699">
        <f t="shared" si="39"/>
        <v>0</v>
      </c>
      <c r="M82" s="417"/>
      <c r="N82" s="417"/>
      <c r="O82" s="699">
        <f t="shared" si="40"/>
        <v>0</v>
      </c>
      <c r="P82" s="417"/>
      <c r="Q82" s="417"/>
      <c r="R82" s="417"/>
      <c r="S82" s="417"/>
      <c r="T82" s="417"/>
      <c r="U82" s="417"/>
      <c r="V82" s="417"/>
      <c r="W82" s="417"/>
      <c r="X82" s="699">
        <f t="shared" si="41"/>
        <v>0</v>
      </c>
      <c r="Y82" s="417"/>
      <c r="Z82" s="417"/>
      <c r="AA82" s="699">
        <f t="shared" si="42"/>
        <v>0</v>
      </c>
      <c r="AB82" s="417"/>
      <c r="AC82" s="417"/>
      <c r="AD82" s="699">
        <f t="shared" si="43"/>
        <v>0</v>
      </c>
      <c r="AE82" s="27"/>
      <c r="AF82" s="27"/>
      <c r="AG82" s="53">
        <f t="shared" si="44"/>
        <v>0</v>
      </c>
    </row>
    <row r="83" spans="1:33" ht="12.95" customHeight="1" x14ac:dyDescent="0.25">
      <c r="A83" s="10" t="s">
        <v>120</v>
      </c>
      <c r="B83" s="1144" t="s">
        <v>119</v>
      </c>
      <c r="C83" s="1145"/>
      <c r="D83" s="535">
        <f t="shared" si="47"/>
        <v>0</v>
      </c>
      <c r="E83" s="53">
        <f t="shared" si="48"/>
        <v>0</v>
      </c>
      <c r="F83" s="53">
        <f t="shared" si="49"/>
        <v>0</v>
      </c>
      <c r="G83" s="417"/>
      <c r="H83" s="417"/>
      <c r="I83" s="699">
        <f t="shared" si="38"/>
        <v>0</v>
      </c>
      <c r="J83" s="417"/>
      <c r="K83" s="417"/>
      <c r="L83" s="699">
        <f t="shared" si="39"/>
        <v>0</v>
      </c>
      <c r="M83" s="417"/>
      <c r="N83" s="417"/>
      <c r="O83" s="699">
        <f t="shared" si="40"/>
        <v>0</v>
      </c>
      <c r="P83" s="417"/>
      <c r="Q83" s="417"/>
      <c r="R83" s="417"/>
      <c r="S83" s="417"/>
      <c r="T83" s="417"/>
      <c r="U83" s="417"/>
      <c r="V83" s="417"/>
      <c r="W83" s="417"/>
      <c r="X83" s="699">
        <f t="shared" si="41"/>
        <v>0</v>
      </c>
      <c r="Y83" s="417"/>
      <c r="Z83" s="417"/>
      <c r="AA83" s="699">
        <f t="shared" si="42"/>
        <v>0</v>
      </c>
      <c r="AB83" s="417"/>
      <c r="AC83" s="417"/>
      <c r="AD83" s="699">
        <f t="shared" si="43"/>
        <v>0</v>
      </c>
      <c r="AE83" s="27"/>
      <c r="AF83" s="27"/>
      <c r="AG83" s="53">
        <f t="shared" si="44"/>
        <v>0</v>
      </c>
    </row>
    <row r="84" spans="1:33" ht="12.95" customHeight="1" x14ac:dyDescent="0.25">
      <c r="A84" s="10" t="s">
        <v>122</v>
      </c>
      <c r="B84" s="1144" t="s">
        <v>121</v>
      </c>
      <c r="C84" s="1145"/>
      <c r="D84" s="535">
        <f t="shared" si="47"/>
        <v>0</v>
      </c>
      <c r="E84" s="53">
        <f t="shared" si="48"/>
        <v>0</v>
      </c>
      <c r="F84" s="53">
        <f t="shared" si="49"/>
        <v>0</v>
      </c>
      <c r="G84" s="417"/>
      <c r="H84" s="417"/>
      <c r="I84" s="699">
        <f t="shared" si="38"/>
        <v>0</v>
      </c>
      <c r="J84" s="417"/>
      <c r="K84" s="417"/>
      <c r="L84" s="699">
        <f t="shared" si="39"/>
        <v>0</v>
      </c>
      <c r="M84" s="417"/>
      <c r="N84" s="417"/>
      <c r="O84" s="699">
        <f t="shared" si="40"/>
        <v>0</v>
      </c>
      <c r="P84" s="417"/>
      <c r="Q84" s="417"/>
      <c r="R84" s="417"/>
      <c r="S84" s="417"/>
      <c r="T84" s="417"/>
      <c r="U84" s="417"/>
      <c r="V84" s="417"/>
      <c r="W84" s="417"/>
      <c r="X84" s="699">
        <f t="shared" si="41"/>
        <v>0</v>
      </c>
      <c r="Y84" s="417"/>
      <c r="Z84" s="417"/>
      <c r="AA84" s="699">
        <f t="shared" si="42"/>
        <v>0</v>
      </c>
      <c r="AB84" s="417"/>
      <c r="AC84" s="417"/>
      <c r="AD84" s="699">
        <f t="shared" si="43"/>
        <v>0</v>
      </c>
      <c r="AE84" s="27"/>
      <c r="AF84" s="27"/>
      <c r="AG84" s="53">
        <f t="shared" si="44"/>
        <v>0</v>
      </c>
    </row>
    <row r="85" spans="1:33" s="42" customFormat="1" ht="12.95" customHeight="1" x14ac:dyDescent="0.2">
      <c r="A85" s="7" t="s">
        <v>123</v>
      </c>
      <c r="B85" s="1142" t="s">
        <v>161</v>
      </c>
      <c r="C85" s="1143"/>
      <c r="D85" s="535">
        <f t="shared" si="47"/>
        <v>1000</v>
      </c>
      <c r="E85" s="53">
        <f t="shared" si="48"/>
        <v>0</v>
      </c>
      <c r="F85" s="474">
        <f t="shared" si="49"/>
        <v>1000</v>
      </c>
      <c r="G85" s="927">
        <f>G77+G78+G80+G81+G82+G83+G84</f>
        <v>0</v>
      </c>
      <c r="H85" s="927">
        <f t="shared" ref="H85" si="50">H77+H78+H80+H81+H82+H83+H84</f>
        <v>0</v>
      </c>
      <c r="I85" s="927">
        <f>G85+H85</f>
        <v>0</v>
      </c>
      <c r="J85" s="927">
        <f>J77+J78+J80+J81+J82+J83+J84</f>
        <v>0</v>
      </c>
      <c r="K85" s="927">
        <f t="shared" ref="K85" si="51">K77+K78+K80+K81+K82+K83+K84</f>
        <v>0</v>
      </c>
      <c r="L85" s="927">
        <f>J85+K85</f>
        <v>0</v>
      </c>
      <c r="M85" s="927">
        <f>M77+M78+M80+M81+M82+M83+M84</f>
        <v>0</v>
      </c>
      <c r="N85" s="927">
        <f t="shared" ref="N85" si="52">N77+N78+N80+N81+N82+N83+N84</f>
        <v>0</v>
      </c>
      <c r="O85" s="927">
        <f>M85+N85</f>
        <v>0</v>
      </c>
      <c r="P85" s="927">
        <f>P77+P78+P80+P81+P82+P83+P84</f>
        <v>0</v>
      </c>
      <c r="Q85" s="927">
        <f t="shared" ref="Q85" si="53">Q77+Q78+Q80+Q81+Q82+Q83+Q84</f>
        <v>0</v>
      </c>
      <c r="R85" s="927">
        <f t="shared" ref="R85" si="54">R77+R78+R80+R81+R82+R83+R84</f>
        <v>0</v>
      </c>
      <c r="S85" s="927">
        <f>S77+S78+S80+S81+S82+S83+S84</f>
        <v>0</v>
      </c>
      <c r="T85" s="927">
        <f t="shared" ref="T85" si="55">T77+T78+T80+T81+T82+T83+T84</f>
        <v>0</v>
      </c>
      <c r="U85" s="927">
        <f t="shared" ref="U85" si="56">U77+U78+U80+U81+U82+U83+U84</f>
        <v>0</v>
      </c>
      <c r="V85" s="927">
        <f>V77+V78+V80+V81+V82+V83+V84</f>
        <v>0</v>
      </c>
      <c r="W85" s="927">
        <f t="shared" ref="W85" si="57">W77+W78+W80+W81+W82+W83+W84</f>
        <v>0</v>
      </c>
      <c r="X85" s="927">
        <f>V85+W85</f>
        <v>0</v>
      </c>
      <c r="Y85" s="927">
        <f>Y77+Y78+Y80+Y81+Y82+Y83+Y84</f>
        <v>0</v>
      </c>
      <c r="Z85" s="927">
        <f t="shared" ref="Z85" si="58">Z77+Z78+Z80+Z81+Z82+Z83+Z84</f>
        <v>0</v>
      </c>
      <c r="AA85" s="927">
        <f>Y85+Z85</f>
        <v>0</v>
      </c>
      <c r="AB85" s="927">
        <f>AB77+AB78+AB80+AB81+AB82+AB83+AB84</f>
        <v>0</v>
      </c>
      <c r="AC85" s="927">
        <f t="shared" ref="AC85" si="59">AC77+AC78+AC80+AC81+AC82+AC83+AC84</f>
        <v>0</v>
      </c>
      <c r="AD85" s="927">
        <f>AB85+AC85</f>
        <v>0</v>
      </c>
      <c r="AE85" s="535">
        <f>AE77+AE78+AE80+AE81+AE82+AE83+AE84</f>
        <v>1000</v>
      </c>
      <c r="AF85" s="535">
        <f t="shared" ref="AF85" si="60">AF77+AF78+AF80+AF81+AF82+AF83+AF84</f>
        <v>0</v>
      </c>
      <c r="AG85" s="535">
        <f>AE85+AF85</f>
        <v>1000</v>
      </c>
    </row>
    <row r="86" spans="1:33" x14ac:dyDescent="0.25">
      <c r="A86" s="475"/>
      <c r="B86" s="408"/>
      <c r="C86" s="1046"/>
      <c r="D86" s="192">
        <f t="shared" si="47"/>
        <v>0</v>
      </c>
      <c r="E86" s="192">
        <f t="shared" si="48"/>
        <v>0</v>
      </c>
      <c r="F86" s="536">
        <f t="shared" si="49"/>
        <v>0</v>
      </c>
      <c r="G86" s="575"/>
      <c r="H86" s="575"/>
      <c r="I86" s="837">
        <f t="shared" si="38"/>
        <v>0</v>
      </c>
      <c r="J86" s="575"/>
      <c r="K86" s="575"/>
      <c r="L86" s="837">
        <f t="shared" si="39"/>
        <v>0</v>
      </c>
      <c r="M86" s="575"/>
      <c r="N86" s="575"/>
      <c r="O86" s="837">
        <f t="shared" si="40"/>
        <v>0</v>
      </c>
      <c r="P86" s="575"/>
      <c r="Q86" s="575"/>
      <c r="R86" s="575"/>
      <c r="S86" s="575"/>
      <c r="T86" s="575"/>
      <c r="U86" s="575"/>
      <c r="V86" s="575"/>
      <c r="W86" s="575"/>
      <c r="X86" s="837">
        <f t="shared" si="41"/>
        <v>0</v>
      </c>
      <c r="Y86" s="575"/>
      <c r="Z86" s="575"/>
      <c r="AA86" s="837">
        <f t="shared" si="42"/>
        <v>0</v>
      </c>
      <c r="AB86" s="575"/>
      <c r="AC86" s="575"/>
      <c r="AD86" s="837">
        <f t="shared" si="43"/>
        <v>0</v>
      </c>
      <c r="AE86" s="56"/>
      <c r="AF86" s="56"/>
      <c r="AG86" s="536">
        <f t="shared" si="44"/>
        <v>0</v>
      </c>
    </row>
    <row r="87" spans="1:33" ht="12.95" customHeight="1" x14ac:dyDescent="0.25">
      <c r="A87" s="10" t="s">
        <v>125</v>
      </c>
      <c r="B87" s="1144" t="s">
        <v>124</v>
      </c>
      <c r="C87" s="1145"/>
      <c r="D87" s="535">
        <f t="shared" si="47"/>
        <v>0</v>
      </c>
      <c r="E87" s="53">
        <f t="shared" si="48"/>
        <v>0</v>
      </c>
      <c r="F87" s="53">
        <f t="shared" si="49"/>
        <v>0</v>
      </c>
      <c r="G87" s="417"/>
      <c r="H87" s="417"/>
      <c r="I87" s="699">
        <f t="shared" si="38"/>
        <v>0</v>
      </c>
      <c r="J87" s="417"/>
      <c r="K87" s="417"/>
      <c r="L87" s="699">
        <f t="shared" si="39"/>
        <v>0</v>
      </c>
      <c r="M87" s="417"/>
      <c r="N87" s="417"/>
      <c r="O87" s="699">
        <f t="shared" si="40"/>
        <v>0</v>
      </c>
      <c r="P87" s="417"/>
      <c r="Q87" s="417"/>
      <c r="R87" s="417"/>
      <c r="S87" s="417"/>
      <c r="T87" s="417"/>
      <c r="U87" s="417"/>
      <c r="V87" s="417"/>
      <c r="W87" s="417"/>
      <c r="X87" s="699">
        <f t="shared" si="41"/>
        <v>0</v>
      </c>
      <c r="Y87" s="417"/>
      <c r="Z87" s="417"/>
      <c r="AA87" s="699">
        <f t="shared" si="42"/>
        <v>0</v>
      </c>
      <c r="AB87" s="417"/>
      <c r="AC87" s="417"/>
      <c r="AD87" s="699">
        <f t="shared" si="43"/>
        <v>0</v>
      </c>
      <c r="AE87" s="27"/>
      <c r="AF87" s="27"/>
      <c r="AG87" s="53">
        <f t="shared" si="44"/>
        <v>0</v>
      </c>
    </row>
    <row r="88" spans="1:33" ht="12.95" customHeight="1" x14ac:dyDescent="0.25">
      <c r="A88" s="10" t="s">
        <v>127</v>
      </c>
      <c r="B88" s="1144" t="s">
        <v>126</v>
      </c>
      <c r="C88" s="1145"/>
      <c r="D88" s="535">
        <f t="shared" si="47"/>
        <v>0</v>
      </c>
      <c r="E88" s="53">
        <f t="shared" si="48"/>
        <v>0</v>
      </c>
      <c r="F88" s="53">
        <f t="shared" si="49"/>
        <v>0</v>
      </c>
      <c r="G88" s="417"/>
      <c r="H88" s="417"/>
      <c r="I88" s="699">
        <f t="shared" si="38"/>
        <v>0</v>
      </c>
      <c r="J88" s="417"/>
      <c r="K88" s="417"/>
      <c r="L88" s="699">
        <f t="shared" si="39"/>
        <v>0</v>
      </c>
      <c r="M88" s="417"/>
      <c r="N88" s="417"/>
      <c r="O88" s="699">
        <f t="shared" si="40"/>
        <v>0</v>
      </c>
      <c r="P88" s="417"/>
      <c r="Q88" s="417"/>
      <c r="R88" s="417"/>
      <c r="S88" s="417"/>
      <c r="T88" s="417"/>
      <c r="U88" s="417"/>
      <c r="V88" s="417"/>
      <c r="W88" s="417"/>
      <c r="X88" s="699">
        <f t="shared" si="41"/>
        <v>0</v>
      </c>
      <c r="Y88" s="417"/>
      <c r="Z88" s="417"/>
      <c r="AA88" s="699">
        <f t="shared" si="42"/>
        <v>0</v>
      </c>
      <c r="AB88" s="417"/>
      <c r="AC88" s="417"/>
      <c r="AD88" s="699">
        <f t="shared" si="43"/>
        <v>0</v>
      </c>
      <c r="AE88" s="27"/>
      <c r="AF88" s="27"/>
      <c r="AG88" s="53">
        <f t="shared" si="44"/>
        <v>0</v>
      </c>
    </row>
    <row r="89" spans="1:33" ht="12.95" customHeight="1" x14ac:dyDescent="0.25">
      <c r="A89" s="10" t="s">
        <v>129</v>
      </c>
      <c r="B89" s="1144" t="s">
        <v>128</v>
      </c>
      <c r="C89" s="1145"/>
      <c r="D89" s="535">
        <f t="shared" si="47"/>
        <v>0</v>
      </c>
      <c r="E89" s="53">
        <f t="shared" si="48"/>
        <v>0</v>
      </c>
      <c r="F89" s="53">
        <f t="shared" si="49"/>
        <v>0</v>
      </c>
      <c r="G89" s="417"/>
      <c r="H89" s="417"/>
      <c r="I89" s="699">
        <f t="shared" si="38"/>
        <v>0</v>
      </c>
      <c r="J89" s="417"/>
      <c r="K89" s="417"/>
      <c r="L89" s="699">
        <f t="shared" si="39"/>
        <v>0</v>
      </c>
      <c r="M89" s="417"/>
      <c r="N89" s="417"/>
      <c r="O89" s="699">
        <f t="shared" si="40"/>
        <v>0</v>
      </c>
      <c r="P89" s="417"/>
      <c r="Q89" s="417"/>
      <c r="R89" s="417"/>
      <c r="S89" s="417"/>
      <c r="T89" s="417"/>
      <c r="U89" s="417"/>
      <c r="V89" s="417"/>
      <c r="W89" s="417"/>
      <c r="X89" s="699">
        <f t="shared" si="41"/>
        <v>0</v>
      </c>
      <c r="Y89" s="417"/>
      <c r="Z89" s="417"/>
      <c r="AA89" s="699">
        <f t="shared" si="42"/>
        <v>0</v>
      </c>
      <c r="AB89" s="417"/>
      <c r="AC89" s="417"/>
      <c r="AD89" s="699">
        <f t="shared" si="43"/>
        <v>0</v>
      </c>
      <c r="AE89" s="27"/>
      <c r="AF89" s="27"/>
      <c r="AG89" s="53">
        <f t="shared" si="44"/>
        <v>0</v>
      </c>
    </row>
    <row r="90" spans="1:33" ht="12.95" customHeight="1" x14ac:dyDescent="0.25">
      <c r="A90" s="10" t="s">
        <v>131</v>
      </c>
      <c r="B90" s="1144" t="s">
        <v>130</v>
      </c>
      <c r="C90" s="1145"/>
      <c r="D90" s="535">
        <f t="shared" si="47"/>
        <v>0</v>
      </c>
      <c r="E90" s="53">
        <f t="shared" si="48"/>
        <v>0</v>
      </c>
      <c r="F90" s="53">
        <f t="shared" si="49"/>
        <v>0</v>
      </c>
      <c r="G90" s="417"/>
      <c r="H90" s="417"/>
      <c r="I90" s="699">
        <f t="shared" si="38"/>
        <v>0</v>
      </c>
      <c r="J90" s="417"/>
      <c r="K90" s="417"/>
      <c r="L90" s="699">
        <f t="shared" si="39"/>
        <v>0</v>
      </c>
      <c r="M90" s="417"/>
      <c r="N90" s="417"/>
      <c r="O90" s="699">
        <f t="shared" si="40"/>
        <v>0</v>
      </c>
      <c r="P90" s="417"/>
      <c r="Q90" s="417"/>
      <c r="R90" s="417"/>
      <c r="S90" s="417"/>
      <c r="T90" s="417"/>
      <c r="U90" s="417"/>
      <c r="V90" s="417"/>
      <c r="W90" s="417"/>
      <c r="X90" s="699">
        <f t="shared" si="41"/>
        <v>0</v>
      </c>
      <c r="Y90" s="417"/>
      <c r="Z90" s="417"/>
      <c r="AA90" s="699">
        <f t="shared" si="42"/>
        <v>0</v>
      </c>
      <c r="AB90" s="417"/>
      <c r="AC90" s="417"/>
      <c r="AD90" s="699">
        <f t="shared" si="43"/>
        <v>0</v>
      </c>
      <c r="AE90" s="27"/>
      <c r="AF90" s="27"/>
      <c r="AG90" s="53">
        <f t="shared" si="44"/>
        <v>0</v>
      </c>
    </row>
    <row r="91" spans="1:33" s="42" customFormat="1" ht="12.95" customHeight="1" x14ac:dyDescent="0.2">
      <c r="A91" s="7" t="s">
        <v>132</v>
      </c>
      <c r="B91" s="1142" t="s">
        <v>160</v>
      </c>
      <c r="C91" s="1143"/>
      <c r="D91" s="535">
        <f t="shared" si="47"/>
        <v>0</v>
      </c>
      <c r="E91" s="53">
        <f t="shared" si="48"/>
        <v>0</v>
      </c>
      <c r="F91" s="474">
        <f t="shared" si="49"/>
        <v>0</v>
      </c>
      <c r="G91" s="699">
        <f>SUM(G87:G90)</f>
        <v>0</v>
      </c>
      <c r="H91" s="699">
        <f>SUM(H87:H90)</f>
        <v>0</v>
      </c>
      <c r="I91" s="699">
        <f>G91+H91</f>
        <v>0</v>
      </c>
      <c r="J91" s="699">
        <f t="shared" ref="J91:K91" si="61">SUM(J87:J90)</f>
        <v>0</v>
      </c>
      <c r="K91" s="699">
        <f t="shared" si="61"/>
        <v>0</v>
      </c>
      <c r="L91" s="699">
        <f t="shared" ref="L91" si="62">J91+K91</f>
        <v>0</v>
      </c>
      <c r="M91" s="699">
        <f t="shared" ref="M91:N91" si="63">SUM(M87:M90)</f>
        <v>0</v>
      </c>
      <c r="N91" s="699">
        <f t="shared" si="63"/>
        <v>0</v>
      </c>
      <c r="O91" s="699">
        <f t="shared" ref="O91" si="64">M91+N91</f>
        <v>0</v>
      </c>
      <c r="P91" s="699">
        <f t="shared" ref="P91:Q91" si="65">SUM(P87:P90)</f>
        <v>0</v>
      </c>
      <c r="Q91" s="699">
        <f t="shared" si="65"/>
        <v>0</v>
      </c>
      <c r="R91" s="699">
        <f t="shared" ref="R91" si="66">P91+Q91</f>
        <v>0</v>
      </c>
      <c r="S91" s="699">
        <f t="shared" ref="S91:T91" si="67">SUM(S87:S90)</f>
        <v>0</v>
      </c>
      <c r="T91" s="699">
        <f t="shared" si="67"/>
        <v>0</v>
      </c>
      <c r="U91" s="699">
        <f t="shared" ref="U91" si="68">S91+T91</f>
        <v>0</v>
      </c>
      <c r="V91" s="699">
        <f t="shared" ref="V91:W91" si="69">SUM(V87:V90)</f>
        <v>0</v>
      </c>
      <c r="W91" s="699">
        <f t="shared" si="69"/>
        <v>0</v>
      </c>
      <c r="X91" s="699">
        <f t="shared" ref="X91" si="70">V91+W91</f>
        <v>0</v>
      </c>
      <c r="Y91" s="699">
        <f t="shared" ref="Y91:Z91" si="71">SUM(Y87:Y90)</f>
        <v>0</v>
      </c>
      <c r="Z91" s="699">
        <f t="shared" si="71"/>
        <v>0</v>
      </c>
      <c r="AA91" s="699">
        <f t="shared" ref="AA91" si="72">Y91+Z91</f>
        <v>0</v>
      </c>
      <c r="AB91" s="699">
        <f t="shared" ref="AB91:AC91" si="73">SUM(AB87:AB90)</f>
        <v>0</v>
      </c>
      <c r="AC91" s="699">
        <f t="shared" si="73"/>
        <v>0</v>
      </c>
      <c r="AD91" s="699">
        <f t="shared" ref="AD91" si="74">AB91+AC91</f>
        <v>0</v>
      </c>
      <c r="AE91" s="53">
        <f t="shared" ref="AE91:AF91" si="75">SUM(AE87:AE90)</f>
        <v>0</v>
      </c>
      <c r="AF91" s="53">
        <f t="shared" si="75"/>
        <v>0</v>
      </c>
      <c r="AG91" s="53">
        <f t="shared" ref="AG91" si="76">AE91+AF91</f>
        <v>0</v>
      </c>
    </row>
    <row r="92" spans="1:33" ht="12.95" hidden="1" customHeight="1" x14ac:dyDescent="0.25">
      <c r="A92" s="475"/>
      <c r="B92" s="408"/>
      <c r="C92" s="1046"/>
      <c r="D92" s="192">
        <f t="shared" si="47"/>
        <v>0</v>
      </c>
      <c r="E92" s="192">
        <f t="shared" si="48"/>
        <v>0</v>
      </c>
      <c r="F92" s="536">
        <f t="shared" si="49"/>
        <v>0</v>
      </c>
      <c r="G92" s="575"/>
      <c r="H92" s="575"/>
      <c r="I92" s="837">
        <f t="shared" si="38"/>
        <v>0</v>
      </c>
      <c r="J92" s="575"/>
      <c r="K92" s="575"/>
      <c r="L92" s="837">
        <f t="shared" si="39"/>
        <v>0</v>
      </c>
      <c r="M92" s="575"/>
      <c r="N92" s="575"/>
      <c r="O92" s="837">
        <f t="shared" si="40"/>
        <v>0</v>
      </c>
      <c r="P92" s="575"/>
      <c r="Q92" s="575"/>
      <c r="R92" s="575"/>
      <c r="S92" s="575"/>
      <c r="T92" s="575"/>
      <c r="U92" s="575"/>
      <c r="V92" s="575"/>
      <c r="W92" s="575"/>
      <c r="X92" s="837">
        <f t="shared" si="41"/>
        <v>0</v>
      </c>
      <c r="Y92" s="575"/>
      <c r="Z92" s="575"/>
      <c r="AA92" s="837">
        <f t="shared" si="42"/>
        <v>0</v>
      </c>
      <c r="AB92" s="575"/>
      <c r="AC92" s="575"/>
      <c r="AD92" s="837">
        <f t="shared" si="43"/>
        <v>0</v>
      </c>
      <c r="AE92" s="56"/>
      <c r="AF92" s="56"/>
      <c r="AG92" s="536">
        <f t="shared" si="44"/>
        <v>0</v>
      </c>
    </row>
    <row r="93" spans="1:33" ht="12.95" hidden="1" customHeight="1" x14ac:dyDescent="0.25">
      <c r="A93" s="92" t="s">
        <v>379</v>
      </c>
      <c r="B93" s="1280" t="s">
        <v>380</v>
      </c>
      <c r="C93" s="1191"/>
      <c r="D93" s="192">
        <f t="shared" si="47"/>
        <v>0</v>
      </c>
      <c r="E93" s="192">
        <f t="shared" si="48"/>
        <v>0</v>
      </c>
      <c r="F93" s="536">
        <f t="shared" si="49"/>
        <v>0</v>
      </c>
      <c r="G93" s="575"/>
      <c r="H93" s="575"/>
      <c r="I93" s="837">
        <f t="shared" si="38"/>
        <v>0</v>
      </c>
      <c r="J93" s="575"/>
      <c r="K93" s="575"/>
      <c r="L93" s="837">
        <f t="shared" si="39"/>
        <v>0</v>
      </c>
      <c r="M93" s="575"/>
      <c r="N93" s="575"/>
      <c r="O93" s="837">
        <f t="shared" si="40"/>
        <v>0</v>
      </c>
      <c r="P93" s="575"/>
      <c r="Q93" s="575"/>
      <c r="R93" s="575"/>
      <c r="S93" s="575"/>
      <c r="T93" s="575"/>
      <c r="U93" s="575"/>
      <c r="V93" s="575"/>
      <c r="W93" s="575"/>
      <c r="X93" s="837">
        <f t="shared" si="41"/>
        <v>0</v>
      </c>
      <c r="Y93" s="575"/>
      <c r="Z93" s="575"/>
      <c r="AA93" s="837">
        <f t="shared" si="42"/>
        <v>0</v>
      </c>
      <c r="AB93" s="575"/>
      <c r="AC93" s="575"/>
      <c r="AD93" s="837">
        <f t="shared" si="43"/>
        <v>0</v>
      </c>
      <c r="AE93" s="56"/>
      <c r="AF93" s="56"/>
      <c r="AG93" s="536">
        <f t="shared" si="44"/>
        <v>0</v>
      </c>
    </row>
    <row r="94" spans="1:33" ht="12.95" hidden="1" customHeight="1" x14ac:dyDescent="0.25">
      <c r="A94" s="92" t="s">
        <v>392</v>
      </c>
      <c r="B94" s="1280" t="s">
        <v>393</v>
      </c>
      <c r="C94" s="1191"/>
      <c r="D94" s="192">
        <f t="shared" si="47"/>
        <v>0</v>
      </c>
      <c r="E94" s="192">
        <f t="shared" si="48"/>
        <v>0</v>
      </c>
      <c r="F94" s="536">
        <f t="shared" si="49"/>
        <v>0</v>
      </c>
      <c r="G94" s="575"/>
      <c r="H94" s="575"/>
      <c r="I94" s="837">
        <f t="shared" si="38"/>
        <v>0</v>
      </c>
      <c r="J94" s="575"/>
      <c r="K94" s="575"/>
      <c r="L94" s="837">
        <f t="shared" si="39"/>
        <v>0</v>
      </c>
      <c r="M94" s="575"/>
      <c r="N94" s="575"/>
      <c r="O94" s="837">
        <f t="shared" si="40"/>
        <v>0</v>
      </c>
      <c r="P94" s="575"/>
      <c r="Q94" s="575"/>
      <c r="R94" s="575"/>
      <c r="S94" s="575"/>
      <c r="T94" s="575"/>
      <c r="U94" s="575"/>
      <c r="V94" s="575"/>
      <c r="W94" s="575"/>
      <c r="X94" s="837">
        <f t="shared" si="41"/>
        <v>0</v>
      </c>
      <c r="Y94" s="575"/>
      <c r="Z94" s="575"/>
      <c r="AA94" s="837">
        <f t="shared" si="42"/>
        <v>0</v>
      </c>
      <c r="AB94" s="575"/>
      <c r="AC94" s="575"/>
      <c r="AD94" s="837">
        <f t="shared" si="43"/>
        <v>0</v>
      </c>
      <c r="AE94" s="56"/>
      <c r="AF94" s="56"/>
      <c r="AG94" s="536">
        <f t="shared" si="44"/>
        <v>0</v>
      </c>
    </row>
    <row r="95" spans="1:33" ht="12.95" hidden="1" customHeight="1" x14ac:dyDescent="0.25">
      <c r="A95" s="92" t="s">
        <v>133</v>
      </c>
      <c r="B95" s="1280" t="s">
        <v>159</v>
      </c>
      <c r="C95" s="1191"/>
      <c r="D95" s="192">
        <f t="shared" si="47"/>
        <v>0</v>
      </c>
      <c r="E95" s="192">
        <f t="shared" si="48"/>
        <v>0</v>
      </c>
      <c r="F95" s="536">
        <f t="shared" si="49"/>
        <v>0</v>
      </c>
      <c r="G95" s="575"/>
      <c r="H95" s="575"/>
      <c r="I95" s="837">
        <f t="shared" si="38"/>
        <v>0</v>
      </c>
      <c r="J95" s="575"/>
      <c r="K95" s="575"/>
      <c r="L95" s="837">
        <f t="shared" si="39"/>
        <v>0</v>
      </c>
      <c r="M95" s="575"/>
      <c r="N95" s="575"/>
      <c r="O95" s="837">
        <f t="shared" si="40"/>
        <v>0</v>
      </c>
      <c r="P95" s="575"/>
      <c r="Q95" s="575"/>
      <c r="R95" s="575"/>
      <c r="S95" s="575"/>
      <c r="T95" s="575"/>
      <c r="U95" s="575"/>
      <c r="V95" s="575"/>
      <c r="W95" s="575"/>
      <c r="X95" s="837">
        <f t="shared" si="41"/>
        <v>0</v>
      </c>
      <c r="Y95" s="575"/>
      <c r="Z95" s="575"/>
      <c r="AA95" s="837">
        <f t="shared" si="42"/>
        <v>0</v>
      </c>
      <c r="AB95" s="575"/>
      <c r="AC95" s="575"/>
      <c r="AD95" s="837">
        <f t="shared" si="43"/>
        <v>0</v>
      </c>
      <c r="AE95" s="56"/>
      <c r="AF95" s="56"/>
      <c r="AG95" s="536">
        <f t="shared" si="44"/>
        <v>0</v>
      </c>
    </row>
    <row r="96" spans="1:33" s="42" customFormat="1" ht="12.95" hidden="1" customHeight="1" x14ac:dyDescent="0.2">
      <c r="A96" s="475" t="s">
        <v>134</v>
      </c>
      <c r="B96" s="1281" t="s">
        <v>158</v>
      </c>
      <c r="C96" s="1282"/>
      <c r="D96" s="192">
        <f t="shared" si="47"/>
        <v>0</v>
      </c>
      <c r="E96" s="192">
        <f t="shared" si="48"/>
        <v>0</v>
      </c>
      <c r="F96" s="536">
        <f t="shared" si="49"/>
        <v>0</v>
      </c>
      <c r="G96" s="837"/>
      <c r="H96" s="837"/>
      <c r="I96" s="837">
        <f t="shared" si="38"/>
        <v>0</v>
      </c>
      <c r="J96" s="837"/>
      <c r="K96" s="837"/>
      <c r="L96" s="837">
        <f t="shared" si="39"/>
        <v>0</v>
      </c>
      <c r="M96" s="837"/>
      <c r="N96" s="837"/>
      <c r="O96" s="837">
        <f t="shared" si="40"/>
        <v>0</v>
      </c>
      <c r="P96" s="837"/>
      <c r="Q96" s="837"/>
      <c r="R96" s="837"/>
      <c r="S96" s="837"/>
      <c r="T96" s="837"/>
      <c r="U96" s="837"/>
      <c r="V96" s="837"/>
      <c r="W96" s="837"/>
      <c r="X96" s="837">
        <f t="shared" si="41"/>
        <v>0</v>
      </c>
      <c r="Y96" s="837"/>
      <c r="Z96" s="837"/>
      <c r="AA96" s="837">
        <f t="shared" si="42"/>
        <v>0</v>
      </c>
      <c r="AB96" s="837"/>
      <c r="AC96" s="837"/>
      <c r="AD96" s="837">
        <f t="shared" si="43"/>
        <v>0</v>
      </c>
      <c r="AE96" s="192"/>
      <c r="AF96" s="192"/>
      <c r="AG96" s="536">
        <f t="shared" si="44"/>
        <v>0</v>
      </c>
    </row>
    <row r="97" spans="1:33" ht="12.95" customHeight="1" x14ac:dyDescent="0.25">
      <c r="A97" s="475"/>
      <c r="B97" s="1065"/>
      <c r="C97" s="1047"/>
      <c r="D97" s="192"/>
      <c r="E97" s="192"/>
      <c r="F97" s="536"/>
      <c r="G97" s="575"/>
      <c r="H97" s="575"/>
      <c r="I97" s="837"/>
      <c r="J97" s="575"/>
      <c r="K97" s="575"/>
      <c r="L97" s="837">
        <f t="shared" si="39"/>
        <v>0</v>
      </c>
      <c r="M97" s="575"/>
      <c r="N97" s="575"/>
      <c r="O97" s="837">
        <f t="shared" si="40"/>
        <v>0</v>
      </c>
      <c r="P97" s="575"/>
      <c r="Q97" s="575"/>
      <c r="R97" s="575"/>
      <c r="S97" s="575"/>
      <c r="T97" s="575"/>
      <c r="U97" s="575"/>
      <c r="V97" s="575"/>
      <c r="W97" s="575"/>
      <c r="X97" s="837">
        <f t="shared" si="41"/>
        <v>0</v>
      </c>
      <c r="Y97" s="575"/>
      <c r="Z97" s="575"/>
      <c r="AA97" s="837">
        <f t="shared" si="42"/>
        <v>0</v>
      </c>
      <c r="AB97" s="575"/>
      <c r="AC97" s="575"/>
      <c r="AD97" s="837">
        <f t="shared" si="43"/>
        <v>0</v>
      </c>
      <c r="AE97" s="56"/>
      <c r="AF97" s="56"/>
      <c r="AG97" s="536">
        <f t="shared" si="44"/>
        <v>0</v>
      </c>
    </row>
    <row r="98" spans="1:33" s="42" customFormat="1" ht="12.95" customHeight="1" x14ac:dyDescent="0.2">
      <c r="A98" s="406" t="s">
        <v>135</v>
      </c>
      <c r="B98" s="1142" t="s">
        <v>157</v>
      </c>
      <c r="C98" s="1143"/>
      <c r="D98" s="535">
        <f>+G98+M98+P98+S98+V98+AE98+J98+Y98+AB98</f>
        <v>268335</v>
      </c>
      <c r="E98" s="53">
        <f>+H98+N98+Q98+T98+W98+AF98+K98+Z98+AC98</f>
        <v>-54238</v>
      </c>
      <c r="F98" s="474">
        <f>+I98+O98+R98+U98+X98+AG98+L98+AA98+AD98</f>
        <v>214097</v>
      </c>
      <c r="G98" s="927">
        <f>+G96+G91+G85+G75+G56+G36+G10+G8</f>
        <v>10064</v>
      </c>
      <c r="H98" s="699">
        <f>+H96+H91+H85+H75+H56+H36+H10+H8</f>
        <v>1267</v>
      </c>
      <c r="I98" s="699">
        <f>+H98+G98</f>
        <v>11331</v>
      </c>
      <c r="J98" s="927">
        <f>+J96+J91+J85+J75+J56+J36+J10+J8</f>
        <v>50452</v>
      </c>
      <c r="K98" s="699">
        <f>+K96+K91+K85+K75+K56+K36+K10+K8</f>
        <v>11965</v>
      </c>
      <c r="L98" s="699">
        <f t="shared" si="39"/>
        <v>62417</v>
      </c>
      <c r="M98" s="927">
        <f>+M96+M91+M85+M75+M56+M36+M10+M8</f>
        <v>16779</v>
      </c>
      <c r="N98" s="699">
        <f>+N96+N91+N85+N75+N56+N36+N10+N8</f>
        <v>2236</v>
      </c>
      <c r="O98" s="699">
        <f t="shared" si="40"/>
        <v>19015</v>
      </c>
      <c r="P98" s="699">
        <f t="shared" ref="P98:U98" si="77">+P96+P91+P85+P75+P56+P36+P10+P8</f>
        <v>0</v>
      </c>
      <c r="Q98" s="699">
        <f t="shared" si="77"/>
        <v>0</v>
      </c>
      <c r="R98" s="699">
        <f t="shared" si="77"/>
        <v>0</v>
      </c>
      <c r="S98" s="699">
        <f t="shared" si="77"/>
        <v>0</v>
      </c>
      <c r="T98" s="699">
        <f t="shared" si="77"/>
        <v>0</v>
      </c>
      <c r="U98" s="699">
        <f t="shared" si="77"/>
        <v>0</v>
      </c>
      <c r="V98" s="927">
        <f>+V96+V91+V85+V75+V56+V36+V10+V8</f>
        <v>2500</v>
      </c>
      <c r="W98" s="699">
        <f>+W96+W91+W85+W75+W56+W36+W10+W8</f>
        <v>0</v>
      </c>
      <c r="X98" s="699">
        <f t="shared" si="41"/>
        <v>2500</v>
      </c>
      <c r="Y98" s="927">
        <f>+Y96+Y91+Y85+Y75+Y56+Y36+Y10+Y8</f>
        <v>5834</v>
      </c>
      <c r="Z98" s="699">
        <f>+Z96+Z91+Z85+Z75+Z56+Z36+Z10+Z8</f>
        <v>240</v>
      </c>
      <c r="AA98" s="699">
        <f t="shared" si="42"/>
        <v>6074</v>
      </c>
      <c r="AB98" s="927">
        <f>+AB96+AB91+AB85+AB75+AB56+AB36+AB10+AB8</f>
        <v>3932</v>
      </c>
      <c r="AC98" s="699">
        <f>+AC96+AC91+AC85+AC75+AC56+AC36+AC10+AC8</f>
        <v>-1323</v>
      </c>
      <c r="AD98" s="699">
        <f t="shared" si="43"/>
        <v>2609</v>
      </c>
      <c r="AE98" s="535">
        <f>+AE96+AE91+AE85+AE75+AE56+AE36+AE10+AE8</f>
        <v>178774</v>
      </c>
      <c r="AF98" s="53">
        <f>+AF96+AF91+AF85+AF75+AF56+AF36+AF10+AF8</f>
        <v>-68623</v>
      </c>
      <c r="AG98" s="474">
        <f t="shared" si="44"/>
        <v>110151</v>
      </c>
    </row>
    <row r="99" spans="1:33" ht="12.95" customHeight="1" x14ac:dyDescent="0.25">
      <c r="A99" s="93"/>
      <c r="B99" s="1066"/>
      <c r="C99" s="707"/>
      <c r="D99" s="192"/>
      <c r="E99" s="192"/>
      <c r="F99" s="536"/>
      <c r="I99" s="837"/>
      <c r="L99" s="837"/>
      <c r="O99" s="837"/>
      <c r="X99" s="837"/>
      <c r="AA99" s="837"/>
      <c r="AD99" s="837"/>
      <c r="AG99" s="536"/>
    </row>
    <row r="100" spans="1:33" ht="12.95" hidden="1" customHeight="1" x14ac:dyDescent="0.25">
      <c r="A100" s="760" t="s">
        <v>268</v>
      </c>
      <c r="B100" s="1276" t="s">
        <v>267</v>
      </c>
      <c r="C100" s="1277"/>
      <c r="D100" s="192">
        <f t="shared" ref="D100:F107" si="78">+G100+M100+P100+S100+V100+AE100+J100+Y100+AB100</f>
        <v>0</v>
      </c>
      <c r="E100" s="192">
        <f t="shared" si="78"/>
        <v>0</v>
      </c>
      <c r="F100" s="536">
        <f t="shared" si="78"/>
        <v>0</v>
      </c>
      <c r="I100" s="837">
        <f t="shared" si="38"/>
        <v>0</v>
      </c>
      <c r="L100" s="837">
        <f t="shared" si="39"/>
        <v>0</v>
      </c>
      <c r="O100" s="837">
        <f t="shared" si="40"/>
        <v>0</v>
      </c>
      <c r="X100" s="837">
        <f t="shared" si="41"/>
        <v>0</v>
      </c>
      <c r="AA100" s="837">
        <f t="shared" si="42"/>
        <v>0</v>
      </c>
      <c r="AD100" s="837">
        <f t="shared" si="43"/>
        <v>0</v>
      </c>
      <c r="AG100" s="536">
        <f t="shared" si="44"/>
        <v>0</v>
      </c>
    </row>
    <row r="101" spans="1:33" ht="12.95" hidden="1" customHeight="1" x14ac:dyDescent="0.25">
      <c r="A101" s="760" t="s">
        <v>372</v>
      </c>
      <c r="B101" s="1276" t="s">
        <v>375</v>
      </c>
      <c r="C101" s="1277"/>
      <c r="D101" s="192">
        <f t="shared" si="78"/>
        <v>0</v>
      </c>
      <c r="E101" s="192">
        <f t="shared" si="78"/>
        <v>0</v>
      </c>
      <c r="F101" s="536">
        <f t="shared" si="78"/>
        <v>0</v>
      </c>
      <c r="I101" s="837">
        <f t="shared" si="38"/>
        <v>0</v>
      </c>
      <c r="L101" s="837">
        <f t="shared" si="39"/>
        <v>0</v>
      </c>
      <c r="O101" s="837">
        <f t="shared" si="40"/>
        <v>0</v>
      </c>
      <c r="X101" s="837">
        <f t="shared" si="41"/>
        <v>0</v>
      </c>
      <c r="AA101" s="837">
        <f t="shared" si="42"/>
        <v>0</v>
      </c>
      <c r="AD101" s="837">
        <f t="shared" si="43"/>
        <v>0</v>
      </c>
      <c r="AG101" s="536">
        <f t="shared" si="44"/>
        <v>0</v>
      </c>
    </row>
    <row r="102" spans="1:33" ht="12.95" hidden="1" customHeight="1" x14ac:dyDescent="0.25">
      <c r="A102" s="760" t="s">
        <v>373</v>
      </c>
      <c r="B102" s="1276" t="s">
        <v>374</v>
      </c>
      <c r="C102" s="1277"/>
      <c r="D102" s="192">
        <f t="shared" si="78"/>
        <v>0</v>
      </c>
      <c r="E102" s="192">
        <f t="shared" si="78"/>
        <v>0</v>
      </c>
      <c r="F102" s="536">
        <f t="shared" si="78"/>
        <v>0</v>
      </c>
      <c r="I102" s="837">
        <f t="shared" si="38"/>
        <v>0</v>
      </c>
      <c r="L102" s="837">
        <f t="shared" si="39"/>
        <v>0</v>
      </c>
      <c r="O102" s="837">
        <f t="shared" si="40"/>
        <v>0</v>
      </c>
      <c r="X102" s="837">
        <f t="shared" si="41"/>
        <v>0</v>
      </c>
      <c r="AA102" s="837">
        <f t="shared" si="42"/>
        <v>0</v>
      </c>
      <c r="AD102" s="837">
        <f t="shared" si="43"/>
        <v>0</v>
      </c>
      <c r="AG102" s="536">
        <f t="shared" si="44"/>
        <v>0</v>
      </c>
    </row>
    <row r="103" spans="1:33" s="42" customFormat="1" ht="12.95" customHeight="1" x14ac:dyDescent="0.2">
      <c r="A103" s="1062" t="s">
        <v>270</v>
      </c>
      <c r="B103" s="1278" t="s">
        <v>269</v>
      </c>
      <c r="C103" s="1279"/>
      <c r="D103" s="535">
        <f t="shared" si="78"/>
        <v>0</v>
      </c>
      <c r="E103" s="53">
        <f t="shared" si="78"/>
        <v>0</v>
      </c>
      <c r="F103" s="474">
        <f t="shared" si="78"/>
        <v>0</v>
      </c>
      <c r="G103" s="928"/>
      <c r="H103" s="839"/>
      <c r="I103" s="699">
        <f t="shared" si="38"/>
        <v>0</v>
      </c>
      <c r="J103" s="839"/>
      <c r="K103" s="839"/>
      <c r="L103" s="699">
        <f t="shared" si="39"/>
        <v>0</v>
      </c>
      <c r="M103" s="839"/>
      <c r="N103" s="839"/>
      <c r="O103" s="699">
        <f t="shared" si="40"/>
        <v>0</v>
      </c>
      <c r="P103" s="839">
        <f t="shared" ref="P103:AE103" si="79">SUM(P100:P102)</f>
        <v>0</v>
      </c>
      <c r="Q103" s="839">
        <f t="shared" si="79"/>
        <v>0</v>
      </c>
      <c r="R103" s="839">
        <f t="shared" si="79"/>
        <v>0</v>
      </c>
      <c r="S103" s="839">
        <f t="shared" si="79"/>
        <v>0</v>
      </c>
      <c r="T103" s="839">
        <f t="shared" si="79"/>
        <v>0</v>
      </c>
      <c r="U103" s="839">
        <f t="shared" si="79"/>
        <v>0</v>
      </c>
      <c r="V103" s="839">
        <f t="shared" si="79"/>
        <v>0</v>
      </c>
      <c r="W103" s="839">
        <f t="shared" si="79"/>
        <v>0</v>
      </c>
      <c r="X103" s="699">
        <f t="shared" si="41"/>
        <v>0</v>
      </c>
      <c r="Y103" s="839"/>
      <c r="Z103" s="839"/>
      <c r="AA103" s="699">
        <f t="shared" si="42"/>
        <v>0</v>
      </c>
      <c r="AB103" s="839"/>
      <c r="AC103" s="839"/>
      <c r="AD103" s="699">
        <f t="shared" si="43"/>
        <v>0</v>
      </c>
      <c r="AE103" s="43">
        <f t="shared" si="79"/>
        <v>0</v>
      </c>
      <c r="AF103" s="43">
        <f>SUM(AF100:AF102)</f>
        <v>0</v>
      </c>
      <c r="AG103" s="474">
        <f t="shared" si="44"/>
        <v>0</v>
      </c>
    </row>
    <row r="104" spans="1:33" s="42" customFormat="1" ht="12.95" customHeight="1" x14ac:dyDescent="0.2">
      <c r="A104" s="1062" t="s">
        <v>784</v>
      </c>
      <c r="B104" s="1278" t="s">
        <v>785</v>
      </c>
      <c r="C104" s="1279"/>
      <c r="D104" s="535">
        <f t="shared" si="78"/>
        <v>0</v>
      </c>
      <c r="E104" s="53">
        <f t="shared" si="78"/>
        <v>0</v>
      </c>
      <c r="F104" s="474">
        <f t="shared" si="78"/>
        <v>0</v>
      </c>
      <c r="G104" s="928"/>
      <c r="H104" s="839"/>
      <c r="I104" s="699">
        <f t="shared" si="38"/>
        <v>0</v>
      </c>
      <c r="J104" s="839"/>
      <c r="K104" s="839"/>
      <c r="L104" s="699">
        <f t="shared" si="39"/>
        <v>0</v>
      </c>
      <c r="M104" s="839"/>
      <c r="N104" s="839"/>
      <c r="O104" s="699">
        <f t="shared" si="40"/>
        <v>0</v>
      </c>
      <c r="P104" s="839"/>
      <c r="Q104" s="839"/>
      <c r="R104" s="839"/>
      <c r="S104" s="839"/>
      <c r="T104" s="839"/>
      <c r="U104" s="839"/>
      <c r="V104" s="839"/>
      <c r="W104" s="839"/>
      <c r="X104" s="699">
        <f t="shared" si="41"/>
        <v>0</v>
      </c>
      <c r="Y104" s="839"/>
      <c r="Z104" s="839"/>
      <c r="AA104" s="699">
        <f t="shared" si="42"/>
        <v>0</v>
      </c>
      <c r="AB104" s="839"/>
      <c r="AC104" s="839"/>
      <c r="AD104" s="699">
        <f t="shared" si="43"/>
        <v>0</v>
      </c>
      <c r="AE104" s="43"/>
      <c r="AF104" s="43"/>
      <c r="AG104" s="474">
        <f t="shared" si="44"/>
        <v>0</v>
      </c>
    </row>
    <row r="105" spans="1:33" s="42" customFormat="1" ht="12.95" customHeight="1" x14ac:dyDescent="0.2">
      <c r="A105" s="1062" t="s">
        <v>782</v>
      </c>
      <c r="B105" s="1278" t="s">
        <v>783</v>
      </c>
      <c r="C105" s="1279"/>
      <c r="D105" s="535">
        <f t="shared" si="78"/>
        <v>16091</v>
      </c>
      <c r="E105" s="53">
        <f t="shared" si="78"/>
        <v>0</v>
      </c>
      <c r="F105" s="474">
        <f t="shared" si="78"/>
        <v>16091</v>
      </c>
      <c r="G105" s="928"/>
      <c r="H105" s="839"/>
      <c r="I105" s="699">
        <f t="shared" si="38"/>
        <v>0</v>
      </c>
      <c r="J105" s="839"/>
      <c r="K105" s="839"/>
      <c r="L105" s="699">
        <f t="shared" si="39"/>
        <v>0</v>
      </c>
      <c r="M105" s="839"/>
      <c r="N105" s="839"/>
      <c r="O105" s="699">
        <f t="shared" si="40"/>
        <v>0</v>
      </c>
      <c r="P105" s="839"/>
      <c r="Q105" s="839"/>
      <c r="R105" s="839"/>
      <c r="S105" s="839"/>
      <c r="T105" s="839"/>
      <c r="U105" s="839"/>
      <c r="V105" s="839"/>
      <c r="W105" s="839"/>
      <c r="X105" s="699">
        <f t="shared" si="41"/>
        <v>0</v>
      </c>
      <c r="Y105" s="839"/>
      <c r="Z105" s="839"/>
      <c r="AA105" s="699">
        <f t="shared" si="42"/>
        <v>0</v>
      </c>
      <c r="AB105" s="839"/>
      <c r="AC105" s="839"/>
      <c r="AD105" s="699">
        <f t="shared" si="43"/>
        <v>0</v>
      </c>
      <c r="AE105" s="53">
        <v>16091</v>
      </c>
      <c r="AF105" s="53"/>
      <c r="AG105" s="474">
        <f t="shared" si="44"/>
        <v>16091</v>
      </c>
    </row>
    <row r="106" spans="1:33" s="42" customFormat="1" ht="12.95" customHeight="1" x14ac:dyDescent="0.2">
      <c r="A106" s="1062" t="s">
        <v>376</v>
      </c>
      <c r="B106" s="1278" t="s">
        <v>377</v>
      </c>
      <c r="C106" s="1279"/>
      <c r="D106" s="535">
        <f t="shared" si="78"/>
        <v>454101</v>
      </c>
      <c r="E106" s="53">
        <f t="shared" si="78"/>
        <v>6255</v>
      </c>
      <c r="F106" s="474">
        <f t="shared" si="78"/>
        <v>460356</v>
      </c>
      <c r="G106" s="928"/>
      <c r="H106" s="839"/>
      <c r="I106" s="699">
        <f t="shared" si="38"/>
        <v>0</v>
      </c>
      <c r="J106" s="839"/>
      <c r="K106" s="839"/>
      <c r="L106" s="699">
        <f t="shared" si="39"/>
        <v>0</v>
      </c>
      <c r="M106" s="839"/>
      <c r="N106" s="839"/>
      <c r="O106" s="699">
        <f t="shared" si="40"/>
        <v>0</v>
      </c>
      <c r="P106" s="839"/>
      <c r="Q106" s="839"/>
      <c r="R106" s="839"/>
      <c r="S106" s="839"/>
      <c r="T106" s="839"/>
      <c r="U106" s="839"/>
      <c r="V106" s="839"/>
      <c r="W106" s="839"/>
      <c r="X106" s="699">
        <f t="shared" si="41"/>
        <v>0</v>
      </c>
      <c r="Y106" s="839"/>
      <c r="Z106" s="839"/>
      <c r="AA106" s="699">
        <f t="shared" si="42"/>
        <v>0</v>
      </c>
      <c r="AB106" s="839"/>
      <c r="AC106" s="839"/>
      <c r="AD106" s="699">
        <f t="shared" si="43"/>
        <v>0</v>
      </c>
      <c r="AE106" s="53">
        <f>+'6.mell Int.összesen'!D47</f>
        <v>454101</v>
      </c>
      <c r="AF106" s="53">
        <f>+'6.mell Int.összesen'!E47</f>
        <v>6255</v>
      </c>
      <c r="AG106" s="474">
        <f t="shared" si="44"/>
        <v>460356</v>
      </c>
    </row>
    <row r="107" spans="1:33" s="42" customFormat="1" ht="12.95" customHeight="1" thickBot="1" x14ac:dyDescent="0.25">
      <c r="A107" s="761" t="s">
        <v>271</v>
      </c>
      <c r="B107" s="762" t="s">
        <v>277</v>
      </c>
      <c r="C107" s="767"/>
      <c r="D107" s="708">
        <f t="shared" si="78"/>
        <v>470192</v>
      </c>
      <c r="E107" s="702">
        <f t="shared" si="78"/>
        <v>6255</v>
      </c>
      <c r="F107" s="704">
        <f t="shared" si="78"/>
        <v>476447</v>
      </c>
      <c r="G107" s="929"/>
      <c r="H107" s="840"/>
      <c r="I107" s="703">
        <f t="shared" si="38"/>
        <v>0</v>
      </c>
      <c r="J107" s="840"/>
      <c r="K107" s="840"/>
      <c r="L107" s="703">
        <f t="shared" si="39"/>
        <v>0</v>
      </c>
      <c r="M107" s="840"/>
      <c r="N107" s="840"/>
      <c r="O107" s="703">
        <f t="shared" si="40"/>
        <v>0</v>
      </c>
      <c r="P107" s="840">
        <f t="shared" ref="P107:Z107" si="80">+P106+P103</f>
        <v>0</v>
      </c>
      <c r="Q107" s="840">
        <f t="shared" si="80"/>
        <v>0</v>
      </c>
      <c r="R107" s="840">
        <f t="shared" si="80"/>
        <v>0</v>
      </c>
      <c r="S107" s="840">
        <f t="shared" si="80"/>
        <v>0</v>
      </c>
      <c r="T107" s="840">
        <f t="shared" si="80"/>
        <v>0</v>
      </c>
      <c r="U107" s="840">
        <f t="shared" si="80"/>
        <v>0</v>
      </c>
      <c r="V107" s="840">
        <f t="shared" si="80"/>
        <v>0</v>
      </c>
      <c r="W107" s="840">
        <f t="shared" si="80"/>
        <v>0</v>
      </c>
      <c r="X107" s="703">
        <f t="shared" si="41"/>
        <v>0</v>
      </c>
      <c r="Y107" s="840">
        <f t="shared" si="80"/>
        <v>0</v>
      </c>
      <c r="Z107" s="840">
        <f t="shared" si="80"/>
        <v>0</v>
      </c>
      <c r="AA107" s="703">
        <f t="shared" si="42"/>
        <v>0</v>
      </c>
      <c r="AB107" s="840"/>
      <c r="AC107" s="840"/>
      <c r="AD107" s="703">
        <f t="shared" si="43"/>
        <v>0</v>
      </c>
      <c r="AE107" s="702">
        <f>+AE106+AE103+AE104+AE105</f>
        <v>470192</v>
      </c>
      <c r="AF107" s="702">
        <f t="shared" ref="AF107:AG107" si="81">+AF106+AF103+AF104+AF105</f>
        <v>6255</v>
      </c>
      <c r="AG107" s="702">
        <f t="shared" si="81"/>
        <v>476447</v>
      </c>
    </row>
  </sheetData>
  <mergeCells count="95">
    <mergeCell ref="AE4:AG4"/>
    <mergeCell ref="AB4:AD4"/>
    <mergeCell ref="A1:AG1"/>
    <mergeCell ref="A2:AG2"/>
    <mergeCell ref="G3:I3"/>
    <mergeCell ref="M3:O3"/>
    <mergeCell ref="G4:I4"/>
    <mergeCell ref="M4:O4"/>
    <mergeCell ref="AE3:AG3"/>
    <mergeCell ref="D3:F3"/>
    <mergeCell ref="D4:F4"/>
    <mergeCell ref="A3:A5"/>
    <mergeCell ref="J4:L4"/>
    <mergeCell ref="Y3:AA3"/>
    <mergeCell ref="Y4:AA4"/>
    <mergeCell ref="AB3:AD3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J3:L3"/>
    <mergeCell ref="B10:C10"/>
    <mergeCell ref="B12:C12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45:C45"/>
    <mergeCell ref="B47:C47"/>
    <mergeCell ref="B49:C49"/>
    <mergeCell ref="B28:C28"/>
    <mergeCell ref="B26:C26"/>
    <mergeCell ref="B33:C33"/>
    <mergeCell ref="B22:C22"/>
    <mergeCell ref="B38:C38"/>
    <mergeCell ref="B91:C91"/>
    <mergeCell ref="B95:C95"/>
    <mergeCell ref="B96:C96"/>
    <mergeCell ref="B81:C81"/>
    <mergeCell ref="B82:C82"/>
    <mergeCell ref="B83:C83"/>
    <mergeCell ref="B84:C84"/>
    <mergeCell ref="B85:C85"/>
    <mergeCell ref="B87:C87"/>
    <mergeCell ref="B88:C88"/>
    <mergeCell ref="B89:C89"/>
    <mergeCell ref="B90:C90"/>
    <mergeCell ref="B56:C56"/>
    <mergeCell ref="B57:C57"/>
    <mergeCell ref="B23:C23"/>
    <mergeCell ref="B80:C80"/>
    <mergeCell ref="B61:C61"/>
    <mergeCell ref="B62:C62"/>
    <mergeCell ref="B63:C63"/>
    <mergeCell ref="B75:C75"/>
    <mergeCell ref="B77:C77"/>
    <mergeCell ref="B78:C78"/>
    <mergeCell ref="B58:C58"/>
    <mergeCell ref="B29:C29"/>
    <mergeCell ref="B30:C30"/>
    <mergeCell ref="B31:C31"/>
    <mergeCell ref="B32:C32"/>
    <mergeCell ref="B41:C41"/>
    <mergeCell ref="B42:C42"/>
    <mergeCell ref="B59:C59"/>
    <mergeCell ref="B101:C101"/>
    <mergeCell ref="B102:C102"/>
    <mergeCell ref="B106:C106"/>
    <mergeCell ref="B93:C93"/>
    <mergeCell ref="B98:C98"/>
    <mergeCell ref="B103:C103"/>
    <mergeCell ref="B100:C100"/>
    <mergeCell ref="B94:C94"/>
    <mergeCell ref="B105:C105"/>
    <mergeCell ref="B104:C104"/>
  </mergeCells>
  <printOptions horizontalCentered="1"/>
  <pageMargins left="0.31496062992125984" right="0.31496062992125984" top="0.74803149606299213" bottom="0.15748031496062992" header="0.31496062992125984" footer="0.31496062992125984"/>
  <pageSetup paperSize="9" scale="55" fitToWidth="2" orientation="portrait" r:id="rId1"/>
  <headerFooter>
    <oddHeader>&amp;C&amp;"Times New Roman,Félkövér"&amp;12Martonvásár Város Önkormányzatának kiadásai 2019.
Egyéb tevékenység&amp;R&amp;"Times New Roman,Félkövér"&amp;10 5/g. melléklet</oddHeader>
  </headerFooter>
  <colBreaks count="1" manualBreakCount="1">
    <brk id="1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topLeftCell="A49" zoomScaleNormal="100" workbookViewId="0">
      <selection activeCell="H69" sqref="H69"/>
    </sheetView>
  </sheetViews>
  <sheetFormatPr defaultColWidth="8.85546875" defaultRowHeight="15" x14ac:dyDescent="0.25"/>
  <cols>
    <col min="1" max="1" width="6.85546875" style="1010" customWidth="1"/>
    <col min="2" max="2" width="5" style="1010" customWidth="1"/>
    <col min="3" max="3" width="37" style="1010" customWidth="1"/>
    <col min="4" max="16384" width="8.85546875" style="1010"/>
  </cols>
  <sheetData>
    <row r="2" spans="1:15" ht="29.25" customHeight="1" x14ac:dyDescent="0.25">
      <c r="A2" s="1169" t="s">
        <v>0</v>
      </c>
      <c r="B2" s="1291" t="s">
        <v>282</v>
      </c>
      <c r="C2" s="1292"/>
      <c r="D2" s="1288" t="s">
        <v>300</v>
      </c>
      <c r="E2" s="1288"/>
      <c r="F2" s="1288"/>
      <c r="G2" s="1288" t="s">
        <v>291</v>
      </c>
      <c r="H2" s="1288"/>
      <c r="I2" s="1288"/>
      <c r="J2" s="1288" t="s">
        <v>292</v>
      </c>
      <c r="K2" s="1288"/>
      <c r="L2" s="1288"/>
      <c r="M2" s="1288" t="s">
        <v>293</v>
      </c>
      <c r="N2" s="1288"/>
      <c r="O2" s="1288"/>
    </row>
    <row r="3" spans="1:15" ht="25.5" x14ac:dyDescent="0.25">
      <c r="A3" s="1169"/>
      <c r="B3" s="1293"/>
      <c r="C3" s="1294"/>
      <c r="D3" s="1069" t="s">
        <v>912</v>
      </c>
      <c r="E3" s="1069" t="s">
        <v>727</v>
      </c>
      <c r="F3" s="1069" t="s">
        <v>950</v>
      </c>
      <c r="G3" s="1069" t="s">
        <v>912</v>
      </c>
      <c r="H3" s="1069" t="s">
        <v>727</v>
      </c>
      <c r="I3" s="1069" t="s">
        <v>950</v>
      </c>
      <c r="J3" s="1069" t="s">
        <v>912</v>
      </c>
      <c r="K3" s="1069" t="s">
        <v>727</v>
      </c>
      <c r="L3" s="1069" t="s">
        <v>950</v>
      </c>
      <c r="M3" s="1069" t="s">
        <v>912</v>
      </c>
      <c r="N3" s="1069" t="s">
        <v>727</v>
      </c>
      <c r="O3" s="1069" t="s">
        <v>950</v>
      </c>
    </row>
    <row r="4" spans="1:15" s="544" customFormat="1" ht="24" customHeight="1" x14ac:dyDescent="0.25">
      <c r="A4" s="317" t="s">
        <v>206</v>
      </c>
      <c r="B4" s="1295" t="s">
        <v>205</v>
      </c>
      <c r="C4" s="1296"/>
      <c r="D4" s="1000">
        <f>+G4+J4+M4</f>
        <v>2512</v>
      </c>
      <c r="E4" s="1000">
        <f t="shared" ref="E4:F19" si="0">+H4+K4+N4</f>
        <v>43</v>
      </c>
      <c r="F4" s="1000">
        <f t="shared" si="0"/>
        <v>2555</v>
      </c>
      <c r="G4" s="1000">
        <v>2512</v>
      </c>
      <c r="H4" s="1000">
        <v>43</v>
      </c>
      <c r="I4" s="1000">
        <f>+H4+G4</f>
        <v>2555</v>
      </c>
      <c r="J4" s="1000">
        <f>SUM(J5:J14)</f>
        <v>0</v>
      </c>
      <c r="K4" s="1000"/>
      <c r="L4" s="1000">
        <f>+K4+J4</f>
        <v>0</v>
      </c>
      <c r="M4" s="1000">
        <f>SUM(M5:M14)</f>
        <v>0</v>
      </c>
      <c r="N4" s="1000"/>
      <c r="O4" s="1000">
        <f>+N4+M4</f>
        <v>0</v>
      </c>
    </row>
    <row r="5" spans="1:15" s="1090" customFormat="1" ht="14.45" hidden="1" customHeight="1" x14ac:dyDescent="0.25">
      <c r="A5" s="86"/>
      <c r="B5" s="1289" t="s">
        <v>332</v>
      </c>
      <c r="C5" s="1290"/>
      <c r="D5" s="1003">
        <f t="shared" ref="D5:F49" si="1">+G5+J5+M5</f>
        <v>0</v>
      </c>
      <c r="E5" s="1001">
        <f t="shared" si="0"/>
        <v>0</v>
      </c>
      <c r="F5" s="1001">
        <f t="shared" si="0"/>
        <v>0</v>
      </c>
      <c r="G5" s="1001"/>
      <c r="H5" s="1001"/>
      <c r="I5" s="1001"/>
      <c r="J5" s="1001"/>
      <c r="K5" s="1001"/>
      <c r="L5" s="1001">
        <f t="shared" ref="L5:L49" si="2">+K5+J5</f>
        <v>0</v>
      </c>
      <c r="M5" s="1001"/>
      <c r="N5" s="1001"/>
      <c r="O5" s="1003">
        <f t="shared" ref="O5:O41" si="3">+N5+M5</f>
        <v>0</v>
      </c>
    </row>
    <row r="6" spans="1:15" s="1090" customFormat="1" ht="14.45" hidden="1" customHeight="1" x14ac:dyDescent="0.25">
      <c r="A6" s="86"/>
      <c r="B6" s="1289" t="s">
        <v>322</v>
      </c>
      <c r="C6" s="1290"/>
      <c r="D6" s="1003">
        <f t="shared" si="1"/>
        <v>0</v>
      </c>
      <c r="E6" s="1001">
        <f t="shared" si="0"/>
        <v>0</v>
      </c>
      <c r="F6" s="1001">
        <f t="shared" si="0"/>
        <v>0</v>
      </c>
      <c r="G6" s="1001"/>
      <c r="H6" s="1001"/>
      <c r="I6" s="1001"/>
      <c r="J6" s="1001"/>
      <c r="K6" s="1001"/>
      <c r="L6" s="1001">
        <f t="shared" si="2"/>
        <v>0</v>
      </c>
      <c r="M6" s="1001"/>
      <c r="N6" s="1001"/>
      <c r="O6" s="1003">
        <f t="shared" si="3"/>
        <v>0</v>
      </c>
    </row>
    <row r="7" spans="1:15" s="1090" customFormat="1" ht="14.45" hidden="1" customHeight="1" x14ac:dyDescent="0.25">
      <c r="A7" s="86"/>
      <c r="B7" s="1289" t="s">
        <v>323</v>
      </c>
      <c r="C7" s="1290"/>
      <c r="D7" s="1003">
        <f t="shared" si="1"/>
        <v>0</v>
      </c>
      <c r="E7" s="1001">
        <f t="shared" si="0"/>
        <v>0</v>
      </c>
      <c r="F7" s="1001">
        <f t="shared" si="0"/>
        <v>0</v>
      </c>
      <c r="G7" s="1001"/>
      <c r="H7" s="1001"/>
      <c r="I7" s="1001"/>
      <c r="J7" s="1001"/>
      <c r="K7" s="1001"/>
      <c r="L7" s="1001">
        <f t="shared" si="2"/>
        <v>0</v>
      </c>
      <c r="M7" s="1001"/>
      <c r="N7" s="1001"/>
      <c r="O7" s="1003">
        <f t="shared" si="3"/>
        <v>0</v>
      </c>
    </row>
    <row r="8" spans="1:15" s="1090" customFormat="1" ht="14.45" hidden="1" customHeight="1" x14ac:dyDescent="0.25">
      <c r="A8" s="86"/>
      <c r="B8" s="1289" t="s">
        <v>324</v>
      </c>
      <c r="C8" s="1290"/>
      <c r="D8" s="1003">
        <f t="shared" si="1"/>
        <v>0</v>
      </c>
      <c r="E8" s="1001">
        <f t="shared" si="0"/>
        <v>0</v>
      </c>
      <c r="F8" s="1001">
        <f t="shared" si="0"/>
        <v>0</v>
      </c>
      <c r="G8" s="1001"/>
      <c r="H8" s="1001"/>
      <c r="I8" s="1001"/>
      <c r="J8" s="1001"/>
      <c r="K8" s="1001"/>
      <c r="L8" s="1001">
        <f t="shared" si="2"/>
        <v>0</v>
      </c>
      <c r="M8" s="1001"/>
      <c r="N8" s="1001"/>
      <c r="O8" s="1003">
        <f t="shared" si="3"/>
        <v>0</v>
      </c>
    </row>
    <row r="9" spans="1:15" s="1090" customFormat="1" ht="14.45" hidden="1" customHeight="1" x14ac:dyDescent="0.25">
      <c r="A9" s="86"/>
      <c r="B9" s="1289" t="s">
        <v>325</v>
      </c>
      <c r="C9" s="1290"/>
      <c r="D9" s="1003">
        <f t="shared" si="1"/>
        <v>0</v>
      </c>
      <c r="E9" s="1001">
        <f t="shared" si="0"/>
        <v>0</v>
      </c>
      <c r="F9" s="1001">
        <f t="shared" si="0"/>
        <v>0</v>
      </c>
      <c r="G9" s="1001"/>
      <c r="H9" s="1001"/>
      <c r="I9" s="1001"/>
      <c r="J9" s="1001"/>
      <c r="K9" s="1001"/>
      <c r="L9" s="1001">
        <f t="shared" si="2"/>
        <v>0</v>
      </c>
      <c r="M9" s="1001"/>
      <c r="N9" s="1001"/>
      <c r="O9" s="1003">
        <f t="shared" si="3"/>
        <v>0</v>
      </c>
    </row>
    <row r="10" spans="1:15" s="1090" customFormat="1" ht="14.45" hidden="1" customHeight="1" x14ac:dyDescent="0.25">
      <c r="A10" s="86"/>
      <c r="B10" s="1289" t="s">
        <v>326</v>
      </c>
      <c r="C10" s="1290"/>
      <c r="D10" s="1003">
        <f t="shared" si="1"/>
        <v>0</v>
      </c>
      <c r="E10" s="1001">
        <f t="shared" si="0"/>
        <v>0</v>
      </c>
      <c r="F10" s="1001">
        <f t="shared" si="0"/>
        <v>0</v>
      </c>
      <c r="G10" s="1001"/>
      <c r="H10" s="1001"/>
      <c r="I10" s="1001"/>
      <c r="J10" s="1001"/>
      <c r="K10" s="1001"/>
      <c r="L10" s="1001">
        <f t="shared" si="2"/>
        <v>0</v>
      </c>
      <c r="M10" s="1001"/>
      <c r="N10" s="1001"/>
      <c r="O10" s="1003">
        <f t="shared" si="3"/>
        <v>0</v>
      </c>
    </row>
    <row r="11" spans="1:15" s="1090" customFormat="1" ht="14.45" hidden="1" customHeight="1" x14ac:dyDescent="0.25">
      <c r="A11" s="86"/>
      <c r="B11" s="1289" t="s">
        <v>99</v>
      </c>
      <c r="C11" s="1290"/>
      <c r="D11" s="1003">
        <f t="shared" si="1"/>
        <v>0</v>
      </c>
      <c r="E11" s="1001">
        <f t="shared" si="0"/>
        <v>0</v>
      </c>
      <c r="F11" s="1001">
        <f t="shared" si="0"/>
        <v>0</v>
      </c>
      <c r="G11" s="1001"/>
      <c r="H11" s="1001"/>
      <c r="I11" s="1001"/>
      <c r="J11" s="1001"/>
      <c r="K11" s="1001"/>
      <c r="L11" s="1001">
        <f t="shared" si="2"/>
        <v>0</v>
      </c>
      <c r="M11" s="1001"/>
      <c r="N11" s="1001"/>
      <c r="O11" s="1003">
        <f t="shared" si="3"/>
        <v>0</v>
      </c>
    </row>
    <row r="12" spans="1:15" s="1090" customFormat="1" ht="14.45" hidden="1" customHeight="1" x14ac:dyDescent="0.25">
      <c r="A12" s="86"/>
      <c r="B12" s="1289" t="s">
        <v>100</v>
      </c>
      <c r="C12" s="1290"/>
      <c r="D12" s="1003">
        <f t="shared" si="1"/>
        <v>0</v>
      </c>
      <c r="E12" s="1001">
        <f t="shared" si="0"/>
        <v>0</v>
      </c>
      <c r="F12" s="1001">
        <f t="shared" si="0"/>
        <v>0</v>
      </c>
      <c r="G12" s="1001"/>
      <c r="H12" s="1001"/>
      <c r="I12" s="1001"/>
      <c r="J12" s="1001"/>
      <c r="K12" s="1001"/>
      <c r="L12" s="1001">
        <f t="shared" si="2"/>
        <v>0</v>
      </c>
      <c r="M12" s="1001"/>
      <c r="N12" s="1001"/>
      <c r="O12" s="1003">
        <f t="shared" si="3"/>
        <v>0</v>
      </c>
    </row>
    <row r="13" spans="1:15" s="1090" customFormat="1" ht="14.45" hidden="1" customHeight="1" x14ac:dyDescent="0.25">
      <c r="A13" s="86"/>
      <c r="B13" s="1289" t="s">
        <v>327</v>
      </c>
      <c r="C13" s="1290"/>
      <c r="D13" s="1003">
        <f t="shared" si="1"/>
        <v>0</v>
      </c>
      <c r="E13" s="1001">
        <f t="shared" si="0"/>
        <v>0</v>
      </c>
      <c r="F13" s="1001">
        <f t="shared" si="0"/>
        <v>0</v>
      </c>
      <c r="G13" s="1001"/>
      <c r="H13" s="1001"/>
      <c r="I13" s="1001"/>
      <c r="J13" s="1001"/>
      <c r="K13" s="1001"/>
      <c r="L13" s="1001">
        <f t="shared" si="2"/>
        <v>0</v>
      </c>
      <c r="M13" s="1001"/>
      <c r="N13" s="1001"/>
      <c r="O13" s="1003">
        <f t="shared" si="3"/>
        <v>0</v>
      </c>
    </row>
    <row r="14" spans="1:15" s="1090" customFormat="1" ht="14.45" hidden="1" customHeight="1" x14ac:dyDescent="0.25">
      <c r="A14" s="86"/>
      <c r="B14" s="1289" t="s">
        <v>328</v>
      </c>
      <c r="C14" s="1290"/>
      <c r="D14" s="1003">
        <f t="shared" si="1"/>
        <v>0</v>
      </c>
      <c r="E14" s="1001">
        <f t="shared" si="0"/>
        <v>0</v>
      </c>
      <c r="F14" s="1001">
        <f t="shared" si="0"/>
        <v>0</v>
      </c>
      <c r="G14" s="1001"/>
      <c r="H14" s="1001"/>
      <c r="I14" s="1001"/>
      <c r="J14" s="1001"/>
      <c r="K14" s="1001"/>
      <c r="L14" s="1001">
        <f t="shared" si="2"/>
        <v>0</v>
      </c>
      <c r="M14" s="1001"/>
      <c r="N14" s="1001"/>
      <c r="O14" s="1003">
        <f t="shared" si="3"/>
        <v>0</v>
      </c>
    </row>
    <row r="15" spans="1:15" s="1090" customFormat="1" x14ac:dyDescent="0.25">
      <c r="A15" s="62" t="s">
        <v>207</v>
      </c>
      <c r="B15" s="1297" t="s">
        <v>408</v>
      </c>
      <c r="C15" s="1298"/>
      <c r="D15" s="1002">
        <f t="shared" si="1"/>
        <v>2512</v>
      </c>
      <c r="E15" s="1002">
        <f t="shared" si="0"/>
        <v>43</v>
      </c>
      <c r="F15" s="1002">
        <f t="shared" si="0"/>
        <v>2555</v>
      </c>
      <c r="G15" s="1002">
        <f>+G4</f>
        <v>2512</v>
      </c>
      <c r="H15" s="1002">
        <f t="shared" ref="H15:I15" si="4">+H4</f>
        <v>43</v>
      </c>
      <c r="I15" s="1002">
        <f t="shared" si="4"/>
        <v>2555</v>
      </c>
      <c r="J15" s="1002">
        <f>+J4</f>
        <v>0</v>
      </c>
      <c r="K15" s="1002"/>
      <c r="L15" s="1002">
        <f t="shared" si="2"/>
        <v>0</v>
      </c>
      <c r="M15" s="1002">
        <f>+M4</f>
        <v>0</v>
      </c>
      <c r="N15" s="1002"/>
      <c r="O15" s="1003">
        <f t="shared" si="3"/>
        <v>0</v>
      </c>
    </row>
    <row r="16" spans="1:15" s="1090" customFormat="1" x14ac:dyDescent="0.25">
      <c r="A16" s="61" t="s">
        <v>209</v>
      </c>
      <c r="B16" s="1299" t="s">
        <v>208</v>
      </c>
      <c r="C16" s="1300"/>
      <c r="D16" s="1003">
        <f t="shared" si="1"/>
        <v>0</v>
      </c>
      <c r="E16" s="1003">
        <f t="shared" si="0"/>
        <v>0</v>
      </c>
      <c r="F16" s="1003">
        <f t="shared" si="0"/>
        <v>0</v>
      </c>
      <c r="G16" s="1003">
        <v>0</v>
      </c>
      <c r="H16" s="1003"/>
      <c r="I16" s="1003">
        <f>+H16+G16</f>
        <v>0</v>
      </c>
      <c r="J16" s="1003">
        <f>+J19</f>
        <v>0</v>
      </c>
      <c r="K16" s="1003"/>
      <c r="L16" s="1003">
        <f t="shared" si="2"/>
        <v>0</v>
      </c>
      <c r="M16" s="1003">
        <f>+M19</f>
        <v>0</v>
      </c>
      <c r="N16" s="1003"/>
      <c r="O16" s="1003">
        <f t="shared" si="3"/>
        <v>0</v>
      </c>
    </row>
    <row r="17" spans="1:15" s="1090" customFormat="1" ht="14.45" hidden="1" customHeight="1" x14ac:dyDescent="0.25">
      <c r="A17" s="86"/>
      <c r="B17" s="1289" t="s">
        <v>332</v>
      </c>
      <c r="C17" s="1290"/>
      <c r="D17" s="1003">
        <f t="shared" si="1"/>
        <v>0</v>
      </c>
      <c r="E17" s="1001">
        <f t="shared" si="0"/>
        <v>0</v>
      </c>
      <c r="F17" s="1001">
        <f t="shared" si="0"/>
        <v>0</v>
      </c>
      <c r="G17" s="1001"/>
      <c r="H17" s="1001"/>
      <c r="I17" s="1003">
        <f t="shared" ref="I17:I41" si="5">+H17+G17</f>
        <v>0</v>
      </c>
      <c r="J17" s="1001"/>
      <c r="K17" s="1001"/>
      <c r="L17" s="1001">
        <f t="shared" si="2"/>
        <v>0</v>
      </c>
      <c r="M17" s="1001"/>
      <c r="N17" s="1001"/>
      <c r="O17" s="1003">
        <f t="shared" si="3"/>
        <v>0</v>
      </c>
    </row>
    <row r="18" spans="1:15" s="1090" customFormat="1" ht="14.45" hidden="1" customHeight="1" x14ac:dyDescent="0.25">
      <c r="A18" s="86"/>
      <c r="B18" s="1289" t="s">
        <v>322</v>
      </c>
      <c r="C18" s="1290"/>
      <c r="D18" s="1003">
        <f t="shared" si="1"/>
        <v>0</v>
      </c>
      <c r="E18" s="1001">
        <f t="shared" si="0"/>
        <v>0</v>
      </c>
      <c r="F18" s="1001">
        <f t="shared" si="0"/>
        <v>0</v>
      </c>
      <c r="G18" s="1001"/>
      <c r="H18" s="1001"/>
      <c r="I18" s="1003">
        <f t="shared" si="5"/>
        <v>0</v>
      </c>
      <c r="J18" s="1001"/>
      <c r="K18" s="1001"/>
      <c r="L18" s="1001">
        <f t="shared" si="2"/>
        <v>0</v>
      </c>
      <c r="M18" s="1001"/>
      <c r="N18" s="1001"/>
      <c r="O18" s="1003">
        <f t="shared" si="3"/>
        <v>0</v>
      </c>
    </row>
    <row r="19" spans="1:15" s="1090" customFormat="1" ht="14.45" hidden="1" customHeight="1" x14ac:dyDescent="0.25">
      <c r="A19" s="86"/>
      <c r="B19" s="1289" t="s">
        <v>323</v>
      </c>
      <c r="C19" s="1290"/>
      <c r="D19" s="1003">
        <f t="shared" si="1"/>
        <v>0</v>
      </c>
      <c r="E19" s="1001">
        <f t="shared" si="0"/>
        <v>0</v>
      </c>
      <c r="F19" s="1001">
        <f t="shared" si="0"/>
        <v>0</v>
      </c>
      <c r="G19" s="1001"/>
      <c r="H19" s="1001"/>
      <c r="I19" s="1003">
        <f t="shared" si="5"/>
        <v>0</v>
      </c>
      <c r="J19" s="1001"/>
      <c r="K19" s="1001"/>
      <c r="L19" s="1001">
        <f t="shared" si="2"/>
        <v>0</v>
      </c>
      <c r="M19" s="1001"/>
      <c r="N19" s="1001"/>
      <c r="O19" s="1003">
        <f t="shared" si="3"/>
        <v>0</v>
      </c>
    </row>
    <row r="20" spans="1:15" s="1090" customFormat="1" ht="14.45" hidden="1" customHeight="1" x14ac:dyDescent="0.25">
      <c r="A20" s="86"/>
      <c r="B20" s="1289" t="s">
        <v>324</v>
      </c>
      <c r="C20" s="1290"/>
      <c r="D20" s="1003">
        <f t="shared" si="1"/>
        <v>0</v>
      </c>
      <c r="E20" s="1001">
        <f t="shared" si="1"/>
        <v>0</v>
      </c>
      <c r="F20" s="1001">
        <f t="shared" si="1"/>
        <v>0</v>
      </c>
      <c r="G20" s="1001"/>
      <c r="H20" s="1001"/>
      <c r="I20" s="1003">
        <f t="shared" si="5"/>
        <v>0</v>
      </c>
      <c r="J20" s="1001"/>
      <c r="K20" s="1001"/>
      <c r="L20" s="1001">
        <f t="shared" si="2"/>
        <v>0</v>
      </c>
      <c r="M20" s="1001"/>
      <c r="N20" s="1001"/>
      <c r="O20" s="1003">
        <f t="shared" si="3"/>
        <v>0</v>
      </c>
    </row>
    <row r="21" spans="1:15" s="1090" customFormat="1" ht="14.45" hidden="1" customHeight="1" x14ac:dyDescent="0.25">
      <c r="A21" s="86"/>
      <c r="B21" s="1289" t="s">
        <v>325</v>
      </c>
      <c r="C21" s="1290"/>
      <c r="D21" s="1003">
        <f t="shared" si="1"/>
        <v>0</v>
      </c>
      <c r="E21" s="1001">
        <f t="shared" si="1"/>
        <v>0</v>
      </c>
      <c r="F21" s="1001">
        <f t="shared" si="1"/>
        <v>0</v>
      </c>
      <c r="G21" s="1001"/>
      <c r="H21" s="1001"/>
      <c r="I21" s="1003">
        <f t="shared" si="5"/>
        <v>0</v>
      </c>
      <c r="J21" s="1001"/>
      <c r="K21" s="1001"/>
      <c r="L21" s="1001">
        <f t="shared" si="2"/>
        <v>0</v>
      </c>
      <c r="M21" s="1001"/>
      <c r="N21" s="1001"/>
      <c r="O21" s="1003">
        <f t="shared" si="3"/>
        <v>0</v>
      </c>
    </row>
    <row r="22" spans="1:15" s="1090" customFormat="1" ht="14.45" hidden="1" customHeight="1" x14ac:dyDescent="0.25">
      <c r="A22" s="86"/>
      <c r="B22" s="1289" t="s">
        <v>326</v>
      </c>
      <c r="C22" s="1290"/>
      <c r="D22" s="1003">
        <f t="shared" si="1"/>
        <v>0</v>
      </c>
      <c r="E22" s="1001">
        <f t="shared" si="1"/>
        <v>0</v>
      </c>
      <c r="F22" s="1001">
        <f t="shared" si="1"/>
        <v>0</v>
      </c>
      <c r="G22" s="1001"/>
      <c r="H22" s="1001"/>
      <c r="I22" s="1003">
        <f t="shared" si="5"/>
        <v>0</v>
      </c>
      <c r="J22" s="1001"/>
      <c r="K22" s="1001"/>
      <c r="L22" s="1001">
        <f t="shared" si="2"/>
        <v>0</v>
      </c>
      <c r="M22" s="1001"/>
      <c r="N22" s="1001"/>
      <c r="O22" s="1003">
        <f t="shared" si="3"/>
        <v>0</v>
      </c>
    </row>
    <row r="23" spans="1:15" s="1090" customFormat="1" ht="14.45" hidden="1" customHeight="1" x14ac:dyDescent="0.25">
      <c r="A23" s="86"/>
      <c r="B23" s="1289" t="s">
        <v>99</v>
      </c>
      <c r="C23" s="1290"/>
      <c r="D23" s="1003">
        <f t="shared" si="1"/>
        <v>0</v>
      </c>
      <c r="E23" s="1001">
        <f t="shared" si="1"/>
        <v>0</v>
      </c>
      <c r="F23" s="1001">
        <f t="shared" si="1"/>
        <v>0</v>
      </c>
      <c r="G23" s="1001"/>
      <c r="H23" s="1001"/>
      <c r="I23" s="1003">
        <f t="shared" si="5"/>
        <v>0</v>
      </c>
      <c r="J23" s="1001"/>
      <c r="K23" s="1001"/>
      <c r="L23" s="1001">
        <f t="shared" si="2"/>
        <v>0</v>
      </c>
      <c r="M23" s="1001"/>
      <c r="N23" s="1001"/>
      <c r="O23" s="1003">
        <f t="shared" si="3"/>
        <v>0</v>
      </c>
    </row>
    <row r="24" spans="1:15" s="1090" customFormat="1" ht="14.45" hidden="1" customHeight="1" x14ac:dyDescent="0.25">
      <c r="A24" s="86"/>
      <c r="B24" s="1289" t="s">
        <v>100</v>
      </c>
      <c r="C24" s="1290"/>
      <c r="D24" s="1003">
        <f t="shared" si="1"/>
        <v>0</v>
      </c>
      <c r="E24" s="1001">
        <f t="shared" si="1"/>
        <v>0</v>
      </c>
      <c r="F24" s="1001">
        <f t="shared" si="1"/>
        <v>0</v>
      </c>
      <c r="G24" s="1001"/>
      <c r="H24" s="1001"/>
      <c r="I24" s="1003">
        <f t="shared" si="5"/>
        <v>0</v>
      </c>
      <c r="J24" s="1001"/>
      <c r="K24" s="1001"/>
      <c r="L24" s="1001">
        <f t="shared" si="2"/>
        <v>0</v>
      </c>
      <c r="M24" s="1001"/>
      <c r="N24" s="1001"/>
      <c r="O24" s="1003">
        <f t="shared" si="3"/>
        <v>0</v>
      </c>
    </row>
    <row r="25" spans="1:15" s="1090" customFormat="1" ht="14.45" hidden="1" customHeight="1" x14ac:dyDescent="0.25">
      <c r="A25" s="86"/>
      <c r="B25" s="1289" t="s">
        <v>327</v>
      </c>
      <c r="C25" s="1290"/>
      <c r="D25" s="1003">
        <f t="shared" si="1"/>
        <v>0</v>
      </c>
      <c r="E25" s="1001">
        <f t="shared" si="1"/>
        <v>0</v>
      </c>
      <c r="F25" s="1001">
        <f t="shared" si="1"/>
        <v>0</v>
      </c>
      <c r="G25" s="1001"/>
      <c r="H25" s="1001"/>
      <c r="I25" s="1003">
        <f t="shared" si="5"/>
        <v>0</v>
      </c>
      <c r="J25" s="1001"/>
      <c r="K25" s="1001"/>
      <c r="L25" s="1001">
        <f t="shared" si="2"/>
        <v>0</v>
      </c>
      <c r="M25" s="1001"/>
      <c r="N25" s="1001"/>
      <c r="O25" s="1003">
        <f t="shared" si="3"/>
        <v>0</v>
      </c>
    </row>
    <row r="26" spans="1:15" s="1090" customFormat="1" ht="14.45" hidden="1" customHeight="1" x14ac:dyDescent="0.25">
      <c r="A26" s="86"/>
      <c r="B26" s="1289" t="s">
        <v>328</v>
      </c>
      <c r="C26" s="1290"/>
      <c r="D26" s="1003">
        <f t="shared" si="1"/>
        <v>0</v>
      </c>
      <c r="E26" s="1001">
        <f t="shared" si="1"/>
        <v>0</v>
      </c>
      <c r="F26" s="1001">
        <f t="shared" si="1"/>
        <v>0</v>
      </c>
      <c r="G26" s="1001"/>
      <c r="H26" s="1001"/>
      <c r="I26" s="1003">
        <f t="shared" si="5"/>
        <v>0</v>
      </c>
      <c r="J26" s="1001"/>
      <c r="K26" s="1001"/>
      <c r="L26" s="1001">
        <f t="shared" si="2"/>
        <v>0</v>
      </c>
      <c r="M26" s="1001"/>
      <c r="N26" s="1001"/>
      <c r="O26" s="1003">
        <f t="shared" si="3"/>
        <v>0</v>
      </c>
    </row>
    <row r="27" spans="1:15" s="1090" customFormat="1" x14ac:dyDescent="0.25">
      <c r="A27" s="62" t="s">
        <v>210</v>
      </c>
      <c r="B27" s="1297" t="s">
        <v>330</v>
      </c>
      <c r="C27" s="1298"/>
      <c r="D27" s="1002">
        <f t="shared" si="1"/>
        <v>0</v>
      </c>
      <c r="E27" s="1002">
        <f t="shared" si="1"/>
        <v>0</v>
      </c>
      <c r="F27" s="1002">
        <f t="shared" si="1"/>
        <v>0</v>
      </c>
      <c r="G27" s="1002">
        <v>0</v>
      </c>
      <c r="H27" s="1002"/>
      <c r="I27" s="1002">
        <f t="shared" si="5"/>
        <v>0</v>
      </c>
      <c r="J27" s="1002">
        <f>+J16</f>
        <v>0</v>
      </c>
      <c r="K27" s="1002"/>
      <c r="L27" s="1002">
        <f t="shared" si="2"/>
        <v>0</v>
      </c>
      <c r="M27" s="1002">
        <f>+M16</f>
        <v>0</v>
      </c>
      <c r="N27" s="1002"/>
      <c r="O27" s="1003">
        <f t="shared" si="3"/>
        <v>0</v>
      </c>
    </row>
    <row r="28" spans="1:15" s="544" customFormat="1" ht="14.45" customHeight="1" x14ac:dyDescent="0.25">
      <c r="A28" s="776" t="s">
        <v>235</v>
      </c>
      <c r="B28" s="1303" t="s">
        <v>335</v>
      </c>
      <c r="C28" s="1304"/>
      <c r="D28" s="1004">
        <f t="shared" si="1"/>
        <v>0</v>
      </c>
      <c r="E28" s="1004">
        <f t="shared" si="1"/>
        <v>0</v>
      </c>
      <c r="F28" s="1004">
        <f t="shared" si="1"/>
        <v>0</v>
      </c>
      <c r="G28" s="1004">
        <v>0</v>
      </c>
      <c r="H28" s="1004"/>
      <c r="I28" s="1004">
        <f t="shared" si="5"/>
        <v>0</v>
      </c>
      <c r="J28" s="1004">
        <v>0</v>
      </c>
      <c r="K28" s="1004"/>
      <c r="L28" s="1004">
        <f t="shared" si="2"/>
        <v>0</v>
      </c>
      <c r="M28" s="1004">
        <v>0</v>
      </c>
      <c r="N28" s="1004"/>
      <c r="O28" s="1000">
        <f t="shared" si="3"/>
        <v>0</v>
      </c>
    </row>
    <row r="29" spans="1:15" s="544" customFormat="1" ht="14.45" customHeight="1" x14ac:dyDescent="0.25">
      <c r="A29" s="317" t="s">
        <v>239</v>
      </c>
      <c r="B29" s="1305" t="s">
        <v>238</v>
      </c>
      <c r="C29" s="1305"/>
      <c r="D29" s="777">
        <f t="shared" si="1"/>
        <v>7758</v>
      </c>
      <c r="E29" s="777">
        <f t="shared" si="1"/>
        <v>169</v>
      </c>
      <c r="F29" s="1005">
        <f t="shared" si="1"/>
        <v>7927</v>
      </c>
      <c r="G29" s="777">
        <v>1094</v>
      </c>
      <c r="H29" s="777">
        <v>149</v>
      </c>
      <c r="I29" s="1000">
        <f t="shared" si="5"/>
        <v>1243</v>
      </c>
      <c r="J29" s="777">
        <v>3709</v>
      </c>
      <c r="K29" s="777"/>
      <c r="L29" s="1005">
        <f t="shared" si="2"/>
        <v>3709</v>
      </c>
      <c r="M29" s="777">
        <v>2955</v>
      </c>
      <c r="N29" s="777">
        <v>20</v>
      </c>
      <c r="O29" s="1000">
        <f t="shared" si="3"/>
        <v>2975</v>
      </c>
    </row>
    <row r="30" spans="1:15" s="544" customFormat="1" ht="14.45" customHeight="1" x14ac:dyDescent="0.25">
      <c r="A30" s="778" t="s">
        <v>241</v>
      </c>
      <c r="B30" s="1305" t="s">
        <v>240</v>
      </c>
      <c r="C30" s="1305"/>
      <c r="D30" s="777">
        <f t="shared" si="1"/>
        <v>511</v>
      </c>
      <c r="E30" s="777">
        <f t="shared" si="1"/>
        <v>130</v>
      </c>
      <c r="F30" s="1005">
        <f t="shared" si="1"/>
        <v>641</v>
      </c>
      <c r="G30" s="777">
        <v>456</v>
      </c>
      <c r="H30" s="777">
        <v>120</v>
      </c>
      <c r="I30" s="1000">
        <f t="shared" si="5"/>
        <v>576</v>
      </c>
      <c r="J30" s="777"/>
      <c r="K30" s="777"/>
      <c r="L30" s="1005">
        <f t="shared" si="2"/>
        <v>0</v>
      </c>
      <c r="M30" s="777">
        <v>55</v>
      </c>
      <c r="N30" s="777">
        <v>10</v>
      </c>
      <c r="O30" s="1000">
        <f t="shared" si="3"/>
        <v>65</v>
      </c>
    </row>
    <row r="31" spans="1:15" s="544" customFormat="1" ht="14.45" customHeight="1" x14ac:dyDescent="0.25">
      <c r="A31" s="778" t="s">
        <v>243</v>
      </c>
      <c r="B31" s="1305" t="s">
        <v>242</v>
      </c>
      <c r="C31" s="1305"/>
      <c r="D31" s="777">
        <f t="shared" si="1"/>
        <v>1855</v>
      </c>
      <c r="E31" s="777">
        <f t="shared" si="1"/>
        <v>243</v>
      </c>
      <c r="F31" s="1005">
        <f t="shared" si="1"/>
        <v>2098</v>
      </c>
      <c r="G31" s="777"/>
      <c r="H31" s="777"/>
      <c r="I31" s="1000">
        <f t="shared" si="5"/>
        <v>0</v>
      </c>
      <c r="J31" s="777">
        <v>55</v>
      </c>
      <c r="K31" s="777">
        <v>243</v>
      </c>
      <c r="L31" s="1005">
        <f t="shared" si="2"/>
        <v>298</v>
      </c>
      <c r="M31" s="777">
        <v>1800</v>
      </c>
      <c r="N31" s="777"/>
      <c r="O31" s="1000">
        <f t="shared" si="3"/>
        <v>1800</v>
      </c>
    </row>
    <row r="32" spans="1:15" s="544" customFormat="1" ht="14.45" customHeight="1" x14ac:dyDescent="0.25">
      <c r="A32" s="317" t="s">
        <v>247</v>
      </c>
      <c r="B32" s="1301" t="s">
        <v>246</v>
      </c>
      <c r="C32" s="1302"/>
      <c r="D32" s="777">
        <f t="shared" si="1"/>
        <v>1730</v>
      </c>
      <c r="E32" s="777">
        <f t="shared" si="1"/>
        <v>0</v>
      </c>
      <c r="F32" s="1005">
        <f t="shared" si="1"/>
        <v>1730</v>
      </c>
      <c r="G32" s="777"/>
      <c r="H32" s="777"/>
      <c r="I32" s="1000">
        <f t="shared" si="5"/>
        <v>0</v>
      </c>
      <c r="J32" s="777">
        <v>1001</v>
      </c>
      <c r="K32" s="777"/>
      <c r="L32" s="1005">
        <f t="shared" si="2"/>
        <v>1001</v>
      </c>
      <c r="M32" s="777">
        <v>729</v>
      </c>
      <c r="N32" s="777"/>
      <c r="O32" s="1000">
        <f t="shared" si="3"/>
        <v>729</v>
      </c>
    </row>
    <row r="33" spans="1:15" s="544" customFormat="1" ht="14.45" customHeight="1" x14ac:dyDescent="0.25">
      <c r="A33" s="317" t="s">
        <v>249</v>
      </c>
      <c r="B33" s="1301" t="s">
        <v>248</v>
      </c>
      <c r="C33" s="1302"/>
      <c r="D33" s="777">
        <f t="shared" si="1"/>
        <v>1967</v>
      </c>
      <c r="E33" s="777">
        <f t="shared" si="1"/>
        <v>0</v>
      </c>
      <c r="F33" s="1005">
        <f t="shared" si="1"/>
        <v>1967</v>
      </c>
      <c r="G33" s="777"/>
      <c r="H33" s="777"/>
      <c r="I33" s="1000">
        <f t="shared" si="5"/>
        <v>0</v>
      </c>
      <c r="J33" s="777">
        <v>1238</v>
      </c>
      <c r="K33" s="777"/>
      <c r="L33" s="1005">
        <f t="shared" si="2"/>
        <v>1238</v>
      </c>
      <c r="M33" s="777">
        <v>729</v>
      </c>
      <c r="N33" s="777"/>
      <c r="O33" s="1000">
        <f t="shared" si="3"/>
        <v>729</v>
      </c>
    </row>
    <row r="34" spans="1:15" s="544" customFormat="1" ht="14.45" customHeight="1" x14ac:dyDescent="0.25">
      <c r="A34" s="317" t="s">
        <v>251</v>
      </c>
      <c r="B34" s="1295" t="s">
        <v>250</v>
      </c>
      <c r="C34" s="1296"/>
      <c r="D34" s="777">
        <f t="shared" si="1"/>
        <v>0</v>
      </c>
      <c r="E34" s="777">
        <f t="shared" si="1"/>
        <v>0</v>
      </c>
      <c r="F34" s="1005">
        <f t="shared" si="1"/>
        <v>0</v>
      </c>
      <c r="G34" s="777"/>
      <c r="H34" s="777"/>
      <c r="I34" s="1000">
        <f t="shared" si="5"/>
        <v>0</v>
      </c>
      <c r="J34" s="777"/>
      <c r="K34" s="777"/>
      <c r="L34" s="1005">
        <f t="shared" si="2"/>
        <v>0</v>
      </c>
      <c r="M34" s="777"/>
      <c r="N34" s="777"/>
      <c r="O34" s="1000">
        <f t="shared" si="3"/>
        <v>0</v>
      </c>
    </row>
    <row r="35" spans="1:15" s="544" customFormat="1" ht="14.45" customHeight="1" x14ac:dyDescent="0.25">
      <c r="A35" s="317" t="s">
        <v>622</v>
      </c>
      <c r="B35" s="1295" t="s">
        <v>254</v>
      </c>
      <c r="C35" s="1296"/>
      <c r="D35" s="777">
        <f t="shared" si="1"/>
        <v>0</v>
      </c>
      <c r="E35" s="777">
        <f t="shared" si="1"/>
        <v>23</v>
      </c>
      <c r="F35" s="1005">
        <f t="shared" si="1"/>
        <v>23</v>
      </c>
      <c r="G35" s="777"/>
      <c r="H35" s="777"/>
      <c r="I35" s="1000">
        <f t="shared" si="5"/>
        <v>0</v>
      </c>
      <c r="J35" s="777"/>
      <c r="K35" s="777">
        <v>23</v>
      </c>
      <c r="L35" s="1005">
        <f t="shared" si="2"/>
        <v>23</v>
      </c>
      <c r="M35" s="777"/>
      <c r="N35" s="777"/>
      <c r="O35" s="1000">
        <f t="shared" si="3"/>
        <v>0</v>
      </c>
    </row>
    <row r="36" spans="1:15" s="544" customFormat="1" ht="14.45" customHeight="1" x14ac:dyDescent="0.25">
      <c r="A36" s="776" t="s">
        <v>255</v>
      </c>
      <c r="B36" s="1307" t="s">
        <v>280</v>
      </c>
      <c r="C36" s="1307"/>
      <c r="D36" s="779">
        <f t="shared" si="1"/>
        <v>13821</v>
      </c>
      <c r="E36" s="779">
        <f t="shared" si="1"/>
        <v>565</v>
      </c>
      <c r="F36" s="1091">
        <f t="shared" si="1"/>
        <v>14386</v>
      </c>
      <c r="G36" s="779">
        <f>SUM(G29:G35)</f>
        <v>1550</v>
      </c>
      <c r="H36" s="779">
        <f t="shared" ref="H36:I36" si="6">SUM(H29:H35)</f>
        <v>269</v>
      </c>
      <c r="I36" s="779">
        <f t="shared" si="6"/>
        <v>1819</v>
      </c>
      <c r="J36" s="779">
        <f>SUM(J29:J35)</f>
        <v>6003</v>
      </c>
      <c r="K36" s="779">
        <f t="shared" ref="K36:L36" si="7">SUM(K29:K35)</f>
        <v>266</v>
      </c>
      <c r="L36" s="779">
        <f t="shared" si="7"/>
        <v>6269</v>
      </c>
      <c r="M36" s="779">
        <f>SUM(M29:M35)</f>
        <v>6268</v>
      </c>
      <c r="N36" s="779">
        <f t="shared" ref="N36:O36" si="8">SUM(N29:N35)</f>
        <v>30</v>
      </c>
      <c r="O36" s="779">
        <f t="shared" si="8"/>
        <v>6298</v>
      </c>
    </row>
    <row r="37" spans="1:15" s="544" customFormat="1" ht="14.45" customHeight="1" x14ac:dyDescent="0.25">
      <c r="A37" s="776" t="s">
        <v>256</v>
      </c>
      <c r="B37" s="1307" t="s">
        <v>279</v>
      </c>
      <c r="C37" s="1307">
        <v>0</v>
      </c>
      <c r="D37" s="779">
        <f t="shared" si="1"/>
        <v>0</v>
      </c>
      <c r="E37" s="779">
        <f t="shared" si="1"/>
        <v>0</v>
      </c>
      <c r="F37" s="1091">
        <f t="shared" si="1"/>
        <v>0</v>
      </c>
      <c r="G37" s="779"/>
      <c r="H37" s="779"/>
      <c r="I37" s="1000">
        <f t="shared" si="5"/>
        <v>0</v>
      </c>
      <c r="J37" s="779">
        <v>0</v>
      </c>
      <c r="K37" s="779"/>
      <c r="L37" s="1091">
        <f t="shared" si="2"/>
        <v>0</v>
      </c>
      <c r="M37" s="779">
        <v>0</v>
      </c>
      <c r="N37" s="779">
        <v>0</v>
      </c>
      <c r="O37" s="779">
        <v>0</v>
      </c>
    </row>
    <row r="38" spans="1:15" s="544" customFormat="1" ht="14.45" customHeight="1" x14ac:dyDescent="0.25">
      <c r="A38" s="317" t="s">
        <v>258</v>
      </c>
      <c r="B38" s="1305" t="s">
        <v>257</v>
      </c>
      <c r="C38" s="1305">
        <v>42</v>
      </c>
      <c r="D38" s="777">
        <f t="shared" si="1"/>
        <v>700</v>
      </c>
      <c r="E38" s="777">
        <f t="shared" si="1"/>
        <v>0</v>
      </c>
      <c r="F38" s="1005">
        <f t="shared" si="1"/>
        <v>700</v>
      </c>
      <c r="G38" s="777">
        <v>700</v>
      </c>
      <c r="H38" s="777"/>
      <c r="I38" s="1000">
        <f t="shared" si="5"/>
        <v>700</v>
      </c>
      <c r="J38" s="777">
        <v>0</v>
      </c>
      <c r="K38" s="777"/>
      <c r="L38" s="1005">
        <f t="shared" si="2"/>
        <v>0</v>
      </c>
      <c r="M38" s="777">
        <v>0</v>
      </c>
      <c r="N38" s="777"/>
      <c r="O38" s="1092">
        <f t="shared" si="3"/>
        <v>0</v>
      </c>
    </row>
    <row r="39" spans="1:15" s="544" customFormat="1" ht="14.45" customHeight="1" x14ac:dyDescent="0.25">
      <c r="A39" s="776" t="s">
        <v>259</v>
      </c>
      <c r="B39" s="1307" t="s">
        <v>278</v>
      </c>
      <c r="C39" s="1307">
        <f>+C38</f>
        <v>42</v>
      </c>
      <c r="D39" s="779">
        <f t="shared" si="1"/>
        <v>700</v>
      </c>
      <c r="E39" s="779">
        <f t="shared" si="1"/>
        <v>0</v>
      </c>
      <c r="F39" s="1091">
        <f t="shared" si="1"/>
        <v>700</v>
      </c>
      <c r="G39" s="779">
        <f>+G38</f>
        <v>700</v>
      </c>
      <c r="H39" s="779"/>
      <c r="I39" s="1000">
        <f t="shared" si="5"/>
        <v>700</v>
      </c>
      <c r="J39" s="779">
        <f>+J38</f>
        <v>0</v>
      </c>
      <c r="K39" s="779"/>
      <c r="L39" s="1091">
        <f t="shared" si="2"/>
        <v>0</v>
      </c>
      <c r="M39" s="779">
        <f>+M38</f>
        <v>0</v>
      </c>
      <c r="N39" s="779"/>
      <c r="O39" s="1092">
        <f t="shared" si="3"/>
        <v>0</v>
      </c>
    </row>
    <row r="40" spans="1:15" s="544" customFormat="1" ht="14.45" customHeight="1" x14ac:dyDescent="0.25">
      <c r="A40" s="317" t="s">
        <v>261</v>
      </c>
      <c r="B40" s="1305" t="s">
        <v>260</v>
      </c>
      <c r="C40" s="1305"/>
      <c r="D40" s="777">
        <f t="shared" si="1"/>
        <v>0</v>
      </c>
      <c r="E40" s="777">
        <f t="shared" si="1"/>
        <v>0</v>
      </c>
      <c r="F40" s="1005">
        <f t="shared" si="1"/>
        <v>0</v>
      </c>
      <c r="G40" s="777"/>
      <c r="H40" s="777"/>
      <c r="I40" s="1000">
        <f t="shared" si="5"/>
        <v>0</v>
      </c>
      <c r="J40" s="777">
        <v>0</v>
      </c>
      <c r="K40" s="777"/>
      <c r="L40" s="1005">
        <f t="shared" si="2"/>
        <v>0</v>
      </c>
      <c r="M40" s="777">
        <v>0</v>
      </c>
      <c r="N40" s="777"/>
      <c r="O40" s="1092">
        <f t="shared" si="3"/>
        <v>0</v>
      </c>
    </row>
    <row r="41" spans="1:15" s="544" customFormat="1" ht="14.45" customHeight="1" x14ac:dyDescent="0.25">
      <c r="A41" s="776" t="s">
        <v>262</v>
      </c>
      <c r="B41" s="1307" t="s">
        <v>283</v>
      </c>
      <c r="C41" s="1307"/>
      <c r="D41" s="779">
        <f t="shared" si="1"/>
        <v>0</v>
      </c>
      <c r="E41" s="779">
        <f t="shared" si="1"/>
        <v>0</v>
      </c>
      <c r="F41" s="1091">
        <f t="shared" si="1"/>
        <v>0</v>
      </c>
      <c r="G41" s="779">
        <f>+G40</f>
        <v>0</v>
      </c>
      <c r="H41" s="779"/>
      <c r="I41" s="1000">
        <f t="shared" si="5"/>
        <v>0</v>
      </c>
      <c r="J41" s="779">
        <f>+J40</f>
        <v>0</v>
      </c>
      <c r="K41" s="779"/>
      <c r="L41" s="1091">
        <f t="shared" si="2"/>
        <v>0</v>
      </c>
      <c r="M41" s="779">
        <f>+M40</f>
        <v>0</v>
      </c>
      <c r="N41" s="779"/>
      <c r="O41" s="1092">
        <f t="shared" si="3"/>
        <v>0</v>
      </c>
    </row>
    <row r="42" spans="1:15" s="544" customFormat="1" ht="14.45" customHeight="1" x14ac:dyDescent="0.25">
      <c r="A42" s="776" t="s">
        <v>263</v>
      </c>
      <c r="B42" s="1307" t="s">
        <v>276</v>
      </c>
      <c r="C42" s="1307"/>
      <c r="D42" s="779">
        <f t="shared" si="1"/>
        <v>17033</v>
      </c>
      <c r="E42" s="779">
        <f t="shared" si="1"/>
        <v>608</v>
      </c>
      <c r="F42" s="779">
        <f t="shared" si="1"/>
        <v>17641</v>
      </c>
      <c r="G42" s="779">
        <f t="shared" ref="G42:O42" si="9">+G41+G39+G37+G36+G27+G15</f>
        <v>4762</v>
      </c>
      <c r="H42" s="779">
        <f t="shared" si="9"/>
        <v>312</v>
      </c>
      <c r="I42" s="779">
        <f t="shared" si="9"/>
        <v>5074</v>
      </c>
      <c r="J42" s="779">
        <f t="shared" si="9"/>
        <v>6003</v>
      </c>
      <c r="K42" s="779">
        <f t="shared" si="9"/>
        <v>266</v>
      </c>
      <c r="L42" s="779">
        <f t="shared" si="2"/>
        <v>6269</v>
      </c>
      <c r="M42" s="779">
        <f t="shared" si="9"/>
        <v>6268</v>
      </c>
      <c r="N42" s="779">
        <f t="shared" si="9"/>
        <v>30</v>
      </c>
      <c r="O42" s="779">
        <f t="shared" si="9"/>
        <v>6298</v>
      </c>
    </row>
    <row r="43" spans="1:15" s="544" customFormat="1" ht="14.45" customHeight="1" x14ac:dyDescent="0.25">
      <c r="A43" s="317" t="s">
        <v>273</v>
      </c>
      <c r="B43" s="1308" t="s">
        <v>272</v>
      </c>
      <c r="C43" s="1308"/>
      <c r="D43" s="777">
        <f t="shared" si="1"/>
        <v>43049</v>
      </c>
      <c r="E43" s="777">
        <f t="shared" si="1"/>
        <v>0</v>
      </c>
      <c r="F43" s="777">
        <f t="shared" si="1"/>
        <v>43049</v>
      </c>
      <c r="G43" s="777">
        <v>18185</v>
      </c>
      <c r="H43" s="777"/>
      <c r="I43" s="777">
        <f>+H43+G43</f>
        <v>18185</v>
      </c>
      <c r="J43" s="777">
        <v>2927</v>
      </c>
      <c r="K43" s="777"/>
      <c r="L43" s="777">
        <f t="shared" si="2"/>
        <v>2927</v>
      </c>
      <c r="M43" s="777">
        <v>21937</v>
      </c>
      <c r="N43" s="777"/>
      <c r="O43" s="777">
        <f>+N43+M43</f>
        <v>21937</v>
      </c>
    </row>
    <row r="44" spans="1:15" s="544" customFormat="1" ht="14.45" hidden="1" customHeight="1" x14ac:dyDescent="0.25">
      <c r="A44" s="318"/>
      <c r="B44" s="413"/>
      <c r="C44" s="414" t="s">
        <v>395</v>
      </c>
      <c r="D44" s="780">
        <f t="shared" si="1"/>
        <v>0</v>
      </c>
      <c r="E44" s="780">
        <f t="shared" si="1"/>
        <v>0</v>
      </c>
      <c r="F44" s="780">
        <f t="shared" si="1"/>
        <v>0</v>
      </c>
      <c r="G44" s="780"/>
      <c r="H44" s="780"/>
      <c r="I44" s="777">
        <f t="shared" ref="I44:I45" si="10">+H44+G44</f>
        <v>0</v>
      </c>
      <c r="J44" s="780"/>
      <c r="K44" s="780"/>
      <c r="L44" s="780">
        <f t="shared" si="2"/>
        <v>0</v>
      </c>
      <c r="M44" s="780"/>
      <c r="N44" s="780"/>
      <c r="O44" s="780"/>
    </row>
    <row r="45" spans="1:15" s="544" customFormat="1" ht="14.45" hidden="1" customHeight="1" x14ac:dyDescent="0.25">
      <c r="A45" s="318"/>
      <c r="B45" s="413"/>
      <c r="C45" s="414" t="s">
        <v>396</v>
      </c>
      <c r="D45" s="780">
        <f t="shared" si="1"/>
        <v>0</v>
      </c>
      <c r="E45" s="780">
        <f t="shared" si="1"/>
        <v>0</v>
      </c>
      <c r="F45" s="780">
        <f t="shared" si="1"/>
        <v>0</v>
      </c>
      <c r="G45" s="780"/>
      <c r="H45" s="780"/>
      <c r="I45" s="777">
        <f t="shared" si="10"/>
        <v>0</v>
      </c>
      <c r="J45" s="780"/>
      <c r="K45" s="780"/>
      <c r="L45" s="780">
        <f t="shared" si="2"/>
        <v>0</v>
      </c>
      <c r="M45" s="780"/>
      <c r="N45" s="780"/>
      <c r="O45" s="780"/>
    </row>
    <row r="46" spans="1:15" s="544" customFormat="1" ht="14.45" customHeight="1" x14ac:dyDescent="0.25">
      <c r="A46" s="128" t="s">
        <v>274</v>
      </c>
      <c r="B46" s="1303" t="s">
        <v>336</v>
      </c>
      <c r="C46" s="1304"/>
      <c r="D46" s="779">
        <f t="shared" si="1"/>
        <v>43049</v>
      </c>
      <c r="E46" s="779">
        <f t="shared" si="1"/>
        <v>0</v>
      </c>
      <c r="F46" s="779">
        <f t="shared" si="1"/>
        <v>43049</v>
      </c>
      <c r="G46" s="779">
        <f t="shared" ref="G46:O46" si="11">+G43</f>
        <v>18185</v>
      </c>
      <c r="H46" s="779">
        <f t="shared" si="11"/>
        <v>0</v>
      </c>
      <c r="I46" s="779">
        <f t="shared" si="11"/>
        <v>18185</v>
      </c>
      <c r="J46" s="779">
        <f t="shared" si="11"/>
        <v>2927</v>
      </c>
      <c r="K46" s="779">
        <f t="shared" si="11"/>
        <v>0</v>
      </c>
      <c r="L46" s="779">
        <f t="shared" si="2"/>
        <v>2927</v>
      </c>
      <c r="M46" s="779">
        <f t="shared" si="11"/>
        <v>21937</v>
      </c>
      <c r="N46" s="779">
        <f t="shared" si="11"/>
        <v>0</v>
      </c>
      <c r="O46" s="779">
        <f t="shared" si="11"/>
        <v>21937</v>
      </c>
    </row>
    <row r="47" spans="1:15" s="544" customFormat="1" ht="14.45" customHeight="1" x14ac:dyDescent="0.25">
      <c r="A47" s="317" t="s">
        <v>284</v>
      </c>
      <c r="B47" s="1306" t="s">
        <v>285</v>
      </c>
      <c r="C47" s="1306"/>
      <c r="D47" s="777">
        <f t="shared" si="1"/>
        <v>454101</v>
      </c>
      <c r="E47" s="779">
        <f t="shared" si="1"/>
        <v>6255</v>
      </c>
      <c r="F47" s="1091">
        <f t="shared" si="1"/>
        <v>460356</v>
      </c>
      <c r="G47" s="777">
        <v>206227</v>
      </c>
      <c r="H47" s="777">
        <v>45</v>
      </c>
      <c r="I47" s="1005">
        <f>+H47+G47</f>
        <v>206272</v>
      </c>
      <c r="J47" s="777">
        <v>184327</v>
      </c>
      <c r="K47" s="777">
        <f>10+2418+2848+332+10+9</f>
        <v>5627</v>
      </c>
      <c r="L47" s="1005">
        <f t="shared" si="2"/>
        <v>189954</v>
      </c>
      <c r="M47" s="777">
        <v>63547</v>
      </c>
      <c r="N47" s="777">
        <f>147+147+148+141</f>
        <v>583</v>
      </c>
      <c r="O47" s="1005">
        <f>+N47+M47</f>
        <v>64130</v>
      </c>
    </row>
    <row r="48" spans="1:15" s="544" customFormat="1" ht="14.45" customHeight="1" x14ac:dyDescent="0.25">
      <c r="A48" s="776" t="s">
        <v>275</v>
      </c>
      <c r="B48" s="1310" t="s">
        <v>286</v>
      </c>
      <c r="C48" s="1311"/>
      <c r="D48" s="779">
        <f>+G48+J48+M48</f>
        <v>497150</v>
      </c>
      <c r="E48" s="779">
        <f t="shared" si="1"/>
        <v>6255</v>
      </c>
      <c r="F48" s="779">
        <f>+I48+L48+O48</f>
        <v>503405</v>
      </c>
      <c r="G48" s="779">
        <f t="shared" ref="G48:O48" si="12">+G47+G46</f>
        <v>224412</v>
      </c>
      <c r="H48" s="779">
        <f t="shared" si="12"/>
        <v>45</v>
      </c>
      <c r="I48" s="779">
        <f t="shared" si="12"/>
        <v>224457</v>
      </c>
      <c r="J48" s="779">
        <f t="shared" si="12"/>
        <v>187254</v>
      </c>
      <c r="K48" s="779">
        <f>+K47+K46</f>
        <v>5627</v>
      </c>
      <c r="L48" s="779">
        <f t="shared" si="2"/>
        <v>192881</v>
      </c>
      <c r="M48" s="779">
        <f t="shared" si="12"/>
        <v>85484</v>
      </c>
      <c r="N48" s="779">
        <f t="shared" si="12"/>
        <v>583</v>
      </c>
      <c r="O48" s="779">
        <f t="shared" si="12"/>
        <v>86067</v>
      </c>
    </row>
    <row r="49" spans="1:15" s="544" customFormat="1" ht="14.45" customHeight="1" x14ac:dyDescent="0.25">
      <c r="A49" s="1312" t="s">
        <v>287</v>
      </c>
      <c r="B49" s="1312"/>
      <c r="C49" s="1312"/>
      <c r="D49" s="779">
        <f t="shared" si="1"/>
        <v>514183</v>
      </c>
      <c r="E49" s="779">
        <f t="shared" si="1"/>
        <v>6863</v>
      </c>
      <c r="F49" s="779">
        <f t="shared" si="1"/>
        <v>521046</v>
      </c>
      <c r="G49" s="779">
        <f t="shared" ref="G49:O49" si="13">+G48+G42</f>
        <v>229174</v>
      </c>
      <c r="H49" s="779">
        <f>+H48+H42</f>
        <v>357</v>
      </c>
      <c r="I49" s="779">
        <f t="shared" si="13"/>
        <v>229531</v>
      </c>
      <c r="J49" s="779">
        <f t="shared" si="13"/>
        <v>193257</v>
      </c>
      <c r="K49" s="779">
        <f t="shared" si="13"/>
        <v>5893</v>
      </c>
      <c r="L49" s="779">
        <f t="shared" si="2"/>
        <v>199150</v>
      </c>
      <c r="M49" s="779">
        <f t="shared" si="13"/>
        <v>91752</v>
      </c>
      <c r="N49" s="779">
        <f t="shared" si="13"/>
        <v>613</v>
      </c>
      <c r="O49" s="779">
        <f t="shared" si="13"/>
        <v>92365</v>
      </c>
    </row>
    <row r="50" spans="1:15" s="544" customFormat="1" x14ac:dyDescent="0.25">
      <c r="A50" s="1093"/>
      <c r="B50" s="1006"/>
      <c r="C50" s="1006"/>
      <c r="D50" s="1094"/>
      <c r="E50" s="1094"/>
      <c r="F50" s="1094"/>
      <c r="G50" s="1006"/>
      <c r="H50" s="1006"/>
      <c r="I50" s="1006"/>
      <c r="J50" s="1006"/>
      <c r="K50" s="1006"/>
      <c r="L50" s="1006"/>
      <c r="M50" s="1006"/>
      <c r="N50" s="1006"/>
      <c r="O50" s="1006"/>
    </row>
    <row r="51" spans="1:15" s="544" customFormat="1" ht="25.5" customHeight="1" x14ac:dyDescent="0.25">
      <c r="A51" s="1169" t="s">
        <v>0</v>
      </c>
      <c r="B51" s="1313" t="s">
        <v>182</v>
      </c>
      <c r="C51" s="1313"/>
      <c r="D51" s="1315" t="s">
        <v>180</v>
      </c>
      <c r="E51" s="1315"/>
      <c r="F51" s="1315"/>
      <c r="G51" s="1288" t="s">
        <v>291</v>
      </c>
      <c r="H51" s="1288"/>
      <c r="I51" s="1288"/>
      <c r="J51" s="1288" t="s">
        <v>292</v>
      </c>
      <c r="K51" s="1288"/>
      <c r="L51" s="1288"/>
      <c r="M51" s="1288" t="s">
        <v>293</v>
      </c>
      <c r="N51" s="1288"/>
      <c r="O51" s="1288"/>
    </row>
    <row r="52" spans="1:15" s="544" customFormat="1" ht="25.5" x14ac:dyDescent="0.25">
      <c r="A52" s="1169"/>
      <c r="B52" s="1313"/>
      <c r="C52" s="1313"/>
      <c r="D52" s="1069" t="s">
        <v>912</v>
      </c>
      <c r="E52" s="1069" t="s">
        <v>727</v>
      </c>
      <c r="F52" s="1069" t="s">
        <v>950</v>
      </c>
      <c r="G52" s="1069" t="s">
        <v>912</v>
      </c>
      <c r="H52" s="1069" t="s">
        <v>727</v>
      </c>
      <c r="I52" s="1069" t="s">
        <v>950</v>
      </c>
      <c r="J52" s="1069" t="s">
        <v>912</v>
      </c>
      <c r="K52" s="1069" t="s">
        <v>727</v>
      </c>
      <c r="L52" s="1069" t="s">
        <v>950</v>
      </c>
      <c r="M52" s="1069" t="s">
        <v>912</v>
      </c>
      <c r="N52" s="1069" t="s">
        <v>727</v>
      </c>
      <c r="O52" s="1069" t="s">
        <v>950</v>
      </c>
    </row>
    <row r="53" spans="1:15" s="544" customFormat="1" x14ac:dyDescent="0.25">
      <c r="A53" s="4" t="s">
        <v>27</v>
      </c>
      <c r="B53" s="1314" t="s">
        <v>174</v>
      </c>
      <c r="C53" s="1314"/>
      <c r="D53" s="1007">
        <f>+G53+J53+M53</f>
        <v>300902</v>
      </c>
      <c r="E53" s="1007">
        <f t="shared" ref="E53:F56" si="14">+H53+K53+N53</f>
        <v>-155</v>
      </c>
      <c r="F53" s="1007">
        <f t="shared" si="14"/>
        <v>300747</v>
      </c>
      <c r="G53" s="1007">
        <f>+'6.a. mell. PH'!D19</f>
        <v>151429</v>
      </c>
      <c r="H53" s="1007">
        <f>+'6.a. mell. PH'!E19</f>
        <v>187</v>
      </c>
      <c r="I53" s="1007">
        <f>+'6.a. mell. PH'!F19</f>
        <v>151616</v>
      </c>
      <c r="J53" s="1007">
        <f>+'6.b. mell. Óvoda'!D19</f>
        <v>120879</v>
      </c>
      <c r="K53" s="1007">
        <f>+'6.b. mell. Óvoda'!E19</f>
        <v>-376</v>
      </c>
      <c r="L53" s="1007">
        <f>+'6.b. mell. Óvoda'!F19</f>
        <v>120503</v>
      </c>
      <c r="M53" s="1007">
        <f>+'6.c. mell. BBKP'!D19</f>
        <v>28594</v>
      </c>
      <c r="N53" s="1007">
        <f>+'6.c. mell. BBKP'!E19</f>
        <v>34</v>
      </c>
      <c r="O53" s="1007">
        <f>+'6.c. mell. BBKP'!F19</f>
        <v>28628</v>
      </c>
    </row>
    <row r="54" spans="1:15" s="544" customFormat="1" x14ac:dyDescent="0.25">
      <c r="A54" s="4" t="s">
        <v>33</v>
      </c>
      <c r="B54" s="1314" t="s">
        <v>173</v>
      </c>
      <c r="C54" s="1314"/>
      <c r="D54" s="1007">
        <f t="shared" ref="D54:F77" si="15">+G54+J54+M54</f>
        <v>8438</v>
      </c>
      <c r="E54" s="1007">
        <f t="shared" si="14"/>
        <v>926</v>
      </c>
      <c r="F54" s="1007">
        <f t="shared" si="14"/>
        <v>9364</v>
      </c>
      <c r="G54" s="1007">
        <f>+'6.a. mell. PH'!D23</f>
        <v>2019</v>
      </c>
      <c r="H54" s="1007">
        <f>+'6.a. mell. PH'!E23</f>
        <v>172</v>
      </c>
      <c r="I54" s="1007">
        <f>+'6.a. mell. PH'!F23</f>
        <v>2191</v>
      </c>
      <c r="J54" s="1007">
        <f>+'6.b. mell. Óvoda'!D23</f>
        <v>2413</v>
      </c>
      <c r="K54" s="1007">
        <f>+'6.b. mell. Óvoda'!E23</f>
        <v>240</v>
      </c>
      <c r="L54" s="1007">
        <f>+'6.b. mell. Óvoda'!F23</f>
        <v>2653</v>
      </c>
      <c r="M54" s="1007">
        <f>+'6.c. mell. BBKP'!D23</f>
        <v>4006</v>
      </c>
      <c r="N54" s="1007">
        <f>+'6.c. mell. BBKP'!E23</f>
        <v>514</v>
      </c>
      <c r="O54" s="1007">
        <f>+'6.c. mell. BBKP'!F23</f>
        <v>4520</v>
      </c>
    </row>
    <row r="55" spans="1:15" s="544" customFormat="1" x14ac:dyDescent="0.25">
      <c r="A55" s="5" t="s">
        <v>34</v>
      </c>
      <c r="B55" s="1309" t="s">
        <v>172</v>
      </c>
      <c r="C55" s="1309"/>
      <c r="D55" s="1008">
        <f t="shared" si="15"/>
        <v>309340</v>
      </c>
      <c r="E55" s="1008">
        <f t="shared" si="14"/>
        <v>771</v>
      </c>
      <c r="F55" s="1008">
        <f t="shared" si="14"/>
        <v>310111</v>
      </c>
      <c r="G55" s="1008">
        <f>SUM(G53:G54)</f>
        <v>153448</v>
      </c>
      <c r="H55" s="1008">
        <f t="shared" ref="H55:I55" si="16">SUM(H53:H54)</f>
        <v>359</v>
      </c>
      <c r="I55" s="1008">
        <f t="shared" si="16"/>
        <v>153807</v>
      </c>
      <c r="J55" s="1008">
        <f>+J54+J53</f>
        <v>123292</v>
      </c>
      <c r="K55" s="1008">
        <f t="shared" ref="K55:L55" si="17">+K54+K53</f>
        <v>-136</v>
      </c>
      <c r="L55" s="1008">
        <f t="shared" si="17"/>
        <v>123156</v>
      </c>
      <c r="M55" s="1008">
        <f>+M54+M53</f>
        <v>32600</v>
      </c>
      <c r="N55" s="1008">
        <f t="shared" ref="N55:O55" si="18">+N54+N53</f>
        <v>548</v>
      </c>
      <c r="O55" s="1008">
        <f t="shared" si="18"/>
        <v>33148</v>
      </c>
    </row>
    <row r="56" spans="1:15" s="544" customFormat="1" x14ac:dyDescent="0.25">
      <c r="A56" s="5" t="s">
        <v>35</v>
      </c>
      <c r="B56" s="1309" t="s">
        <v>171</v>
      </c>
      <c r="C56" s="1309"/>
      <c r="D56" s="1008">
        <f t="shared" si="15"/>
        <v>66275</v>
      </c>
      <c r="E56" s="1008">
        <f t="shared" si="14"/>
        <v>94</v>
      </c>
      <c r="F56" s="1008">
        <f t="shared" si="14"/>
        <v>66369</v>
      </c>
      <c r="G56" s="1008">
        <f>+'6.a. mell. PH'!D26</f>
        <v>32919</v>
      </c>
      <c r="H56" s="1008">
        <f>+'6.a. mell. PH'!E26</f>
        <v>23</v>
      </c>
      <c r="I56" s="1008">
        <f>+'6.a. mell. PH'!F26</f>
        <v>32942</v>
      </c>
      <c r="J56" s="1008">
        <f>+'6.b. mell. Óvoda'!D26</f>
        <v>26973</v>
      </c>
      <c r="K56" s="1008">
        <f>+'6.b. mell. Óvoda'!E26</f>
        <v>5</v>
      </c>
      <c r="L56" s="1008">
        <f>+'6.b. mell. Óvoda'!F26</f>
        <v>26978</v>
      </c>
      <c r="M56" s="1008">
        <f>+'6.c. mell. BBKP'!D26</f>
        <v>6383</v>
      </c>
      <c r="N56" s="1008">
        <f>+'6.c. mell. BBKP'!E26</f>
        <v>66</v>
      </c>
      <c r="O56" s="1008">
        <f>+'6.c. mell. BBKP'!F26</f>
        <v>6449</v>
      </c>
    </row>
    <row r="57" spans="1:15" s="544" customFormat="1" ht="12.75" customHeight="1" x14ac:dyDescent="0.25">
      <c r="A57" s="1316"/>
      <c r="B57" s="1316"/>
      <c r="C57" s="1316"/>
      <c r="D57" s="1009"/>
      <c r="E57" s="1009"/>
      <c r="F57" s="1009"/>
      <c r="G57" s="1009"/>
      <c r="H57" s="1009"/>
      <c r="I57" s="1009"/>
      <c r="J57" s="1009"/>
      <c r="K57" s="1009"/>
      <c r="L57" s="1009"/>
      <c r="M57" s="1009"/>
      <c r="N57" s="1009"/>
      <c r="O57" s="1009"/>
    </row>
    <row r="58" spans="1:15" s="544" customFormat="1" x14ac:dyDescent="0.25">
      <c r="A58" s="4" t="s">
        <v>47</v>
      </c>
      <c r="B58" s="1314" t="s">
        <v>170</v>
      </c>
      <c r="C58" s="1314"/>
      <c r="D58" s="1007">
        <f t="shared" si="15"/>
        <v>6780</v>
      </c>
      <c r="E58" s="1007">
        <f t="shared" si="15"/>
        <v>-202</v>
      </c>
      <c r="F58" s="1007">
        <f t="shared" si="15"/>
        <v>6578</v>
      </c>
      <c r="G58" s="1007">
        <f>+'6.a. mell. PH'!D36</f>
        <v>2954</v>
      </c>
      <c r="H58" s="1007">
        <f>+'6.a. mell. PH'!E36</f>
        <v>373</v>
      </c>
      <c r="I58" s="1007">
        <f>+'6.a. mell. PH'!F36</f>
        <v>3327</v>
      </c>
      <c r="J58" s="1007">
        <f>+'6.b. mell. Óvoda'!D36</f>
        <v>1543</v>
      </c>
      <c r="K58" s="1007">
        <f>+'6.b. mell. Óvoda'!E36</f>
        <v>17</v>
      </c>
      <c r="L58" s="1007">
        <f>+'6.b. mell. Óvoda'!F36</f>
        <v>1560</v>
      </c>
      <c r="M58" s="1007">
        <f>+'6.c. mell. BBKP'!D37</f>
        <v>2283</v>
      </c>
      <c r="N58" s="1007">
        <f>+'6.c. mell. BBKP'!E37</f>
        <v>-592</v>
      </c>
      <c r="O58" s="1007">
        <f>+'6.c. mell. BBKP'!F37</f>
        <v>1691</v>
      </c>
    </row>
    <row r="59" spans="1:15" s="544" customFormat="1" x14ac:dyDescent="0.25">
      <c r="A59" s="4" t="s">
        <v>52</v>
      </c>
      <c r="B59" s="1314" t="s">
        <v>169</v>
      </c>
      <c r="C59" s="1314"/>
      <c r="D59" s="1007">
        <f t="shared" si="15"/>
        <v>3256</v>
      </c>
      <c r="E59" s="1007">
        <f t="shared" si="15"/>
        <v>-11</v>
      </c>
      <c r="F59" s="1007">
        <f t="shared" si="15"/>
        <v>3245</v>
      </c>
      <c r="G59" s="1007">
        <f>+'6.a. mell. PH'!D39</f>
        <v>2307</v>
      </c>
      <c r="H59" s="1007">
        <f>+'6.a. mell. PH'!E39</f>
        <v>0</v>
      </c>
      <c r="I59" s="1007">
        <f>+'6.a. mell. PH'!F39</f>
        <v>2307</v>
      </c>
      <c r="J59" s="1007">
        <f>+'6.b. mell. Óvoda'!D39</f>
        <v>163</v>
      </c>
      <c r="K59" s="1007">
        <f>+'6.b. mell. Óvoda'!E39</f>
        <v>-18</v>
      </c>
      <c r="L59" s="1007">
        <f>+'6.b. mell. Óvoda'!F39</f>
        <v>145</v>
      </c>
      <c r="M59" s="1007">
        <f>+'6.c. mell. BBKP'!D40</f>
        <v>786</v>
      </c>
      <c r="N59" s="1007">
        <f>+'6.c. mell. BBKP'!E40</f>
        <v>7</v>
      </c>
      <c r="O59" s="1007">
        <f>+'6.c. mell. BBKP'!F40</f>
        <v>793</v>
      </c>
    </row>
    <row r="60" spans="1:15" s="544" customFormat="1" x14ac:dyDescent="0.25">
      <c r="A60" s="4" t="s">
        <v>66</v>
      </c>
      <c r="B60" s="1314" t="s">
        <v>156</v>
      </c>
      <c r="C60" s="1314"/>
      <c r="D60" s="1007">
        <f t="shared" si="15"/>
        <v>52792</v>
      </c>
      <c r="E60" s="1007">
        <f t="shared" si="15"/>
        <v>3909</v>
      </c>
      <c r="F60" s="1007">
        <f t="shared" si="15"/>
        <v>56701</v>
      </c>
      <c r="G60" s="1007">
        <f>+'6.a. mell. PH'!D49</f>
        <v>13272</v>
      </c>
      <c r="H60" s="1007">
        <f>+'6.a. mell. PH'!E49</f>
        <v>-971</v>
      </c>
      <c r="I60" s="1007">
        <f>+'6.a. mell. PH'!F49</f>
        <v>12301</v>
      </c>
      <c r="J60" s="1007">
        <f>+'6.b. mell. Óvoda'!D49</f>
        <v>21033</v>
      </c>
      <c r="K60" s="1007">
        <f>+'6.b. mell. Óvoda'!E49</f>
        <v>4510</v>
      </c>
      <c r="L60" s="1007">
        <f>+'6.b. mell. Óvoda'!F49</f>
        <v>25543</v>
      </c>
      <c r="M60" s="1007">
        <f>+'6.c. mell. BBKP'!D50</f>
        <v>18487</v>
      </c>
      <c r="N60" s="1007">
        <f>+'6.c. mell. BBKP'!E50</f>
        <v>370</v>
      </c>
      <c r="O60" s="1007">
        <f>+'6.c. mell. BBKP'!F50</f>
        <v>18857</v>
      </c>
    </row>
    <row r="61" spans="1:15" s="544" customFormat="1" x14ac:dyDescent="0.25">
      <c r="A61" s="4" t="s">
        <v>71</v>
      </c>
      <c r="B61" s="1314" t="s">
        <v>155</v>
      </c>
      <c r="C61" s="1314"/>
      <c r="D61" s="1007">
        <f t="shared" si="15"/>
        <v>1268</v>
      </c>
      <c r="E61" s="1007">
        <f t="shared" si="15"/>
        <v>97</v>
      </c>
      <c r="F61" s="1007">
        <f t="shared" si="15"/>
        <v>1365</v>
      </c>
      <c r="G61" s="1007">
        <f>+'6.a. mell. PH'!D52</f>
        <v>585</v>
      </c>
      <c r="H61" s="1007">
        <f>+'6.a. mell. PH'!E52</f>
        <v>92</v>
      </c>
      <c r="I61" s="1007">
        <f>+'6.a. mell. PH'!F52</f>
        <v>677</v>
      </c>
      <c r="J61" s="1007">
        <f>+'6.b. mell. Óvoda'!D52</f>
        <v>50</v>
      </c>
      <c r="K61" s="1007">
        <f>+'6.b. mell. Óvoda'!E52</f>
        <v>0</v>
      </c>
      <c r="L61" s="1007">
        <f>+'6.b. mell. Óvoda'!F52</f>
        <v>50</v>
      </c>
      <c r="M61" s="1007">
        <f>+'6.c. mell. BBKP'!D53</f>
        <v>633</v>
      </c>
      <c r="N61" s="1007">
        <f>+'6.c. mell. BBKP'!E53</f>
        <v>5</v>
      </c>
      <c r="O61" s="1007">
        <f>+'6.c. mell. BBKP'!F53</f>
        <v>638</v>
      </c>
    </row>
    <row r="62" spans="1:15" s="544" customFormat="1" x14ac:dyDescent="0.25">
      <c r="A62" s="4" t="s">
        <v>80</v>
      </c>
      <c r="B62" s="1314" t="s">
        <v>152</v>
      </c>
      <c r="C62" s="1314"/>
      <c r="D62" s="1007">
        <f t="shared" si="15"/>
        <v>18371</v>
      </c>
      <c r="E62" s="1007">
        <f t="shared" si="15"/>
        <v>873</v>
      </c>
      <c r="F62" s="1007">
        <f t="shared" si="15"/>
        <v>19244</v>
      </c>
      <c r="G62" s="1007">
        <f>+'6.a. mell. PH'!D58</f>
        <v>2571</v>
      </c>
      <c r="H62" s="1007">
        <f>+'6.a. mell. PH'!E58</f>
        <v>603</v>
      </c>
      <c r="I62" s="1007">
        <f>+'6.a. mell. PH'!F58</f>
        <v>3174</v>
      </c>
      <c r="J62" s="1007">
        <f>+'6.b. mell. Óvoda'!D58</f>
        <v>7099</v>
      </c>
      <c r="K62" s="1007">
        <f>+'6.b. mell. Óvoda'!E58</f>
        <v>671</v>
      </c>
      <c r="L62" s="1007">
        <f>+'6.b. mell. Óvoda'!F58</f>
        <v>7770</v>
      </c>
      <c r="M62" s="1007">
        <f>+'6.c. mell. BBKP'!D59</f>
        <v>8701</v>
      </c>
      <c r="N62" s="1007">
        <f>+'6.c. mell. BBKP'!E59</f>
        <v>-401</v>
      </c>
      <c r="O62" s="1007">
        <f>+'6.c. mell. BBKP'!F59</f>
        <v>8300</v>
      </c>
    </row>
    <row r="63" spans="1:15" s="544" customFormat="1" x14ac:dyDescent="0.25">
      <c r="A63" s="5" t="s">
        <v>81</v>
      </c>
      <c r="B63" s="1309" t="s">
        <v>151</v>
      </c>
      <c r="C63" s="1309"/>
      <c r="D63" s="1008">
        <f t="shared" si="15"/>
        <v>82467</v>
      </c>
      <c r="E63" s="1008">
        <f t="shared" si="15"/>
        <v>4666</v>
      </c>
      <c r="F63" s="1008">
        <f t="shared" si="15"/>
        <v>87133</v>
      </c>
      <c r="G63" s="1008">
        <f>SUM(G58:G62)</f>
        <v>21689</v>
      </c>
      <c r="H63" s="1008">
        <f t="shared" ref="H63:I63" si="19">SUM(H58:H62)</f>
        <v>97</v>
      </c>
      <c r="I63" s="1008">
        <f t="shared" si="19"/>
        <v>21786</v>
      </c>
      <c r="J63" s="1008">
        <f>SUM(J58:J62)</f>
        <v>29888</v>
      </c>
      <c r="K63" s="1008">
        <f t="shared" ref="K63:L63" si="20">SUM(K58:K62)</f>
        <v>5180</v>
      </c>
      <c r="L63" s="1008">
        <f t="shared" si="20"/>
        <v>35068</v>
      </c>
      <c r="M63" s="1008">
        <f>SUM(M58:M62)</f>
        <v>30890</v>
      </c>
      <c r="N63" s="1008">
        <f t="shared" ref="N63:O63" si="21">SUM(N58:N62)</f>
        <v>-611</v>
      </c>
      <c r="O63" s="1008">
        <f t="shared" si="21"/>
        <v>30279</v>
      </c>
    </row>
    <row r="64" spans="1:15" s="544" customFormat="1" ht="11.25" customHeight="1" x14ac:dyDescent="0.25">
      <c r="A64" s="1316"/>
      <c r="B64" s="1316"/>
      <c r="C64" s="1316"/>
      <c r="D64" s="1009"/>
      <c r="E64" s="1009"/>
      <c r="F64" s="1009"/>
      <c r="G64" s="1009"/>
      <c r="H64" s="1009"/>
      <c r="I64" s="1009"/>
      <c r="J64" s="1009"/>
      <c r="K64" s="1009"/>
      <c r="L64" s="1009"/>
      <c r="M64" s="1009"/>
      <c r="N64" s="1009"/>
      <c r="O64" s="1009"/>
    </row>
    <row r="65" spans="1:15" s="544" customFormat="1" x14ac:dyDescent="0.25">
      <c r="A65" s="4" t="s">
        <v>101</v>
      </c>
      <c r="B65" s="1317" t="s">
        <v>778</v>
      </c>
      <c r="C65" s="1317"/>
      <c r="D65" s="1007">
        <f>+G65+J65+M65</f>
        <v>22617</v>
      </c>
      <c r="E65" s="1007">
        <f t="shared" ref="E65:F65" si="22">+H65+K65+N65</f>
        <v>0</v>
      </c>
      <c r="F65" s="1007">
        <f t="shared" si="22"/>
        <v>22617</v>
      </c>
      <c r="G65" s="1007">
        <f>+'6.a. mell. PH'!D61</f>
        <v>11550</v>
      </c>
      <c r="H65" s="1007">
        <f>+'6.a. mell. PH'!E61</f>
        <v>0</v>
      </c>
      <c r="I65" s="1007">
        <f>+'6.a. mell. PH'!F61</f>
        <v>11550</v>
      </c>
      <c r="J65" s="1007">
        <f>+'6.b. mell. Óvoda'!D61</f>
        <v>2227</v>
      </c>
      <c r="K65" s="1007">
        <f>+'6.b. mell. Óvoda'!E61</f>
        <v>0</v>
      </c>
      <c r="L65" s="1007">
        <f>+'6.b. mell. Óvoda'!F61</f>
        <v>2227</v>
      </c>
      <c r="M65" s="1007">
        <f>+'6.c. mell. BBKP'!D62</f>
        <v>8840</v>
      </c>
      <c r="N65" s="1007">
        <f>+'6.c. mell. BBKP'!E62</f>
        <v>0</v>
      </c>
      <c r="O65" s="1007">
        <f>+'6.c. mell. BBKP'!F62</f>
        <v>8840</v>
      </c>
    </row>
    <row r="66" spans="1:15" s="544" customFormat="1" x14ac:dyDescent="0.25">
      <c r="A66" s="4" t="s">
        <v>105</v>
      </c>
      <c r="B66" s="1317" t="s">
        <v>164</v>
      </c>
      <c r="C66" s="1317"/>
      <c r="D66" s="1007">
        <f t="shared" si="15"/>
        <v>27617</v>
      </c>
      <c r="E66" s="1007">
        <f t="shared" si="15"/>
        <v>0</v>
      </c>
      <c r="F66" s="1007">
        <f t="shared" si="15"/>
        <v>27617</v>
      </c>
      <c r="G66" s="1007">
        <f>+'6.a. mell. PH'!D62</f>
        <v>5189</v>
      </c>
      <c r="H66" s="1007">
        <f>+'6.a. mell. PH'!E62</f>
        <v>0</v>
      </c>
      <c r="I66" s="1007">
        <f>+'6.a. mell. PH'!F62</f>
        <v>5189</v>
      </c>
      <c r="J66" s="1007">
        <f>+'6.b. mell. Óvoda'!D62</f>
        <v>9577</v>
      </c>
      <c r="K66" s="1007">
        <f>+'6.b. mell. Óvoda'!E62</f>
        <v>0</v>
      </c>
      <c r="L66" s="1007">
        <f>+'6.b. mell. Óvoda'!F62</f>
        <v>9577</v>
      </c>
      <c r="M66" s="1007">
        <f>+'6.c. mell. BBKP'!D63</f>
        <v>12851</v>
      </c>
      <c r="N66" s="1007">
        <f>+'6.c. mell. BBKP'!E63</f>
        <v>0</v>
      </c>
      <c r="O66" s="1007">
        <f>+'6.c. mell. BBKP'!F63</f>
        <v>12851</v>
      </c>
    </row>
    <row r="67" spans="1:15" s="544" customFormat="1" x14ac:dyDescent="0.25">
      <c r="A67" s="5" t="s">
        <v>108</v>
      </c>
      <c r="B67" s="1309" t="s">
        <v>163</v>
      </c>
      <c r="C67" s="1309"/>
      <c r="D67" s="1008">
        <f t="shared" si="15"/>
        <v>50234</v>
      </c>
      <c r="E67" s="1008">
        <f t="shared" si="15"/>
        <v>0</v>
      </c>
      <c r="F67" s="1008">
        <f t="shared" si="15"/>
        <v>50234</v>
      </c>
      <c r="G67" s="1008">
        <f>+G66+G65</f>
        <v>16739</v>
      </c>
      <c r="H67" s="1008">
        <f t="shared" ref="H67:I67" si="23">+H66+H65</f>
        <v>0</v>
      </c>
      <c r="I67" s="1008">
        <f t="shared" si="23"/>
        <v>16739</v>
      </c>
      <c r="J67" s="1008">
        <f>+J66+J65</f>
        <v>11804</v>
      </c>
      <c r="K67" s="1008">
        <f t="shared" ref="K67:L67" si="24">+K66+K65</f>
        <v>0</v>
      </c>
      <c r="L67" s="1008">
        <f t="shared" si="24"/>
        <v>11804</v>
      </c>
      <c r="M67" s="1008">
        <f>+M66+M65</f>
        <v>21691</v>
      </c>
      <c r="N67" s="1008">
        <f t="shared" ref="N67:O67" si="25">+N66+N65</f>
        <v>0</v>
      </c>
      <c r="O67" s="1008">
        <f t="shared" si="25"/>
        <v>21691</v>
      </c>
    </row>
    <row r="68" spans="1:15" s="544" customFormat="1" x14ac:dyDescent="0.25">
      <c r="A68" s="1316"/>
      <c r="B68" s="1316"/>
      <c r="C68" s="1316"/>
      <c r="D68" s="1009"/>
      <c r="E68" s="1009"/>
      <c r="F68" s="1009"/>
      <c r="G68" s="1009"/>
      <c r="H68" s="1009"/>
      <c r="I68" s="1009"/>
      <c r="J68" s="1009"/>
      <c r="K68" s="1009"/>
      <c r="L68" s="1009"/>
      <c r="M68" s="1009"/>
      <c r="N68" s="1009"/>
      <c r="O68" s="1009"/>
    </row>
    <row r="69" spans="1:15" s="544" customFormat="1" x14ac:dyDescent="0.25">
      <c r="A69" s="5" t="s">
        <v>123</v>
      </c>
      <c r="B69" s="1309" t="s">
        <v>161</v>
      </c>
      <c r="C69" s="1309"/>
      <c r="D69" s="1008">
        <f t="shared" si="15"/>
        <v>5867</v>
      </c>
      <c r="E69" s="1008">
        <f t="shared" si="15"/>
        <v>1332</v>
      </c>
      <c r="F69" s="1008">
        <f t="shared" si="15"/>
        <v>7199</v>
      </c>
      <c r="G69" s="1008">
        <f>+'6.a. mell. PH'!D74</f>
        <v>4379</v>
      </c>
      <c r="H69" s="1008">
        <f>+'6.a. mell. PH'!E74</f>
        <v>-122</v>
      </c>
      <c r="I69" s="1008">
        <f>+'6.a. mell. PH'!F74</f>
        <v>4257</v>
      </c>
      <c r="J69" s="1008">
        <f>+'6.b. mell. Óvoda'!D75</f>
        <v>1300</v>
      </c>
      <c r="K69" s="1008">
        <f>+'6.b. mell. Óvoda'!E75</f>
        <v>844</v>
      </c>
      <c r="L69" s="1008">
        <f>+'6.b. mell. Óvoda'!F75</f>
        <v>2144</v>
      </c>
      <c r="M69" s="1008">
        <f>+'6.c. mell. BBKP'!D76</f>
        <v>188</v>
      </c>
      <c r="N69" s="1008">
        <f>+'6.c. mell. BBKP'!E76</f>
        <v>610</v>
      </c>
      <c r="O69" s="1008">
        <f>+'6.c. mell. BBKP'!F76</f>
        <v>798</v>
      </c>
    </row>
    <row r="70" spans="1:15" s="544" customFormat="1" x14ac:dyDescent="0.25">
      <c r="A70" s="1316"/>
      <c r="B70" s="1316"/>
      <c r="C70" s="1316"/>
      <c r="D70" s="1009"/>
      <c r="E70" s="1009"/>
      <c r="F70" s="1009"/>
      <c r="G70" s="1009"/>
      <c r="H70" s="1009"/>
      <c r="I70" s="1009"/>
      <c r="J70" s="1009"/>
      <c r="K70" s="1009"/>
      <c r="L70" s="1009"/>
      <c r="M70" s="1009"/>
      <c r="N70" s="1009"/>
      <c r="O70" s="1009"/>
    </row>
    <row r="71" spans="1:15" s="544" customFormat="1" x14ac:dyDescent="0.25">
      <c r="A71" s="5" t="s">
        <v>132</v>
      </c>
      <c r="B71" s="1309" t="s">
        <v>160</v>
      </c>
      <c r="C71" s="1309"/>
      <c r="D71" s="1008">
        <f t="shared" si="15"/>
        <v>0</v>
      </c>
      <c r="E71" s="1008">
        <f t="shared" si="15"/>
        <v>0</v>
      </c>
      <c r="F71" s="1008">
        <f t="shared" si="15"/>
        <v>0</v>
      </c>
      <c r="G71" s="1008">
        <f>+'6.a. mell. PH'!D80</f>
        <v>0</v>
      </c>
      <c r="H71" s="1008">
        <f>+'6.a. mell. PH'!E80</f>
        <v>0</v>
      </c>
      <c r="I71" s="1008">
        <f>+'6.a. mell. PH'!F80</f>
        <v>0</v>
      </c>
      <c r="J71" s="1008">
        <f>+'6.b. mell. Óvoda'!D81</f>
        <v>0</v>
      </c>
      <c r="K71" s="1008">
        <f>+'6.b. mell. Óvoda'!E81</f>
        <v>0</v>
      </c>
      <c r="L71" s="1008">
        <f>+'6.b. mell. Óvoda'!F81</f>
        <v>0</v>
      </c>
      <c r="M71" s="1008">
        <f>+'6.c. mell. BBKP'!D82</f>
        <v>0</v>
      </c>
      <c r="N71" s="1008">
        <f>+'6.c. mell. BBKP'!E82</f>
        <v>0</v>
      </c>
      <c r="O71" s="1008">
        <f>+'6.c. mell. BBKP'!F82</f>
        <v>0</v>
      </c>
    </row>
    <row r="72" spans="1:15" s="544" customFormat="1" x14ac:dyDescent="0.25">
      <c r="A72" s="1316"/>
      <c r="B72" s="1316"/>
      <c r="C72" s="1316"/>
      <c r="D72" s="1009"/>
      <c r="E72" s="1009"/>
      <c r="F72" s="1009"/>
      <c r="G72" s="1009"/>
      <c r="H72" s="1009"/>
      <c r="I72" s="1009"/>
      <c r="J72" s="1009"/>
      <c r="K72" s="1009"/>
      <c r="L72" s="1009"/>
      <c r="M72" s="1009"/>
      <c r="N72" s="1009"/>
      <c r="O72" s="1009"/>
    </row>
    <row r="73" spans="1:15" s="544" customFormat="1" x14ac:dyDescent="0.25">
      <c r="A73" s="5" t="s">
        <v>134</v>
      </c>
      <c r="B73" s="1309" t="s">
        <v>158</v>
      </c>
      <c r="C73" s="1309"/>
      <c r="D73" s="1008">
        <f t="shared" si="15"/>
        <v>0</v>
      </c>
      <c r="E73" s="1008">
        <f t="shared" si="15"/>
        <v>0</v>
      </c>
      <c r="F73" s="1008">
        <f t="shared" si="15"/>
        <v>0</v>
      </c>
      <c r="G73" s="1008">
        <f>+'6.a. mell. PH'!D82</f>
        <v>0</v>
      </c>
      <c r="H73" s="1008">
        <f>+'6.a. mell. PH'!E82</f>
        <v>0</v>
      </c>
      <c r="I73" s="1008">
        <f>+'6.a. mell. PH'!F82</f>
        <v>0</v>
      </c>
      <c r="J73" s="1008">
        <f>+'6.b. mell. Óvoda'!D83</f>
        <v>0</v>
      </c>
      <c r="K73" s="1008">
        <f>+'6.b. mell. Óvoda'!E83</f>
        <v>0</v>
      </c>
      <c r="L73" s="1008">
        <f>+'6.b. mell. Óvoda'!F83</f>
        <v>0</v>
      </c>
      <c r="M73" s="1008">
        <f>+'6.c. mell. BBKP'!D84</f>
        <v>0</v>
      </c>
      <c r="N73" s="1008">
        <f>+'6.c. mell. BBKP'!E84</f>
        <v>0</v>
      </c>
      <c r="O73" s="1008">
        <f>+'6.c. mell. BBKP'!F84</f>
        <v>0</v>
      </c>
    </row>
    <row r="74" spans="1:15" s="544" customFormat="1" x14ac:dyDescent="0.25">
      <c r="A74" s="1316"/>
      <c r="B74" s="1316"/>
      <c r="C74" s="1316"/>
      <c r="D74" s="1009"/>
      <c r="E74" s="1009"/>
      <c r="F74" s="1009"/>
      <c r="G74" s="1009"/>
      <c r="H74" s="1009"/>
      <c r="I74" s="1009"/>
      <c r="J74" s="1009"/>
      <c r="K74" s="1009"/>
      <c r="L74" s="1009"/>
      <c r="M74" s="1009"/>
      <c r="N74" s="1009"/>
      <c r="O74" s="1009"/>
    </row>
    <row r="75" spans="1:15" s="544" customFormat="1" x14ac:dyDescent="0.25">
      <c r="A75" s="5" t="s">
        <v>135</v>
      </c>
      <c r="B75" s="1309" t="s">
        <v>157</v>
      </c>
      <c r="C75" s="1309"/>
      <c r="D75" s="1008">
        <f t="shared" si="15"/>
        <v>514183</v>
      </c>
      <c r="E75" s="1008">
        <f t="shared" si="15"/>
        <v>6863</v>
      </c>
      <c r="F75" s="1008">
        <f t="shared" si="15"/>
        <v>521046</v>
      </c>
      <c r="G75" s="1008">
        <f>+G73+G71+G69+G67+G63+G56+G55</f>
        <v>229174</v>
      </c>
      <c r="H75" s="1008">
        <f t="shared" ref="H75:I75" si="26">+H73+H71+H69+H67+H63+H56+H55</f>
        <v>357</v>
      </c>
      <c r="I75" s="1008">
        <f t="shared" si="26"/>
        <v>229531</v>
      </c>
      <c r="J75" s="1008">
        <f>+J73+J71+J69+J67+J63+J56+J55</f>
        <v>193257</v>
      </c>
      <c r="K75" s="1008">
        <f t="shared" ref="K75:L75" si="27">+K73+K71+K69+K67+K63+K56+K55</f>
        <v>5893</v>
      </c>
      <c r="L75" s="1008">
        <f t="shared" si="27"/>
        <v>199150</v>
      </c>
      <c r="M75" s="1008">
        <f>+M73+M71+M69+M67+M63+M56+M55</f>
        <v>91752</v>
      </c>
      <c r="N75" s="1008">
        <f t="shared" ref="N75:O75" si="28">+N73+N71+N69+N67+N63+N56+N55</f>
        <v>613</v>
      </c>
      <c r="O75" s="1008">
        <f t="shared" si="28"/>
        <v>92365</v>
      </c>
    </row>
    <row r="76" spans="1:15" s="544" customFormat="1" x14ac:dyDescent="0.25">
      <c r="A76" s="1316"/>
      <c r="B76" s="1316"/>
      <c r="C76" s="1316"/>
      <c r="D76" s="1009"/>
      <c r="E76" s="1009"/>
      <c r="F76" s="1009"/>
      <c r="G76" s="1009"/>
      <c r="H76" s="1009"/>
      <c r="I76" s="1009"/>
      <c r="J76" s="1009"/>
      <c r="K76" s="1009"/>
      <c r="L76" s="1009"/>
      <c r="M76" s="1009"/>
      <c r="N76" s="1009"/>
      <c r="O76" s="1009"/>
    </row>
    <row r="77" spans="1:15" s="544" customFormat="1" x14ac:dyDescent="0.25">
      <c r="A77" s="1095" t="s">
        <v>271</v>
      </c>
      <c r="B77" s="1096" t="s">
        <v>277</v>
      </c>
      <c r="C77" s="1096"/>
      <c r="D77" s="1008">
        <f t="shared" si="15"/>
        <v>0</v>
      </c>
      <c r="E77" s="1008">
        <f t="shared" si="15"/>
        <v>0</v>
      </c>
      <c r="F77" s="1008">
        <f t="shared" si="15"/>
        <v>0</v>
      </c>
      <c r="G77" s="1008">
        <v>0</v>
      </c>
      <c r="H77" s="1008">
        <v>0</v>
      </c>
      <c r="I77" s="1008">
        <v>0</v>
      </c>
      <c r="J77" s="1008">
        <v>0</v>
      </c>
      <c r="K77" s="1008">
        <v>0</v>
      </c>
      <c r="L77" s="1008">
        <v>0</v>
      </c>
      <c r="M77" s="1008">
        <v>0</v>
      </c>
      <c r="N77" s="1008">
        <v>0</v>
      </c>
      <c r="O77" s="1008">
        <v>0</v>
      </c>
    </row>
    <row r="78" spans="1:15" s="544" customFormat="1" x14ac:dyDescent="0.25">
      <c r="A78" s="1316"/>
      <c r="B78" s="1316"/>
      <c r="C78" s="1316"/>
      <c r="D78" s="1009"/>
      <c r="E78" s="1009"/>
      <c r="F78" s="1009"/>
      <c r="G78" s="1009"/>
      <c r="H78" s="1009"/>
      <c r="I78" s="1009"/>
      <c r="J78" s="1009"/>
      <c r="K78" s="1009"/>
      <c r="L78" s="1009"/>
      <c r="M78" s="1009"/>
      <c r="N78" s="1009"/>
      <c r="O78" s="1009"/>
    </row>
    <row r="79" spans="1:15" s="544" customFormat="1" x14ac:dyDescent="0.25">
      <c r="A79" s="1318" t="s">
        <v>288</v>
      </c>
      <c r="B79" s="1318"/>
      <c r="C79" s="1318"/>
      <c r="D79" s="1008">
        <f>+G79+J79+M79</f>
        <v>514183</v>
      </c>
      <c r="E79" s="1008">
        <f t="shared" ref="E79:F79" si="29">+H79+K79+N79</f>
        <v>6863</v>
      </c>
      <c r="F79" s="1008">
        <f t="shared" si="29"/>
        <v>521046</v>
      </c>
      <c r="G79" s="1008">
        <f>+G77+G75</f>
        <v>229174</v>
      </c>
      <c r="H79" s="1008">
        <f t="shared" ref="H79:I79" si="30">+H77+H75</f>
        <v>357</v>
      </c>
      <c r="I79" s="1008">
        <f t="shared" si="30"/>
        <v>229531</v>
      </c>
      <c r="J79" s="1008">
        <f>+J77+J75</f>
        <v>193257</v>
      </c>
      <c r="K79" s="1008">
        <f t="shared" ref="K79:L79" si="31">+K77+K75</f>
        <v>5893</v>
      </c>
      <c r="L79" s="1008">
        <f t="shared" si="31"/>
        <v>199150</v>
      </c>
      <c r="M79" s="1008">
        <f>+M77+M75</f>
        <v>91752</v>
      </c>
      <c r="N79" s="1008">
        <f t="shared" ref="N79:O79" si="32">+N77+N75</f>
        <v>613</v>
      </c>
      <c r="O79" s="1008">
        <f t="shared" si="32"/>
        <v>92365</v>
      </c>
    </row>
    <row r="80" spans="1:15" s="544" customFormat="1" x14ac:dyDescent="0.25"/>
    <row r="81" s="544" customFormat="1" x14ac:dyDescent="0.25"/>
    <row r="82" s="544" customFormat="1" x14ac:dyDescent="0.25"/>
    <row r="83" s="544" customFormat="1" x14ac:dyDescent="0.25"/>
    <row r="84" s="544" customFormat="1" x14ac:dyDescent="0.25"/>
    <row r="85" s="544" customFormat="1" x14ac:dyDescent="0.25"/>
  </sheetData>
  <mergeCells count="82">
    <mergeCell ref="B75:C75"/>
    <mergeCell ref="A76:C76"/>
    <mergeCell ref="A78:C78"/>
    <mergeCell ref="A79:C79"/>
    <mergeCell ref="B69:C69"/>
    <mergeCell ref="A70:C70"/>
    <mergeCell ref="B71:C71"/>
    <mergeCell ref="A72:C72"/>
    <mergeCell ref="B73:C73"/>
    <mergeCell ref="A74:C74"/>
    <mergeCell ref="A68:C68"/>
    <mergeCell ref="A57:C57"/>
    <mergeCell ref="B58:C58"/>
    <mergeCell ref="B59:C59"/>
    <mergeCell ref="B60:C60"/>
    <mergeCell ref="B61:C61"/>
    <mergeCell ref="B62:C62"/>
    <mergeCell ref="B63:C63"/>
    <mergeCell ref="A64:C64"/>
    <mergeCell ref="B65:C65"/>
    <mergeCell ref="B66:C66"/>
    <mergeCell ref="B67:C67"/>
    <mergeCell ref="J51:L51"/>
    <mergeCell ref="M51:O51"/>
    <mergeCell ref="B53:C53"/>
    <mergeCell ref="B54:C54"/>
    <mergeCell ref="B55:C55"/>
    <mergeCell ref="D51:F51"/>
    <mergeCell ref="G51:I51"/>
    <mergeCell ref="B56:C56"/>
    <mergeCell ref="B48:C48"/>
    <mergeCell ref="A49:C49"/>
    <mergeCell ref="A51:A52"/>
    <mergeCell ref="B51:C52"/>
    <mergeCell ref="B47:C4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6:C46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J2:L2"/>
    <mergeCell ref="M2:O2"/>
    <mergeCell ref="B9:C9"/>
    <mergeCell ref="A2:A3"/>
    <mergeCell ref="B2:C3"/>
    <mergeCell ref="D2:F2"/>
    <mergeCell ref="G2:I2"/>
    <mergeCell ref="B4:C4"/>
    <mergeCell ref="B5:C5"/>
    <mergeCell ref="B6:C6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scale="82" fitToHeight="2" orientation="landscape" r:id="rId1"/>
  <headerFooter>
    <oddHeader>&amp;C&amp;"Times New Roman,Félkövér"&amp;12Martonvásár Város Önkormányzatának kiadásai 2019.
Intézmények mindösszesen&amp;R&amp;"Times New Roman,Félkövér"&amp;12 6. melléklet</oddHeader>
  </headerFooter>
  <rowBreaks count="1" manualBreakCount="1">
    <brk id="5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zoomScaleNormal="100" workbookViewId="0">
      <selection activeCell="D3" sqref="D3:F3"/>
    </sheetView>
  </sheetViews>
  <sheetFormatPr defaultColWidth="9.140625" defaultRowHeight="15" x14ac:dyDescent="0.25"/>
  <cols>
    <col min="1" max="1" width="9.140625" style="1073"/>
    <col min="2" max="2" width="7.140625" style="25" customWidth="1"/>
    <col min="3" max="3" width="48.85546875" style="25" customWidth="1"/>
    <col min="4" max="4" width="11" style="56" customWidth="1"/>
    <col min="5" max="5" width="9.5703125" style="17" bestFit="1" customWidth="1"/>
    <col min="6" max="6" width="10.85546875" style="17" customWidth="1"/>
    <col min="7" max="16384" width="9.140625" style="1"/>
  </cols>
  <sheetData>
    <row r="1" spans="1:6" ht="18.75" customHeight="1" x14ac:dyDescent="0.25">
      <c r="D1" s="1176" t="s">
        <v>391</v>
      </c>
      <c r="E1" s="1176"/>
      <c r="F1" s="1176"/>
    </row>
    <row r="2" spans="1:6" ht="39.75" customHeight="1" x14ac:dyDescent="0.25">
      <c r="A2" s="1328" t="s">
        <v>0</v>
      </c>
      <c r="B2" s="1292" t="s">
        <v>182</v>
      </c>
      <c r="C2" s="1323"/>
      <c r="D2" s="1319" t="s">
        <v>295</v>
      </c>
      <c r="E2" s="1319"/>
      <c r="F2" s="1319"/>
    </row>
    <row r="3" spans="1:6" s="2" customFormat="1" ht="23.25" customHeight="1" x14ac:dyDescent="0.25">
      <c r="A3" s="1329"/>
      <c r="B3" s="1324"/>
      <c r="C3" s="1325"/>
      <c r="D3" s="1070" t="s">
        <v>912</v>
      </c>
      <c r="E3" s="1070" t="s">
        <v>727</v>
      </c>
      <c r="F3" s="1070" t="s">
        <v>950</v>
      </c>
    </row>
    <row r="4" spans="1:6" s="66" customFormat="1" ht="13.5" customHeight="1" x14ac:dyDescent="0.25">
      <c r="A4" s="1330"/>
      <c r="B4" s="1294"/>
      <c r="C4" s="1326"/>
      <c r="D4" s="1320" t="s">
        <v>189</v>
      </c>
      <c r="E4" s="1321"/>
      <c r="F4" s="1322"/>
    </row>
    <row r="5" spans="1:6" ht="12" customHeight="1" x14ac:dyDescent="0.25">
      <c r="A5" s="12" t="s">
        <v>2</v>
      </c>
      <c r="B5" s="1171" t="s">
        <v>1</v>
      </c>
      <c r="C5" s="1171"/>
      <c r="D5" s="26">
        <v>124244</v>
      </c>
      <c r="E5" s="26">
        <v>-5724</v>
      </c>
      <c r="F5" s="26">
        <f>+D5+E5</f>
        <v>118520</v>
      </c>
    </row>
    <row r="6" spans="1:6" ht="12" customHeight="1" x14ac:dyDescent="0.25">
      <c r="A6" s="4" t="s">
        <v>4</v>
      </c>
      <c r="B6" s="1171" t="s">
        <v>3</v>
      </c>
      <c r="C6" s="1171"/>
      <c r="D6" s="26">
        <v>200</v>
      </c>
      <c r="E6" s="26">
        <v>2800</v>
      </c>
      <c r="F6" s="26">
        <f t="shared" ref="F6:F18" si="0">+D6+E6</f>
        <v>3000</v>
      </c>
    </row>
    <row r="7" spans="1:6" ht="12" customHeight="1" x14ac:dyDescent="0.25">
      <c r="A7" s="4" t="s">
        <v>6</v>
      </c>
      <c r="B7" s="1171" t="s">
        <v>5</v>
      </c>
      <c r="C7" s="1171"/>
      <c r="D7" s="26">
        <v>9651</v>
      </c>
      <c r="E7" s="26">
        <v>488</v>
      </c>
      <c r="F7" s="26">
        <f t="shared" si="0"/>
        <v>10139</v>
      </c>
    </row>
    <row r="8" spans="1:6" ht="12" customHeight="1" x14ac:dyDescent="0.25">
      <c r="A8" s="4" t="s">
        <v>8</v>
      </c>
      <c r="B8" s="1171" t="s">
        <v>7</v>
      </c>
      <c r="C8" s="1171"/>
      <c r="D8" s="26">
        <v>3740</v>
      </c>
      <c r="E8" s="26">
        <v>1400</v>
      </c>
      <c r="F8" s="26">
        <f t="shared" si="0"/>
        <v>5140</v>
      </c>
    </row>
    <row r="9" spans="1:6" ht="12" customHeight="1" x14ac:dyDescent="0.25">
      <c r="A9" s="4" t="s">
        <v>10</v>
      </c>
      <c r="B9" s="1171" t="s">
        <v>9</v>
      </c>
      <c r="C9" s="1171"/>
      <c r="D9" s="26">
        <v>0</v>
      </c>
      <c r="E9" s="26"/>
      <c r="F9" s="26">
        <f t="shared" si="0"/>
        <v>0</v>
      </c>
    </row>
    <row r="10" spans="1:6" ht="12" customHeight="1" x14ac:dyDescent="0.25">
      <c r="A10" s="4" t="s">
        <v>12</v>
      </c>
      <c r="B10" s="1171" t="s">
        <v>11</v>
      </c>
      <c r="C10" s="1171"/>
      <c r="D10" s="27">
        <v>0</v>
      </c>
      <c r="E10" s="27"/>
      <c r="F10" s="26">
        <f t="shared" si="0"/>
        <v>0</v>
      </c>
    </row>
    <row r="11" spans="1:6" ht="12" customHeight="1" x14ac:dyDescent="0.25">
      <c r="A11" s="4" t="s">
        <v>14</v>
      </c>
      <c r="B11" s="1171" t="s">
        <v>13</v>
      </c>
      <c r="C11" s="1171"/>
      <c r="D11" s="27">
        <v>4632</v>
      </c>
      <c r="E11" s="27">
        <v>0</v>
      </c>
      <c r="F11" s="26">
        <f t="shared" si="0"/>
        <v>4632</v>
      </c>
    </row>
    <row r="12" spans="1:6" ht="12" customHeight="1" x14ac:dyDescent="0.25">
      <c r="A12" s="4" t="s">
        <v>16</v>
      </c>
      <c r="B12" s="1171" t="s">
        <v>15</v>
      </c>
      <c r="C12" s="1171"/>
      <c r="D12" s="27">
        <v>0</v>
      </c>
      <c r="E12" s="27"/>
      <c r="F12" s="26">
        <f t="shared" si="0"/>
        <v>0</v>
      </c>
    </row>
    <row r="13" spans="1:6" ht="12" customHeight="1" x14ac:dyDescent="0.25">
      <c r="A13" s="4" t="s">
        <v>18</v>
      </c>
      <c r="B13" s="1171" t="s">
        <v>17</v>
      </c>
      <c r="C13" s="1171"/>
      <c r="D13" s="27">
        <v>3000</v>
      </c>
      <c r="E13" s="27">
        <v>0</v>
      </c>
      <c r="F13" s="26">
        <f t="shared" si="0"/>
        <v>3000</v>
      </c>
    </row>
    <row r="14" spans="1:6" ht="12" customHeight="1" x14ac:dyDescent="0.25">
      <c r="A14" s="4" t="s">
        <v>20</v>
      </c>
      <c r="B14" s="1171" t="s">
        <v>19</v>
      </c>
      <c r="C14" s="1171"/>
      <c r="D14" s="27">
        <v>155</v>
      </c>
      <c r="E14" s="27">
        <v>0</v>
      </c>
      <c r="F14" s="26">
        <f t="shared" si="0"/>
        <v>155</v>
      </c>
    </row>
    <row r="15" spans="1:6" ht="12" customHeight="1" x14ac:dyDescent="0.25">
      <c r="A15" s="4" t="s">
        <v>22</v>
      </c>
      <c r="B15" s="1171" t="s">
        <v>21</v>
      </c>
      <c r="C15" s="1171"/>
      <c r="D15" s="27">
        <v>1743</v>
      </c>
      <c r="E15" s="27">
        <v>0</v>
      </c>
      <c r="F15" s="26">
        <f t="shared" si="0"/>
        <v>1743</v>
      </c>
    </row>
    <row r="16" spans="1:6" ht="12" customHeight="1" x14ac:dyDescent="0.25">
      <c r="A16" s="4" t="s">
        <v>24</v>
      </c>
      <c r="B16" s="1171" t="s">
        <v>23</v>
      </c>
      <c r="C16" s="1171"/>
      <c r="D16" s="27">
        <v>395</v>
      </c>
      <c r="E16" s="27">
        <v>141</v>
      </c>
      <c r="F16" s="26">
        <f t="shared" si="0"/>
        <v>536</v>
      </c>
    </row>
    <row r="17" spans="1:6" ht="12" customHeight="1" x14ac:dyDescent="0.25">
      <c r="A17" s="4" t="s">
        <v>25</v>
      </c>
      <c r="B17" s="1171" t="s">
        <v>175</v>
      </c>
      <c r="C17" s="1171"/>
      <c r="D17" s="27">
        <v>3669</v>
      </c>
      <c r="E17" s="27">
        <v>1082</v>
      </c>
      <c r="F17" s="26">
        <f t="shared" si="0"/>
        <v>4751</v>
      </c>
    </row>
    <row r="18" spans="1:6" ht="12" customHeight="1" x14ac:dyDescent="0.25">
      <c r="A18" s="4" t="s">
        <v>25</v>
      </c>
      <c r="B18" s="1171" t="s">
        <v>26</v>
      </c>
      <c r="C18" s="1171"/>
      <c r="D18" s="27"/>
      <c r="E18" s="27"/>
      <c r="F18" s="26">
        <f t="shared" si="0"/>
        <v>0</v>
      </c>
    </row>
    <row r="19" spans="1:6" ht="12" customHeight="1" x14ac:dyDescent="0.25">
      <c r="A19" s="5" t="s">
        <v>27</v>
      </c>
      <c r="B19" s="1170" t="s">
        <v>174</v>
      </c>
      <c r="C19" s="1170"/>
      <c r="D19" s="53">
        <f>SUM(D5:D18)</f>
        <v>151429</v>
      </c>
      <c r="E19" s="53">
        <f>SUM(E5:E18)</f>
        <v>187</v>
      </c>
      <c r="F19" s="53">
        <f>SUM(F5:F18)</f>
        <v>151616</v>
      </c>
    </row>
    <row r="20" spans="1:6" ht="12" customHeight="1" x14ac:dyDescent="0.25">
      <c r="A20" s="4" t="s">
        <v>29</v>
      </c>
      <c r="B20" s="1171" t="s">
        <v>28</v>
      </c>
      <c r="C20" s="1171"/>
      <c r="D20" s="27"/>
      <c r="E20" s="27"/>
      <c r="F20" s="27">
        <f>+E20+D20</f>
        <v>0</v>
      </c>
    </row>
    <row r="21" spans="1:6" ht="12" customHeight="1" x14ac:dyDescent="0.25">
      <c r="A21" s="4" t="s">
        <v>648</v>
      </c>
      <c r="B21" s="1171" t="s">
        <v>30</v>
      </c>
      <c r="C21" s="1171"/>
      <c r="D21" s="27">
        <v>1708</v>
      </c>
      <c r="E21" s="27">
        <v>43</v>
      </c>
      <c r="F21" s="27">
        <f t="shared" ref="F21:F22" si="1">+E21+D21</f>
        <v>1751</v>
      </c>
    </row>
    <row r="22" spans="1:6" ht="12" customHeight="1" x14ac:dyDescent="0.25">
      <c r="A22" s="4" t="s">
        <v>32</v>
      </c>
      <c r="B22" s="1171" t="s">
        <v>31</v>
      </c>
      <c r="C22" s="1171"/>
      <c r="D22" s="27">
        <v>311</v>
      </c>
      <c r="E22" s="27">
        <v>129</v>
      </c>
      <c r="F22" s="27">
        <f t="shared" si="1"/>
        <v>440</v>
      </c>
    </row>
    <row r="23" spans="1:6" ht="12" customHeight="1" x14ac:dyDescent="0.25">
      <c r="A23" s="5" t="s">
        <v>33</v>
      </c>
      <c r="B23" s="1170" t="s">
        <v>173</v>
      </c>
      <c r="C23" s="1170"/>
      <c r="D23" s="53">
        <f>SUM(D20:D22)</f>
        <v>2019</v>
      </c>
      <c r="E23" s="53">
        <f>SUM(E20:E22)</f>
        <v>172</v>
      </c>
      <c r="F23" s="53">
        <f>SUM(F20:F22)</f>
        <v>2191</v>
      </c>
    </row>
    <row r="24" spans="1:6" s="44" customFormat="1" ht="12" customHeight="1" x14ac:dyDescent="0.25">
      <c r="A24" s="6" t="s">
        <v>34</v>
      </c>
      <c r="B24" s="1167" t="s">
        <v>172</v>
      </c>
      <c r="C24" s="1167"/>
      <c r="D24" s="51">
        <f>+D23+D19</f>
        <v>153448</v>
      </c>
      <c r="E24" s="51">
        <f>+E23+E19</f>
        <v>359</v>
      </c>
      <c r="F24" s="51">
        <f>+F23+F19</f>
        <v>153807</v>
      </c>
    </row>
    <row r="25" spans="1:6" ht="10.5" customHeight="1" x14ac:dyDescent="0.25">
      <c r="A25" s="7"/>
      <c r="B25" s="8"/>
      <c r="C25" s="8"/>
      <c r="D25" s="28"/>
      <c r="E25" s="28"/>
      <c r="F25" s="29"/>
    </row>
    <row r="26" spans="1:6" s="44" customFormat="1" ht="12" customHeight="1" x14ac:dyDescent="0.25">
      <c r="A26" s="9" t="s">
        <v>35</v>
      </c>
      <c r="B26" s="1167" t="s">
        <v>171</v>
      </c>
      <c r="C26" s="1167"/>
      <c r="D26" s="50">
        <f>SUM(D27:D31)</f>
        <v>32919</v>
      </c>
      <c r="E26" s="50">
        <f>SUM(E27:E31)</f>
        <v>23</v>
      </c>
      <c r="F26" s="50">
        <f>SUM(F27:F31)</f>
        <v>32942</v>
      </c>
    </row>
    <row r="27" spans="1:6" ht="12" customHeight="1" x14ac:dyDescent="0.25">
      <c r="A27" s="32" t="s">
        <v>35</v>
      </c>
      <c r="B27" s="37"/>
      <c r="C27" s="33" t="s">
        <v>36</v>
      </c>
      <c r="D27" s="29">
        <v>29418</v>
      </c>
      <c r="E27" s="27">
        <v>23</v>
      </c>
      <c r="F27" s="27">
        <f>+E27+D27</f>
        <v>29441</v>
      </c>
    </row>
    <row r="28" spans="1:6" ht="12" customHeight="1" x14ac:dyDescent="0.25">
      <c r="A28" s="32" t="s">
        <v>35</v>
      </c>
      <c r="B28" s="37"/>
      <c r="C28" s="33" t="s">
        <v>37</v>
      </c>
      <c r="D28" s="29">
        <v>2682</v>
      </c>
      <c r="E28" s="27"/>
      <c r="F28" s="27">
        <f t="shared" ref="F28:F31" si="2">+E28+D28</f>
        <v>2682</v>
      </c>
    </row>
    <row r="29" spans="1:6" ht="12" customHeight="1" x14ac:dyDescent="0.25">
      <c r="A29" s="32" t="s">
        <v>35</v>
      </c>
      <c r="B29" s="37"/>
      <c r="C29" s="33" t="s">
        <v>38</v>
      </c>
      <c r="D29" s="29">
        <v>48</v>
      </c>
      <c r="E29" s="27"/>
      <c r="F29" s="27">
        <f t="shared" si="2"/>
        <v>48</v>
      </c>
    </row>
    <row r="30" spans="1:6" ht="12" customHeight="1" x14ac:dyDescent="0.25">
      <c r="A30" s="32" t="s">
        <v>35</v>
      </c>
      <c r="B30" s="37"/>
      <c r="C30" s="33" t="s">
        <v>39</v>
      </c>
      <c r="D30" s="29"/>
      <c r="E30" s="27"/>
      <c r="F30" s="27">
        <f t="shared" si="2"/>
        <v>0</v>
      </c>
    </row>
    <row r="31" spans="1:6" ht="12" customHeight="1" x14ac:dyDescent="0.25">
      <c r="A31" s="34" t="s">
        <v>35</v>
      </c>
      <c r="B31" s="37"/>
      <c r="C31" s="33" t="s">
        <v>40</v>
      </c>
      <c r="D31" s="286">
        <v>771</v>
      </c>
      <c r="E31" s="1079"/>
      <c r="F31" s="27">
        <f t="shared" si="2"/>
        <v>771</v>
      </c>
    </row>
    <row r="32" spans="1:6" ht="8.25" customHeight="1" x14ac:dyDescent="0.25">
      <c r="A32" s="10"/>
      <c r="B32" s="23"/>
      <c r="C32" s="11"/>
      <c r="D32" s="28"/>
      <c r="E32" s="28"/>
      <c r="F32" s="29"/>
    </row>
    <row r="33" spans="1:6" ht="12" customHeight="1" x14ac:dyDescent="0.25">
      <c r="A33" s="12" t="s">
        <v>42</v>
      </c>
      <c r="B33" s="1168" t="s">
        <v>41</v>
      </c>
      <c r="C33" s="1168"/>
      <c r="D33" s="30">
        <v>395</v>
      </c>
      <c r="E33" s="30"/>
      <c r="F33" s="30">
        <f>+E33+D33</f>
        <v>395</v>
      </c>
    </row>
    <row r="34" spans="1:6" ht="12" customHeight="1" x14ac:dyDescent="0.25">
      <c r="A34" s="4" t="s">
        <v>44</v>
      </c>
      <c r="B34" s="1171" t="s">
        <v>43</v>
      </c>
      <c r="C34" s="1171"/>
      <c r="D34" s="27">
        <v>2559</v>
      </c>
      <c r="E34" s="27">
        <v>373</v>
      </c>
      <c r="F34" s="30">
        <f t="shared" ref="F34:F35" si="3">+E34+D34</f>
        <v>2932</v>
      </c>
    </row>
    <row r="35" spans="1:6" ht="12" customHeight="1" x14ac:dyDescent="0.25">
      <c r="A35" s="4" t="s">
        <v>46</v>
      </c>
      <c r="B35" s="1171" t="s">
        <v>45</v>
      </c>
      <c r="C35" s="1171"/>
      <c r="D35" s="27"/>
      <c r="E35" s="27"/>
      <c r="F35" s="30">
        <f t="shared" si="3"/>
        <v>0</v>
      </c>
    </row>
    <row r="36" spans="1:6" s="44" customFormat="1" ht="12" customHeight="1" x14ac:dyDescent="0.25">
      <c r="A36" s="5" t="s">
        <v>47</v>
      </c>
      <c r="B36" s="1170" t="s">
        <v>170</v>
      </c>
      <c r="C36" s="1170"/>
      <c r="D36" s="53">
        <f>SUM(D33:D35)</f>
        <v>2954</v>
      </c>
      <c r="E36" s="53">
        <f t="shared" ref="E36:F36" si="4">SUM(E33:E35)</f>
        <v>373</v>
      </c>
      <c r="F36" s="53">
        <f t="shared" si="4"/>
        <v>3327</v>
      </c>
    </row>
    <row r="37" spans="1:6" ht="12" customHeight="1" x14ac:dyDescent="0.25">
      <c r="A37" s="4" t="s">
        <v>49</v>
      </c>
      <c r="B37" s="1171" t="s">
        <v>48</v>
      </c>
      <c r="C37" s="1171"/>
      <c r="D37" s="27">
        <v>1407</v>
      </c>
      <c r="E37" s="27"/>
      <c r="F37" s="27">
        <f>+E37+D37</f>
        <v>1407</v>
      </c>
    </row>
    <row r="38" spans="1:6" ht="12" customHeight="1" x14ac:dyDescent="0.25">
      <c r="A38" s="4" t="s">
        <v>51</v>
      </c>
      <c r="B38" s="1171" t="s">
        <v>50</v>
      </c>
      <c r="C38" s="1171"/>
      <c r="D38" s="27">
        <v>900</v>
      </c>
      <c r="E38" s="27"/>
      <c r="F38" s="27">
        <f>+E38+D38</f>
        <v>900</v>
      </c>
    </row>
    <row r="39" spans="1:6" s="44" customFormat="1" ht="12" customHeight="1" x14ac:dyDescent="0.25">
      <c r="A39" s="5" t="s">
        <v>52</v>
      </c>
      <c r="B39" s="1170" t="s">
        <v>169</v>
      </c>
      <c r="C39" s="1170"/>
      <c r="D39" s="53">
        <f>SUM(D37:D38)</f>
        <v>2307</v>
      </c>
      <c r="E39" s="53">
        <f t="shared" ref="E39:F39" si="5">SUM(E37:E38)</f>
        <v>0</v>
      </c>
      <c r="F39" s="53">
        <f t="shared" si="5"/>
        <v>2307</v>
      </c>
    </row>
    <row r="40" spans="1:6" ht="12" customHeight="1" x14ac:dyDescent="0.25">
      <c r="A40" s="4" t="s">
        <v>54</v>
      </c>
      <c r="B40" s="1171" t="s">
        <v>53</v>
      </c>
      <c r="C40" s="1171"/>
      <c r="D40" s="27"/>
      <c r="E40" s="27"/>
      <c r="F40" s="27">
        <f>+D40+E40</f>
        <v>0</v>
      </c>
    </row>
    <row r="41" spans="1:6" ht="12" customHeight="1" x14ac:dyDescent="0.25">
      <c r="A41" s="4" t="s">
        <v>56</v>
      </c>
      <c r="B41" s="1171" t="s">
        <v>55</v>
      </c>
      <c r="C41" s="1171"/>
      <c r="D41" s="27"/>
      <c r="E41" s="27"/>
      <c r="F41" s="27">
        <f t="shared" ref="F41:F48" si="6">+D41+E41</f>
        <v>0</v>
      </c>
    </row>
    <row r="42" spans="1:6" ht="12" customHeight="1" x14ac:dyDescent="0.25">
      <c r="A42" s="4" t="s">
        <v>57</v>
      </c>
      <c r="B42" s="1171" t="s">
        <v>167</v>
      </c>
      <c r="C42" s="1171"/>
      <c r="D42" s="27"/>
      <c r="E42" s="27"/>
      <c r="F42" s="27">
        <f t="shared" si="6"/>
        <v>0</v>
      </c>
    </row>
    <row r="43" spans="1:6" ht="12" customHeight="1" x14ac:dyDescent="0.25">
      <c r="A43" s="4" t="s">
        <v>59</v>
      </c>
      <c r="B43" s="1171" t="s">
        <v>58</v>
      </c>
      <c r="C43" s="1171"/>
      <c r="D43" s="27">
        <v>3426</v>
      </c>
      <c r="E43" s="27">
        <v>-491</v>
      </c>
      <c r="F43" s="27">
        <f t="shared" si="6"/>
        <v>2935</v>
      </c>
    </row>
    <row r="44" spans="1:6" ht="12" customHeight="1" x14ac:dyDescent="0.25">
      <c r="A44" s="4" t="s">
        <v>60</v>
      </c>
      <c r="B44" s="1331" t="s">
        <v>166</v>
      </c>
      <c r="C44" s="1331"/>
      <c r="D44" s="27">
        <v>456</v>
      </c>
      <c r="E44" s="27">
        <v>120</v>
      </c>
      <c r="F44" s="27">
        <f t="shared" si="6"/>
        <v>576</v>
      </c>
    </row>
    <row r="45" spans="1:6" ht="12" customHeight="1" x14ac:dyDescent="0.25">
      <c r="A45" s="32" t="s">
        <v>60</v>
      </c>
      <c r="B45" s="37"/>
      <c r="C45" s="33" t="s">
        <v>61</v>
      </c>
      <c r="D45" s="29"/>
      <c r="E45" s="27"/>
      <c r="F45" s="27">
        <f t="shared" si="6"/>
        <v>0</v>
      </c>
    </row>
    <row r="46" spans="1:6" ht="12" customHeight="1" x14ac:dyDescent="0.25">
      <c r="A46" s="32" t="s">
        <v>60</v>
      </c>
      <c r="B46" s="37"/>
      <c r="C46" s="33" t="s">
        <v>168</v>
      </c>
      <c r="D46" s="29"/>
      <c r="E46" s="27"/>
      <c r="F46" s="27">
        <f t="shared" si="6"/>
        <v>0</v>
      </c>
    </row>
    <row r="47" spans="1:6" ht="12" customHeight="1" x14ac:dyDescent="0.25">
      <c r="A47" s="4" t="s">
        <v>63</v>
      </c>
      <c r="B47" s="1168" t="s">
        <v>62</v>
      </c>
      <c r="C47" s="1168"/>
      <c r="D47" s="27">
        <v>2412</v>
      </c>
      <c r="E47" s="27">
        <v>-1001</v>
      </c>
      <c r="F47" s="27">
        <f t="shared" si="6"/>
        <v>1411</v>
      </c>
    </row>
    <row r="48" spans="1:6" ht="12" customHeight="1" x14ac:dyDescent="0.25">
      <c r="A48" s="4" t="s">
        <v>65</v>
      </c>
      <c r="B48" s="1171" t="s">
        <v>64</v>
      </c>
      <c r="C48" s="1171"/>
      <c r="D48" s="27">
        <v>6978</v>
      </c>
      <c r="E48" s="27">
        <v>401</v>
      </c>
      <c r="F48" s="27">
        <f t="shared" si="6"/>
        <v>7379</v>
      </c>
    </row>
    <row r="49" spans="1:6" s="44" customFormat="1" ht="12" customHeight="1" x14ac:dyDescent="0.25">
      <c r="A49" s="5" t="s">
        <v>66</v>
      </c>
      <c r="B49" s="1170" t="s">
        <v>156</v>
      </c>
      <c r="C49" s="1170"/>
      <c r="D49" s="53">
        <f>+D48+D47+D44+D43+D42+D41+D40</f>
        <v>13272</v>
      </c>
      <c r="E49" s="53">
        <f t="shared" ref="E49:F49" si="7">+E48+E47+E44+E43+E42+E41+E40</f>
        <v>-971</v>
      </c>
      <c r="F49" s="53">
        <f t="shared" si="7"/>
        <v>12301</v>
      </c>
    </row>
    <row r="50" spans="1:6" ht="12" customHeight="1" x14ac:dyDescent="0.25">
      <c r="A50" s="4" t="s">
        <v>68</v>
      </c>
      <c r="B50" s="1171" t="s">
        <v>67</v>
      </c>
      <c r="C50" s="1171"/>
      <c r="D50" s="27">
        <v>585</v>
      </c>
      <c r="E50" s="27">
        <v>92</v>
      </c>
      <c r="F50" s="27">
        <f>+E50+D50</f>
        <v>677</v>
      </c>
    </row>
    <row r="51" spans="1:6" ht="12" customHeight="1" x14ac:dyDescent="0.25">
      <c r="A51" s="4" t="s">
        <v>70</v>
      </c>
      <c r="B51" s="1171" t="s">
        <v>69</v>
      </c>
      <c r="C51" s="1171"/>
      <c r="D51" s="27"/>
      <c r="E51" s="27"/>
      <c r="F51" s="27">
        <f>+E51+D51</f>
        <v>0</v>
      </c>
    </row>
    <row r="52" spans="1:6" ht="12" customHeight="1" x14ac:dyDescent="0.25">
      <c r="A52" s="5" t="s">
        <v>71</v>
      </c>
      <c r="B52" s="1170" t="s">
        <v>155</v>
      </c>
      <c r="C52" s="1170"/>
      <c r="D52" s="53">
        <f>SUM(D50:D51)</f>
        <v>585</v>
      </c>
      <c r="E52" s="53">
        <f t="shared" ref="E52:F52" si="8">SUM(E50:E51)</f>
        <v>92</v>
      </c>
      <c r="F52" s="53">
        <f t="shared" si="8"/>
        <v>677</v>
      </c>
    </row>
    <row r="53" spans="1:6" ht="12" customHeight="1" x14ac:dyDescent="0.25">
      <c r="A53" s="4" t="s">
        <v>73</v>
      </c>
      <c r="B53" s="1171" t="s">
        <v>72</v>
      </c>
      <c r="C53" s="1171"/>
      <c r="D53" s="27">
        <v>2373</v>
      </c>
      <c r="E53" s="27">
        <v>503</v>
      </c>
      <c r="F53" s="27">
        <f>+D53+E53</f>
        <v>2876</v>
      </c>
    </row>
    <row r="54" spans="1:6" ht="12" customHeight="1" x14ac:dyDescent="0.25">
      <c r="A54" s="4" t="s">
        <v>75</v>
      </c>
      <c r="B54" s="1171" t="s">
        <v>74</v>
      </c>
      <c r="C54" s="1171"/>
      <c r="D54" s="27"/>
      <c r="E54" s="27"/>
      <c r="F54" s="27">
        <f t="shared" ref="F54:F57" si="9">+D54+E54</f>
        <v>0</v>
      </c>
    </row>
    <row r="55" spans="1:6" ht="12" customHeight="1" x14ac:dyDescent="0.25">
      <c r="A55" s="4" t="s">
        <v>76</v>
      </c>
      <c r="B55" s="1171" t="s">
        <v>154</v>
      </c>
      <c r="C55" s="1171"/>
      <c r="D55" s="27"/>
      <c r="E55" s="27"/>
      <c r="F55" s="27">
        <f t="shared" si="9"/>
        <v>0</v>
      </c>
    </row>
    <row r="56" spans="1:6" ht="12" customHeight="1" x14ac:dyDescent="0.25">
      <c r="A56" s="4" t="s">
        <v>77</v>
      </c>
      <c r="B56" s="1171" t="s">
        <v>153</v>
      </c>
      <c r="C56" s="1171"/>
      <c r="D56" s="27"/>
      <c r="E56" s="27"/>
      <c r="F56" s="27">
        <f t="shared" si="9"/>
        <v>0</v>
      </c>
    </row>
    <row r="57" spans="1:6" ht="12" customHeight="1" x14ac:dyDescent="0.25">
      <c r="A57" s="4" t="s">
        <v>79</v>
      </c>
      <c r="B57" s="1171" t="s">
        <v>78</v>
      </c>
      <c r="C57" s="1171"/>
      <c r="D57" s="27">
        <v>198</v>
      </c>
      <c r="E57" s="27">
        <v>100</v>
      </c>
      <c r="F57" s="27">
        <f t="shared" si="9"/>
        <v>298</v>
      </c>
    </row>
    <row r="58" spans="1:6" ht="12" customHeight="1" x14ac:dyDescent="0.25">
      <c r="A58" s="5" t="s">
        <v>80</v>
      </c>
      <c r="B58" s="1170" t="s">
        <v>152</v>
      </c>
      <c r="C58" s="1170"/>
      <c r="D58" s="53">
        <f>SUM(D53:D57)</f>
        <v>2571</v>
      </c>
      <c r="E58" s="53">
        <f t="shared" ref="E58:F58" si="10">SUM(E53:E57)</f>
        <v>603</v>
      </c>
      <c r="F58" s="53">
        <f t="shared" si="10"/>
        <v>3174</v>
      </c>
    </row>
    <row r="59" spans="1:6" ht="12" customHeight="1" x14ac:dyDescent="0.25">
      <c r="A59" s="6" t="s">
        <v>81</v>
      </c>
      <c r="B59" s="1167" t="s">
        <v>151</v>
      </c>
      <c r="C59" s="1167"/>
      <c r="D59" s="51">
        <f>+D58+D52+D49+D39+D36</f>
        <v>21689</v>
      </c>
      <c r="E59" s="51">
        <f t="shared" ref="E59:F59" si="11">+E58+E52+E49+E39+E36</f>
        <v>97</v>
      </c>
      <c r="F59" s="51">
        <f t="shared" si="11"/>
        <v>21786</v>
      </c>
    </row>
    <row r="60" spans="1:6" ht="12" customHeight="1" x14ac:dyDescent="0.25">
      <c r="A60" s="7"/>
      <c r="B60" s="8"/>
      <c r="C60" s="8"/>
      <c r="D60" s="28"/>
      <c r="E60" s="28"/>
      <c r="F60" s="29"/>
    </row>
    <row r="61" spans="1:6" ht="12" customHeight="1" x14ac:dyDescent="0.25">
      <c r="A61" s="4" t="s">
        <v>101</v>
      </c>
      <c r="B61" s="1327" t="s">
        <v>778</v>
      </c>
      <c r="C61" s="1166"/>
      <c r="D61" s="27">
        <v>11550</v>
      </c>
      <c r="E61" s="27"/>
      <c r="F61" s="27">
        <f>+E61+D61</f>
        <v>11550</v>
      </c>
    </row>
    <row r="62" spans="1:6" ht="12" customHeight="1" x14ac:dyDescent="0.25">
      <c r="A62" s="4" t="s">
        <v>107</v>
      </c>
      <c r="B62" s="1327" t="s">
        <v>164</v>
      </c>
      <c r="C62" s="1166"/>
      <c r="D62" s="27">
        <f>D63</f>
        <v>5189</v>
      </c>
      <c r="E62" s="27"/>
      <c r="F62" s="27">
        <f>+D62+E62</f>
        <v>5189</v>
      </c>
    </row>
    <row r="63" spans="1:6" ht="12" customHeight="1" x14ac:dyDescent="0.25">
      <c r="A63" s="39" t="s">
        <v>107</v>
      </c>
      <c r="B63" s="37"/>
      <c r="C63" s="35" t="s">
        <v>104</v>
      </c>
      <c r="D63" s="27">
        <v>5189</v>
      </c>
      <c r="E63" s="27"/>
      <c r="F63" s="27">
        <f>+D63+E63</f>
        <v>5189</v>
      </c>
    </row>
    <row r="64" spans="1:6" ht="12" customHeight="1" x14ac:dyDescent="0.25">
      <c r="A64" s="6" t="s">
        <v>108</v>
      </c>
      <c r="B64" s="1167" t="s">
        <v>163</v>
      </c>
      <c r="C64" s="1167"/>
      <c r="D64" s="51">
        <f>+D62+D61</f>
        <v>16739</v>
      </c>
      <c r="E64" s="51">
        <f t="shared" ref="E64:F64" si="12">+E62+E61</f>
        <v>0</v>
      </c>
      <c r="F64" s="51">
        <f t="shared" si="12"/>
        <v>16739</v>
      </c>
    </row>
    <row r="65" spans="1:6" ht="12" customHeight="1" x14ac:dyDescent="0.25">
      <c r="A65" s="7"/>
      <c r="B65" s="8"/>
      <c r="C65" s="8"/>
      <c r="D65" s="28"/>
      <c r="E65" s="28"/>
      <c r="F65" s="29"/>
    </row>
    <row r="66" spans="1:6" ht="12" customHeight="1" x14ac:dyDescent="0.25">
      <c r="A66" s="12" t="s">
        <v>110</v>
      </c>
      <c r="B66" s="1168" t="s">
        <v>109</v>
      </c>
      <c r="C66" s="1168"/>
      <c r="D66" s="30"/>
      <c r="E66" s="30">
        <v>239</v>
      </c>
      <c r="F66" s="30">
        <f>+D66+E66</f>
        <v>239</v>
      </c>
    </row>
    <row r="67" spans="1:6" ht="12" customHeight="1" x14ac:dyDescent="0.25">
      <c r="A67" s="4" t="s">
        <v>111</v>
      </c>
      <c r="B67" s="1171" t="s">
        <v>162</v>
      </c>
      <c r="C67" s="1171"/>
      <c r="D67" s="27"/>
      <c r="E67" s="27"/>
      <c r="F67" s="30">
        <f t="shared" ref="F67:F73" si="13">+D67+E67</f>
        <v>0</v>
      </c>
    </row>
    <row r="68" spans="1:6" ht="12" customHeight="1" x14ac:dyDescent="0.25">
      <c r="A68" s="36" t="s">
        <v>111</v>
      </c>
      <c r="B68" s="37"/>
      <c r="C68" s="40" t="s">
        <v>112</v>
      </c>
      <c r="D68" s="27"/>
      <c r="E68" s="27"/>
      <c r="F68" s="30">
        <f t="shared" si="13"/>
        <v>0</v>
      </c>
    </row>
    <row r="69" spans="1:6" ht="12" customHeight="1" x14ac:dyDescent="0.25">
      <c r="A69" s="4" t="s">
        <v>114</v>
      </c>
      <c r="B69" s="1171" t="s">
        <v>113</v>
      </c>
      <c r="C69" s="1171"/>
      <c r="D69" s="27">
        <v>503</v>
      </c>
      <c r="E69" s="27">
        <v>1806</v>
      </c>
      <c r="F69" s="30">
        <f t="shared" si="13"/>
        <v>2309</v>
      </c>
    </row>
    <row r="70" spans="1:6" ht="12" customHeight="1" x14ac:dyDescent="0.25">
      <c r="A70" s="4" t="s">
        <v>116</v>
      </c>
      <c r="B70" s="1171" t="s">
        <v>115</v>
      </c>
      <c r="C70" s="1171"/>
      <c r="D70" s="27">
        <v>2945</v>
      </c>
      <c r="E70" s="27">
        <v>-2141</v>
      </c>
      <c r="F70" s="30">
        <f t="shared" si="13"/>
        <v>804</v>
      </c>
    </row>
    <row r="71" spans="1:6" ht="12" customHeight="1" x14ac:dyDescent="0.25">
      <c r="A71" s="4" t="s">
        <v>118</v>
      </c>
      <c r="B71" s="1171" t="s">
        <v>117</v>
      </c>
      <c r="C71" s="1171"/>
      <c r="D71" s="27"/>
      <c r="E71" s="27"/>
      <c r="F71" s="30">
        <f t="shared" si="13"/>
        <v>0</v>
      </c>
    </row>
    <row r="72" spans="1:6" ht="12" customHeight="1" x14ac:dyDescent="0.25">
      <c r="A72" s="4" t="s">
        <v>120</v>
      </c>
      <c r="B72" s="1171" t="s">
        <v>119</v>
      </c>
      <c r="C72" s="1171"/>
      <c r="D72" s="27"/>
      <c r="E72" s="27"/>
      <c r="F72" s="30">
        <f t="shared" si="13"/>
        <v>0</v>
      </c>
    </row>
    <row r="73" spans="1:6" ht="12" customHeight="1" x14ac:dyDescent="0.25">
      <c r="A73" s="4" t="s">
        <v>122</v>
      </c>
      <c r="B73" s="1171" t="s">
        <v>121</v>
      </c>
      <c r="C73" s="1171"/>
      <c r="D73" s="27">
        <v>931</v>
      </c>
      <c r="E73" s="27">
        <v>-26</v>
      </c>
      <c r="F73" s="30">
        <f t="shared" si="13"/>
        <v>905</v>
      </c>
    </row>
    <row r="74" spans="1:6" ht="12" customHeight="1" x14ac:dyDescent="0.25">
      <c r="A74" s="6" t="s">
        <v>123</v>
      </c>
      <c r="B74" s="1167" t="s">
        <v>161</v>
      </c>
      <c r="C74" s="1167"/>
      <c r="D74" s="51">
        <f>+D73+D72+D71+D70+D69+D67+D66</f>
        <v>4379</v>
      </c>
      <c r="E74" s="51">
        <f>+E73+E72+E71+E70+E69+E67+E66</f>
        <v>-122</v>
      </c>
      <c r="F74" s="51">
        <f>+F73+F72+F71+F70+F69+F67+F66</f>
        <v>4257</v>
      </c>
    </row>
    <row r="75" spans="1:6" ht="12" customHeight="1" x14ac:dyDescent="0.25">
      <c r="A75" s="7"/>
      <c r="B75" s="8"/>
      <c r="C75" s="8"/>
      <c r="D75" s="28"/>
      <c r="E75" s="28"/>
      <c r="F75" s="29"/>
    </row>
    <row r="76" spans="1:6" ht="12" hidden="1" customHeight="1" x14ac:dyDescent="0.25">
      <c r="A76" s="12" t="s">
        <v>125</v>
      </c>
      <c r="B76" s="1168" t="s">
        <v>124</v>
      </c>
      <c r="C76" s="1168"/>
      <c r="D76" s="30"/>
      <c r="E76" s="30"/>
      <c r="F76" s="30"/>
    </row>
    <row r="77" spans="1:6" ht="12" hidden="1" customHeight="1" x14ac:dyDescent="0.25">
      <c r="A77" s="4" t="s">
        <v>127</v>
      </c>
      <c r="B77" s="1171" t="s">
        <v>126</v>
      </c>
      <c r="C77" s="1171"/>
      <c r="D77" s="27"/>
      <c r="E77" s="27"/>
      <c r="F77" s="27"/>
    </row>
    <row r="78" spans="1:6" ht="12" hidden="1" customHeight="1" x14ac:dyDescent="0.25">
      <c r="A78" s="4" t="s">
        <v>129</v>
      </c>
      <c r="B78" s="1171" t="s">
        <v>128</v>
      </c>
      <c r="C78" s="1171"/>
      <c r="D78" s="27"/>
      <c r="E78" s="27"/>
      <c r="F78" s="27"/>
    </row>
    <row r="79" spans="1:6" ht="12" hidden="1" customHeight="1" x14ac:dyDescent="0.25">
      <c r="A79" s="4" t="s">
        <v>131</v>
      </c>
      <c r="B79" s="1171" t="s">
        <v>130</v>
      </c>
      <c r="C79" s="1171"/>
      <c r="D79" s="27"/>
      <c r="E79" s="27"/>
      <c r="F79" s="27"/>
    </row>
    <row r="80" spans="1:6" ht="12" customHeight="1" x14ac:dyDescent="0.25">
      <c r="A80" s="5" t="s">
        <v>132</v>
      </c>
      <c r="B80" s="1170" t="s">
        <v>160</v>
      </c>
      <c r="C80" s="1170"/>
      <c r="D80" s="53">
        <f>SUM(D76:D79)</f>
        <v>0</v>
      </c>
      <c r="E80" s="53">
        <f>SUM(E76:E79)</f>
        <v>0</v>
      </c>
      <c r="F80" s="53">
        <f>SUM(F76:F79)</f>
        <v>0</v>
      </c>
    </row>
    <row r="81" spans="1:6" ht="12" customHeight="1" x14ac:dyDescent="0.25">
      <c r="A81" s="7"/>
      <c r="B81" s="15"/>
      <c r="C81" s="15"/>
      <c r="D81" s="28"/>
      <c r="E81" s="28"/>
      <c r="F81" s="29"/>
    </row>
    <row r="82" spans="1:6" ht="12" customHeight="1" x14ac:dyDescent="0.25">
      <c r="A82" s="14" t="s">
        <v>134</v>
      </c>
      <c r="B82" s="1172" t="s">
        <v>158</v>
      </c>
      <c r="C82" s="1172"/>
      <c r="D82" s="27"/>
      <c r="E82" s="27"/>
      <c r="F82" s="27"/>
    </row>
    <row r="83" spans="1:6" ht="12" customHeight="1" thickBot="1" x14ac:dyDescent="0.3">
      <c r="A83" s="45"/>
      <c r="B83" s="46"/>
      <c r="C83" s="46"/>
      <c r="D83" s="193"/>
      <c r="E83" s="193"/>
      <c r="F83" s="286"/>
    </row>
    <row r="84" spans="1:6" ht="12" customHeight="1" thickBot="1" x14ac:dyDescent="0.3">
      <c r="A84" s="47" t="s">
        <v>135</v>
      </c>
      <c r="B84" s="1173" t="s">
        <v>157</v>
      </c>
      <c r="C84" s="1173"/>
      <c r="D84" s="797">
        <f>+D82+D80+D74+D64+D59+D26+D24</f>
        <v>229174</v>
      </c>
      <c r="E84" s="891">
        <f>+E82+E80+E74+E64+E59+E26+E24</f>
        <v>357</v>
      </c>
      <c r="F84" s="891">
        <f>+F82+F80+F74+F64+F59+F26+F24</f>
        <v>229531</v>
      </c>
    </row>
    <row r="85" spans="1:6" x14ac:dyDescent="0.25">
      <c r="D85" s="638"/>
      <c r="E85" s="638">
        <v>357</v>
      </c>
      <c r="F85" s="638"/>
    </row>
  </sheetData>
  <mergeCells count="69">
    <mergeCell ref="B52:C52"/>
    <mergeCell ref="B53:C53"/>
    <mergeCell ref="B54:C54"/>
    <mergeCell ref="B49:C49"/>
    <mergeCell ref="B40:C40"/>
    <mergeCell ref="B41:C41"/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4:C84"/>
    <mergeCell ref="B74:C74"/>
    <mergeCell ref="B76:C76"/>
    <mergeCell ref="B77:C77"/>
    <mergeCell ref="B78:C78"/>
    <mergeCell ref="B79:C79"/>
    <mergeCell ref="B55:C55"/>
    <mergeCell ref="B56:C56"/>
    <mergeCell ref="B80:C80"/>
    <mergeCell ref="B82:C82"/>
    <mergeCell ref="B69:C69"/>
    <mergeCell ref="B70:C70"/>
    <mergeCell ref="B71:C71"/>
    <mergeCell ref="B72:C72"/>
    <mergeCell ref="B73:C73"/>
    <mergeCell ref="B57:C57"/>
    <mergeCell ref="B58:C58"/>
    <mergeCell ref="B59:C59"/>
    <mergeCell ref="B62:C62"/>
    <mergeCell ref="B64:C64"/>
    <mergeCell ref="B66:C66"/>
    <mergeCell ref="B67:C67"/>
    <mergeCell ref="B61:C61"/>
    <mergeCell ref="B33:C33"/>
    <mergeCell ref="B2:C4"/>
    <mergeCell ref="B13:C13"/>
    <mergeCell ref="B14:C14"/>
    <mergeCell ref="B15:C15"/>
    <mergeCell ref="B16:C16"/>
    <mergeCell ref="B19:C19"/>
    <mergeCell ref="B7:C7"/>
    <mergeCell ref="B8:C8"/>
    <mergeCell ref="B10:C10"/>
    <mergeCell ref="B11:C11"/>
    <mergeCell ref="B17:C17"/>
    <mergeCell ref="B23:C23"/>
    <mergeCell ref="B24:C24"/>
    <mergeCell ref="D2:F2"/>
    <mergeCell ref="D4:F4"/>
    <mergeCell ref="B5:C5"/>
    <mergeCell ref="B26:C26"/>
    <mergeCell ref="B22:C22"/>
    <mergeCell ref="B6:C6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1" orientation="portrait" r:id="rId1"/>
  <headerFooter>
    <oddHeader>&amp;C&amp;"Times New Roman,Félkövér"&amp;12Martonvásár Város Önkormányzatának kiadásai 2019.
Polgármesteri Hivatal&amp;R&amp;"Times New Roman,Félkövér"&amp;12 6.a melléklet</oddHeader>
  </headerFooter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9"/>
  <sheetViews>
    <sheetView tabSelected="1" zoomScaleNormal="100" workbookViewId="0">
      <selection activeCell="B46" sqref="B46"/>
    </sheetView>
  </sheetViews>
  <sheetFormatPr defaultColWidth="9.140625" defaultRowHeight="15.75" x14ac:dyDescent="0.25"/>
  <cols>
    <col min="1" max="1" width="5.42578125" style="119" customWidth="1"/>
    <col min="2" max="2" width="54.85546875" style="113" customWidth="1"/>
    <col min="3" max="3" width="10.42578125" style="113" customWidth="1"/>
    <col min="4" max="4" width="9.140625" style="113" customWidth="1"/>
    <col min="5" max="5" width="9" style="113" customWidth="1"/>
    <col min="6" max="20" width="9.140625" style="81"/>
    <col min="21" max="16384" width="9.140625" style="113"/>
  </cols>
  <sheetData>
    <row r="1" spans="1:20" ht="15.95" customHeight="1" x14ac:dyDescent="0.25">
      <c r="A1" s="75" t="s">
        <v>302</v>
      </c>
      <c r="B1" s="76"/>
      <c r="C1" s="76"/>
      <c r="D1" s="76"/>
      <c r="E1" s="76"/>
    </row>
    <row r="2" spans="1:20" ht="15.95" customHeight="1" x14ac:dyDescent="0.25">
      <c r="A2" s="1116" t="s">
        <v>303</v>
      </c>
      <c r="B2" s="1116"/>
      <c r="D2" s="1119" t="s">
        <v>388</v>
      </c>
      <c r="E2" s="1119"/>
    </row>
    <row r="3" spans="1:20" ht="35.25" customHeight="1" x14ac:dyDescent="0.25">
      <c r="A3" s="120"/>
      <c r="B3" s="120" t="s">
        <v>182</v>
      </c>
      <c r="C3" s="890" t="s">
        <v>912</v>
      </c>
      <c r="D3" s="890" t="s">
        <v>727</v>
      </c>
      <c r="E3" s="890" t="s">
        <v>950</v>
      </c>
      <c r="O3" s="113"/>
      <c r="P3" s="113"/>
      <c r="Q3" s="113"/>
      <c r="R3" s="113"/>
      <c r="S3" s="113"/>
      <c r="T3" s="113"/>
    </row>
    <row r="4" spans="1:20" s="132" customFormat="1" x14ac:dyDescent="0.25">
      <c r="A4" s="130" t="s">
        <v>400</v>
      </c>
      <c r="B4" s="124" t="s">
        <v>399</v>
      </c>
      <c r="C4" s="136">
        <f>+C7+C8+C13+C14</f>
        <v>954542</v>
      </c>
      <c r="D4" s="136">
        <f t="shared" ref="D4:E4" si="0">+D7+D8+D13+D14</f>
        <v>18069</v>
      </c>
      <c r="E4" s="136">
        <f t="shared" si="0"/>
        <v>972611</v>
      </c>
      <c r="F4" s="131"/>
      <c r="G4" s="131"/>
      <c r="H4" s="131"/>
      <c r="I4" s="131"/>
      <c r="J4" s="131"/>
      <c r="K4" s="131"/>
      <c r="L4" s="131"/>
      <c r="M4" s="131"/>
      <c r="N4" s="131"/>
    </row>
    <row r="5" spans="1:20" s="114" customFormat="1" ht="12" customHeight="1" x14ac:dyDescent="0.2">
      <c r="A5" s="86" t="s">
        <v>397</v>
      </c>
      <c r="B5" s="135" t="s">
        <v>331</v>
      </c>
      <c r="C5" s="84">
        <f>+'3.mell. Bevétel'!C11</f>
        <v>503272</v>
      </c>
      <c r="D5" s="84">
        <f>+'3.mell. Bevétel'!D11</f>
        <v>11447</v>
      </c>
      <c r="E5" s="84">
        <f>+'3.mell. Bevétel'!E11</f>
        <v>514719</v>
      </c>
      <c r="F5" s="81"/>
      <c r="G5" s="81"/>
      <c r="H5" s="81"/>
      <c r="I5" s="81"/>
      <c r="J5" s="81"/>
      <c r="K5" s="81"/>
      <c r="L5" s="81"/>
      <c r="M5" s="81"/>
      <c r="N5" s="81"/>
    </row>
    <row r="6" spans="1:20" s="114" customFormat="1" ht="26.25" customHeight="1" x14ac:dyDescent="0.2">
      <c r="A6" s="134" t="s">
        <v>398</v>
      </c>
      <c r="B6" s="135" t="s">
        <v>205</v>
      </c>
      <c r="C6" s="84">
        <f>+'3.mell. Bevétel'!C12+'6.mell Int.összesen'!D15</f>
        <v>53214</v>
      </c>
      <c r="D6" s="84">
        <f>+'3.mell. Bevétel'!D12+'6.mell Int.összesen'!E15</f>
        <v>1631</v>
      </c>
      <c r="E6" s="84">
        <f>+'3.mell. Bevétel'!E12+'6.mell Int.összesen'!F15</f>
        <v>54845</v>
      </c>
      <c r="F6" s="81"/>
      <c r="G6" s="81"/>
      <c r="H6" s="81"/>
      <c r="I6" s="81"/>
      <c r="J6" s="81"/>
      <c r="K6" s="81"/>
      <c r="L6" s="81"/>
      <c r="M6" s="81"/>
      <c r="N6" s="81"/>
    </row>
    <row r="7" spans="1:20" s="133" customFormat="1" ht="12" customHeight="1" x14ac:dyDescent="0.2">
      <c r="A7" s="61" t="s">
        <v>308</v>
      </c>
      <c r="B7" s="54" t="s">
        <v>329</v>
      </c>
      <c r="C7" s="69">
        <f>+C5+C6</f>
        <v>556486</v>
      </c>
      <c r="D7" s="69">
        <f t="shared" ref="D7:E7" si="1">+D5+D6</f>
        <v>13078</v>
      </c>
      <c r="E7" s="69">
        <f t="shared" si="1"/>
        <v>569564</v>
      </c>
      <c r="F7" s="131"/>
      <c r="G7" s="131"/>
      <c r="H7" s="131"/>
      <c r="I7" s="131"/>
      <c r="J7" s="131"/>
      <c r="K7" s="131"/>
      <c r="L7" s="131"/>
      <c r="M7" s="131"/>
      <c r="N7" s="131"/>
    </row>
    <row r="8" spans="1:20" s="114" customFormat="1" ht="12" customHeight="1" x14ac:dyDescent="0.2">
      <c r="A8" s="126" t="s">
        <v>401</v>
      </c>
      <c r="B8" s="54" t="s">
        <v>335</v>
      </c>
      <c r="C8" s="69">
        <f>SUM(C9:C12)</f>
        <v>298459</v>
      </c>
      <c r="D8" s="69">
        <f t="shared" ref="D8:E8" si="2">SUM(D9:D12)</f>
        <v>0</v>
      </c>
      <c r="E8" s="69">
        <f t="shared" si="2"/>
        <v>298459</v>
      </c>
      <c r="F8" s="81"/>
      <c r="G8" s="81"/>
      <c r="H8" s="81"/>
      <c r="I8" s="81"/>
      <c r="J8" s="81"/>
      <c r="K8" s="81"/>
      <c r="L8" s="81"/>
      <c r="M8" s="81"/>
      <c r="N8" s="81"/>
    </row>
    <row r="9" spans="1:20" s="114" customFormat="1" ht="12" customHeight="1" x14ac:dyDescent="0.2">
      <c r="A9" s="86" t="s">
        <v>402</v>
      </c>
      <c r="B9" s="135" t="s">
        <v>333</v>
      </c>
      <c r="C9" s="69">
        <f>+'3.mell. Bevétel'!C40</f>
        <v>0</v>
      </c>
      <c r="D9" s="69">
        <f>+'3.mell. Bevétel'!D40</f>
        <v>0</v>
      </c>
      <c r="E9" s="69">
        <f>+'3.mell. Bevétel'!E40</f>
        <v>0</v>
      </c>
      <c r="F9" s="81"/>
      <c r="G9" s="81"/>
      <c r="H9" s="81"/>
      <c r="I9" s="81"/>
      <c r="J9" s="81"/>
      <c r="K9" s="81"/>
      <c r="L9" s="81"/>
      <c r="M9" s="81"/>
      <c r="N9" s="81"/>
    </row>
    <row r="10" spans="1:20" s="114" customFormat="1" ht="12" customHeight="1" x14ac:dyDescent="0.2">
      <c r="A10" s="134" t="s">
        <v>403</v>
      </c>
      <c r="B10" s="135" t="s">
        <v>220</v>
      </c>
      <c r="C10" s="69">
        <f>+'3.mell. Bevétel'!C43</f>
        <v>126000</v>
      </c>
      <c r="D10" s="69">
        <f>+'3.mell. Bevétel'!D43</f>
        <v>0</v>
      </c>
      <c r="E10" s="69">
        <f>+'3.mell. Bevétel'!E43</f>
        <v>126000</v>
      </c>
      <c r="F10" s="81"/>
      <c r="G10" s="81"/>
      <c r="H10" s="81"/>
      <c r="I10" s="81"/>
      <c r="J10" s="81"/>
      <c r="K10" s="81"/>
      <c r="L10" s="81"/>
      <c r="M10" s="81"/>
      <c r="N10" s="81"/>
    </row>
    <row r="11" spans="1:20" s="114" customFormat="1" ht="12" customHeight="1" x14ac:dyDescent="0.2">
      <c r="A11" s="86" t="s">
        <v>404</v>
      </c>
      <c r="B11" s="135" t="s">
        <v>334</v>
      </c>
      <c r="C11" s="69">
        <f>+'3.mell. Bevétel'!C52</f>
        <v>160000</v>
      </c>
      <c r="D11" s="69">
        <f>+'3.mell. Bevétel'!D52</f>
        <v>0</v>
      </c>
      <c r="E11" s="69">
        <f>+'3.mell. Bevétel'!E52</f>
        <v>160000</v>
      </c>
      <c r="F11" s="81"/>
      <c r="G11" s="81"/>
      <c r="H11" s="81"/>
      <c r="I11" s="81"/>
      <c r="J11" s="81"/>
      <c r="K11" s="81"/>
      <c r="L11" s="81"/>
      <c r="M11" s="81"/>
      <c r="N11" s="81"/>
    </row>
    <row r="12" spans="1:20" s="114" customFormat="1" ht="12" customHeight="1" x14ac:dyDescent="0.2">
      <c r="A12" s="134" t="s">
        <v>405</v>
      </c>
      <c r="B12" s="135" t="s">
        <v>233</v>
      </c>
      <c r="C12" s="69">
        <f>+'3.mell. Bevétel'!C53</f>
        <v>12459</v>
      </c>
      <c r="D12" s="69">
        <f>+'3.mell. Bevétel'!D53</f>
        <v>0</v>
      </c>
      <c r="E12" s="69">
        <f>+'3.mell. Bevétel'!E53</f>
        <v>12459</v>
      </c>
      <c r="F12" s="81"/>
      <c r="G12" s="81"/>
      <c r="H12" s="81"/>
      <c r="I12" s="81"/>
      <c r="J12" s="81"/>
      <c r="K12" s="81"/>
      <c r="L12" s="81"/>
      <c r="M12" s="81"/>
      <c r="N12" s="81"/>
    </row>
    <row r="13" spans="1:20" s="114" customFormat="1" ht="12" customHeight="1" x14ac:dyDescent="0.2">
      <c r="A13" s="61">
        <v>3</v>
      </c>
      <c r="B13" s="54" t="s">
        <v>280</v>
      </c>
      <c r="C13" s="69">
        <f>+'3.mell. Bevétel'!C65+'6.mell Int.összesen'!D36</f>
        <v>98854</v>
      </c>
      <c r="D13" s="69">
        <f>+'3.mell. Bevétel'!D65+'6.mell Int.összesen'!E36</f>
        <v>4991</v>
      </c>
      <c r="E13" s="69">
        <f>+'3.mell. Bevétel'!E65+'6.mell Int.összesen'!F36</f>
        <v>103845</v>
      </c>
      <c r="F13" s="81"/>
      <c r="G13" s="81"/>
      <c r="H13" s="81"/>
      <c r="I13" s="81"/>
      <c r="J13" s="81"/>
      <c r="K13" s="81"/>
      <c r="L13" s="81"/>
      <c r="M13" s="81"/>
      <c r="N13" s="81"/>
    </row>
    <row r="14" spans="1:20" s="114" customFormat="1" ht="12" customHeight="1" x14ac:dyDescent="0.2">
      <c r="A14" s="126">
        <v>4</v>
      </c>
      <c r="B14" s="54" t="s">
        <v>278</v>
      </c>
      <c r="C14" s="69">
        <f>+'3.mell. Bevétel'!C69+'6.mell Int.összesen'!D39</f>
        <v>743</v>
      </c>
      <c r="D14" s="69">
        <f>+'3.mell. Bevétel'!D69+'6.mell Int.összesen'!E39</f>
        <v>0</v>
      </c>
      <c r="E14" s="69">
        <f>+'3.mell. Bevétel'!E69+'6.mell Int.összesen'!F39</f>
        <v>743</v>
      </c>
      <c r="F14" s="81"/>
      <c r="G14" s="81"/>
      <c r="H14" s="81"/>
      <c r="I14" s="81"/>
      <c r="J14" s="81"/>
      <c r="K14" s="81"/>
      <c r="L14" s="81"/>
      <c r="M14" s="81"/>
      <c r="N14" s="81"/>
    </row>
    <row r="15" spans="1:20" s="133" customFormat="1" ht="12" customHeight="1" x14ac:dyDescent="0.2">
      <c r="A15" s="62" t="s">
        <v>406</v>
      </c>
      <c r="B15" s="124" t="s">
        <v>279</v>
      </c>
      <c r="C15" s="73">
        <f>SUM(C16:C18)</f>
        <v>216166</v>
      </c>
      <c r="D15" s="73">
        <f t="shared" ref="D15:E15" si="3">SUM(D16:D18)</f>
        <v>43160</v>
      </c>
      <c r="E15" s="73">
        <f t="shared" si="3"/>
        <v>259326</v>
      </c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20" s="114" customFormat="1" ht="12" customHeight="1" x14ac:dyDescent="0.2">
      <c r="A16" s="126">
        <v>1</v>
      </c>
      <c r="B16" s="54" t="s">
        <v>330</v>
      </c>
      <c r="C16" s="69">
        <f>+'3.mell. Bevétel'!C37+'6.mell Int.összesen'!D41</f>
        <v>196666</v>
      </c>
      <c r="D16" s="69">
        <f>+'3.mell. Bevétel'!D37+'6.mell Int.összesen'!E41</f>
        <v>0</v>
      </c>
      <c r="E16" s="69">
        <f>+'3.mell. Bevétel'!E37+'6.mell Int.összesen'!F41</f>
        <v>196666</v>
      </c>
      <c r="F16" s="81"/>
      <c r="G16" s="81"/>
      <c r="H16" s="81"/>
      <c r="I16" s="81"/>
      <c r="J16" s="81"/>
      <c r="K16" s="81"/>
      <c r="L16" s="81"/>
      <c r="M16" s="81"/>
      <c r="N16" s="81"/>
    </row>
    <row r="17" spans="1:20" s="114" customFormat="1" ht="12" customHeight="1" x14ac:dyDescent="0.2">
      <c r="A17" s="61">
        <v>2</v>
      </c>
      <c r="B17" s="54" t="s">
        <v>279</v>
      </c>
      <c r="C17" s="69">
        <f>+'3.mell. Bevétel'!C66</f>
        <v>19500</v>
      </c>
      <c r="D17" s="69">
        <f>+'3.mell. Bevétel'!D66</f>
        <v>42440</v>
      </c>
      <c r="E17" s="69">
        <f>+'3.mell. Bevétel'!E66</f>
        <v>61940</v>
      </c>
      <c r="F17" s="81"/>
      <c r="G17" s="81"/>
      <c r="H17" s="81"/>
      <c r="I17" s="81"/>
      <c r="J17" s="81"/>
      <c r="K17" s="81"/>
      <c r="L17" s="81"/>
      <c r="M17" s="81"/>
      <c r="N17" s="81"/>
    </row>
    <row r="18" spans="1:20" s="114" customFormat="1" ht="12" customHeight="1" x14ac:dyDescent="0.2">
      <c r="A18" s="126">
        <v>3</v>
      </c>
      <c r="B18" s="54" t="s">
        <v>283</v>
      </c>
      <c r="C18" s="69">
        <f>+'3.mell. Bevétel'!C71</f>
        <v>0</v>
      </c>
      <c r="D18" s="69">
        <f>+'3.mell. Bevétel'!D71</f>
        <v>720</v>
      </c>
      <c r="E18" s="69">
        <f>+'3.mell. Bevétel'!E71</f>
        <v>720</v>
      </c>
      <c r="F18" s="81"/>
      <c r="G18" s="81"/>
      <c r="H18" s="81"/>
      <c r="I18" s="81"/>
      <c r="J18" s="81"/>
      <c r="K18" s="81"/>
      <c r="L18" s="81"/>
      <c r="M18" s="81"/>
      <c r="N18" s="81"/>
    </row>
    <row r="19" spans="1:20" s="114" customFormat="1" ht="12" customHeight="1" x14ac:dyDescent="0.2">
      <c r="A19" s="61"/>
      <c r="B19" s="55" t="s">
        <v>385</v>
      </c>
      <c r="C19" s="73">
        <f>+C15+C4</f>
        <v>1170708</v>
      </c>
      <c r="D19" s="73">
        <f t="shared" ref="D19:E19" si="4">+D15+D4</f>
        <v>61229</v>
      </c>
      <c r="E19" s="73">
        <f t="shared" si="4"/>
        <v>1231937</v>
      </c>
      <c r="F19" s="81"/>
      <c r="G19" s="81"/>
      <c r="H19" s="81"/>
      <c r="I19" s="81"/>
      <c r="J19" s="81"/>
      <c r="K19" s="81"/>
      <c r="L19" s="81"/>
      <c r="M19" s="81"/>
      <c r="N19" s="81"/>
    </row>
    <row r="20" spans="1:20" s="114" customFormat="1" ht="12" customHeight="1" x14ac:dyDescent="0.2">
      <c r="A20" s="130" t="s">
        <v>407</v>
      </c>
      <c r="B20" s="55" t="s">
        <v>286</v>
      </c>
      <c r="C20" s="73">
        <f>+C22+C21</f>
        <v>1789197</v>
      </c>
      <c r="D20" s="73">
        <f t="shared" ref="D20:E20" si="5">+D22+D21</f>
        <v>0</v>
      </c>
      <c r="E20" s="73">
        <f t="shared" si="5"/>
        <v>1789197</v>
      </c>
      <c r="F20" s="81"/>
      <c r="G20" s="81"/>
      <c r="H20" s="81"/>
      <c r="I20" s="81"/>
      <c r="J20" s="81"/>
      <c r="K20" s="81"/>
      <c r="L20" s="81"/>
      <c r="M20" s="81"/>
      <c r="N20" s="81"/>
    </row>
    <row r="21" spans="1:20" s="114" customFormat="1" ht="12" customHeight="1" x14ac:dyDescent="0.2">
      <c r="A21" s="61">
        <v>1</v>
      </c>
      <c r="B21" s="54" t="s">
        <v>699</v>
      </c>
      <c r="C21" s="69">
        <f>+'3.mell. Bevétel'!C74</f>
        <v>117500</v>
      </c>
      <c r="D21" s="69">
        <f>+'3.mell. Bevétel'!D74</f>
        <v>0</v>
      </c>
      <c r="E21" s="69">
        <f>+'3.mell. Bevétel'!E74</f>
        <v>117500</v>
      </c>
      <c r="F21" s="81"/>
      <c r="G21" s="81"/>
      <c r="H21" s="81"/>
      <c r="I21" s="81"/>
      <c r="J21" s="81"/>
      <c r="K21" s="81"/>
      <c r="L21" s="81"/>
      <c r="M21" s="81"/>
      <c r="N21" s="81"/>
    </row>
    <row r="22" spans="1:20" s="114" customFormat="1" ht="12" customHeight="1" x14ac:dyDescent="0.2">
      <c r="A22" s="126">
        <v>2</v>
      </c>
      <c r="B22" s="54" t="s">
        <v>336</v>
      </c>
      <c r="C22" s="69">
        <f>SUM(C23:C24)</f>
        <v>1671697</v>
      </c>
      <c r="D22" s="69">
        <f>SUM(D23:D24)</f>
        <v>0</v>
      </c>
      <c r="E22" s="69">
        <f>SUM(E23:E24)</f>
        <v>1671697</v>
      </c>
      <c r="F22" s="81"/>
      <c r="G22" s="81"/>
      <c r="H22" s="81"/>
      <c r="I22" s="81"/>
      <c r="J22" s="81"/>
      <c r="K22" s="81"/>
      <c r="L22" s="81"/>
      <c r="M22" s="81"/>
      <c r="N22" s="81"/>
    </row>
    <row r="23" spans="1:20" s="114" customFormat="1" ht="12" customHeight="1" x14ac:dyDescent="0.2">
      <c r="A23" s="61" t="s">
        <v>397</v>
      </c>
      <c r="B23" s="135" t="s">
        <v>383</v>
      </c>
      <c r="C23" s="84">
        <f>+'3.mell. Bevétel'!C76+'6.mell Int.összesen'!D46</f>
        <v>457469</v>
      </c>
      <c r="D23" s="84">
        <f>+'3.mell. Bevétel'!D76+'6.mell Int.összesen'!E46</f>
        <v>0</v>
      </c>
      <c r="E23" s="84">
        <f>+'3.mell. Bevétel'!E76+'6.mell Int.összesen'!F46</f>
        <v>457469</v>
      </c>
      <c r="F23" s="81"/>
      <c r="G23" s="81"/>
      <c r="H23" s="81"/>
      <c r="I23" s="81"/>
      <c r="J23" s="81"/>
      <c r="K23" s="81"/>
      <c r="L23" s="81"/>
      <c r="M23" s="81"/>
      <c r="N23" s="81"/>
    </row>
    <row r="24" spans="1:20" s="114" customFormat="1" ht="12" customHeight="1" x14ac:dyDescent="0.2">
      <c r="A24" s="126" t="s">
        <v>398</v>
      </c>
      <c r="B24" s="135" t="s">
        <v>384</v>
      </c>
      <c r="C24" s="84">
        <f>+'3.mell. Bevétel'!C77</f>
        <v>1214228</v>
      </c>
      <c r="D24" s="84">
        <f>+'3.mell. Bevétel'!D77</f>
        <v>0</v>
      </c>
      <c r="E24" s="84">
        <f>+'3.mell. Bevétel'!E77</f>
        <v>1214228</v>
      </c>
      <c r="F24" s="81"/>
      <c r="G24" s="81"/>
      <c r="H24" s="81"/>
      <c r="I24" s="81"/>
      <c r="J24" s="81"/>
      <c r="K24" s="81"/>
      <c r="L24" s="81"/>
      <c r="M24" s="81"/>
      <c r="N24" s="81"/>
    </row>
    <row r="25" spans="1:20" s="114" customFormat="1" ht="12.75" customHeight="1" x14ac:dyDescent="0.2">
      <c r="A25" s="1111" t="s">
        <v>386</v>
      </c>
      <c r="B25" s="1112"/>
      <c r="C25" s="137">
        <f>+C20+C15+C4</f>
        <v>2959905</v>
      </c>
      <c r="D25" s="137">
        <f>+D20+D15+D4</f>
        <v>61229</v>
      </c>
      <c r="E25" s="137">
        <f t="shared" ref="E25" si="6">+E20+E15+E4</f>
        <v>3021134</v>
      </c>
      <c r="F25" s="81"/>
      <c r="G25" s="81"/>
      <c r="H25" s="81"/>
      <c r="I25" s="81"/>
      <c r="J25" s="81"/>
      <c r="K25" s="81"/>
      <c r="L25" s="81"/>
      <c r="M25" s="81"/>
      <c r="N25" s="81"/>
    </row>
    <row r="26" spans="1:20" s="114" customFormat="1" ht="12" customHeight="1" x14ac:dyDescent="0.2">
      <c r="A26" s="112"/>
      <c r="B26" s="72"/>
      <c r="C26" s="127"/>
      <c r="D26" s="72"/>
      <c r="E26" s="72"/>
      <c r="F26" s="81"/>
      <c r="G26" s="81"/>
      <c r="H26" s="81"/>
      <c r="I26" s="81"/>
      <c r="J26" s="81"/>
      <c r="K26" s="81"/>
      <c r="L26" s="81"/>
      <c r="M26" s="81"/>
      <c r="N26" s="81"/>
    </row>
    <row r="27" spans="1:20" s="114" customFormat="1" ht="16.5" customHeight="1" x14ac:dyDescent="0.2">
      <c r="A27" s="1117" t="s">
        <v>309</v>
      </c>
      <c r="B27" s="1118"/>
      <c r="C27" s="1118"/>
      <c r="D27" s="1118"/>
      <c r="E27" s="1118"/>
      <c r="F27" s="81"/>
      <c r="G27" s="81"/>
      <c r="H27" s="81"/>
      <c r="I27" s="81"/>
      <c r="J27" s="81"/>
      <c r="K27" s="81"/>
      <c r="L27" s="81"/>
      <c r="M27" s="81"/>
      <c r="N27" s="81"/>
    </row>
    <row r="28" spans="1:20" s="114" customFormat="1" ht="15" customHeight="1" x14ac:dyDescent="0.25">
      <c r="A28" s="1116" t="s">
        <v>310</v>
      </c>
      <c r="B28" s="1116"/>
      <c r="C28" s="115"/>
      <c r="D28" s="115"/>
      <c r="E28" s="115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</row>
    <row r="29" spans="1:20" ht="30" customHeight="1" x14ac:dyDescent="0.25">
      <c r="A29" s="121"/>
      <c r="B29" s="121" t="s">
        <v>182</v>
      </c>
      <c r="C29" s="890" t="s">
        <v>912</v>
      </c>
      <c r="D29" s="890" t="s">
        <v>727</v>
      </c>
      <c r="E29" s="890" t="s">
        <v>950</v>
      </c>
    </row>
    <row r="30" spans="1:20" ht="16.5" customHeight="1" x14ac:dyDescent="0.25">
      <c r="A30" s="130" t="s">
        <v>400</v>
      </c>
      <c r="B30" s="124" t="s">
        <v>411</v>
      </c>
      <c r="C30" s="136">
        <f>+C31+C32+C33+C34+C35+C36</f>
        <v>1383699</v>
      </c>
      <c r="D30" s="136">
        <f t="shared" ref="D30:E30" si="7">+D31+D32+D33+D34+D35+D36</f>
        <v>515</v>
      </c>
      <c r="E30" s="136">
        <f t="shared" si="7"/>
        <v>1384214</v>
      </c>
    </row>
    <row r="31" spans="1:20" ht="13.5" customHeight="1" x14ac:dyDescent="0.25">
      <c r="A31" s="4">
        <v>1</v>
      </c>
      <c r="B31" s="107" t="s">
        <v>172</v>
      </c>
      <c r="C31" s="125">
        <f>+'5. mell. Önk.össz kiadás'!D5+'6.mell Int.összesen'!D55</f>
        <v>367217</v>
      </c>
      <c r="D31" s="125">
        <f>+'5. mell. Önk.össz kiadás'!E5+'6.mell Int.összesen'!E55</f>
        <v>-4881</v>
      </c>
      <c r="E31" s="125">
        <f>+'5. mell. Önk.össz kiadás'!F5+'6.mell Int.összesen'!F55</f>
        <v>362336</v>
      </c>
      <c r="O31" s="113"/>
      <c r="P31" s="113"/>
      <c r="Q31" s="113"/>
      <c r="R31" s="113"/>
      <c r="S31" s="113"/>
      <c r="T31" s="113"/>
    </row>
    <row r="32" spans="1:20" ht="12" customHeight="1" x14ac:dyDescent="0.25">
      <c r="A32" s="4">
        <v>2</v>
      </c>
      <c r="B32" s="107" t="s">
        <v>171</v>
      </c>
      <c r="C32" s="125">
        <f>+'5. mell. Önk.össz kiadás'!D7+'6.mell Int.összesen'!D56</f>
        <v>75730</v>
      </c>
      <c r="D32" s="125">
        <f>+'5. mell. Önk.össz kiadás'!E7+'6.mell Int.összesen'!E56</f>
        <v>739</v>
      </c>
      <c r="E32" s="125">
        <f>+'5. mell. Önk.össz kiadás'!F7+'6.mell Int.összesen'!F56</f>
        <v>76469</v>
      </c>
      <c r="O32" s="113"/>
      <c r="P32" s="113"/>
      <c r="Q32" s="113"/>
      <c r="R32" s="113"/>
      <c r="S32" s="113"/>
      <c r="T32" s="113"/>
    </row>
    <row r="33" spans="1:20" ht="12" customHeight="1" x14ac:dyDescent="0.25">
      <c r="A33" s="4">
        <v>3</v>
      </c>
      <c r="B33" s="107" t="s">
        <v>151</v>
      </c>
      <c r="C33" s="125">
        <f>+'5. mell. Önk.össz kiadás'!D14+'6.mell Int.összesen'!D63</f>
        <v>492267</v>
      </c>
      <c r="D33" s="125">
        <f>+'5. mell. Önk.össz kiadás'!E14+'6.mell Int.összesen'!E63</f>
        <v>82017</v>
      </c>
      <c r="E33" s="125">
        <f>+'5. mell. Önk.össz kiadás'!F14+'6.mell Int.összesen'!F63</f>
        <v>574284</v>
      </c>
      <c r="O33" s="113"/>
      <c r="P33" s="113"/>
      <c r="Q33" s="113"/>
      <c r="R33" s="113"/>
      <c r="S33" s="113"/>
      <c r="T33" s="113"/>
    </row>
    <row r="34" spans="1:20" ht="12" customHeight="1" x14ac:dyDescent="0.25">
      <c r="A34" s="4">
        <v>4</v>
      </c>
      <c r="B34" s="108" t="s">
        <v>150</v>
      </c>
      <c r="C34" s="125">
        <f>+'5. mell. Önk.össz kiadás'!D16</f>
        <v>16536</v>
      </c>
      <c r="D34" s="125">
        <f>+'5. mell. Önk.össz kiadás'!E16</f>
        <v>-176</v>
      </c>
      <c r="E34" s="125">
        <f>+'5. mell. Önk.össz kiadás'!F16</f>
        <v>16360</v>
      </c>
      <c r="K34" s="81" t="s">
        <v>678</v>
      </c>
      <c r="O34" s="113"/>
      <c r="P34" s="113"/>
      <c r="Q34" s="113"/>
      <c r="R34" s="113"/>
      <c r="S34" s="113"/>
      <c r="T34" s="113"/>
    </row>
    <row r="35" spans="1:20" ht="12" customHeight="1" x14ac:dyDescent="0.25">
      <c r="A35" s="4">
        <v>5</v>
      </c>
      <c r="B35" s="107" t="s">
        <v>163</v>
      </c>
      <c r="C35" s="125">
        <f>+'5. mell. Önk.össz kiadás'!D18-'5. mell. Önk.össz kiadás'!D19+'6.mell Int.összesen'!D67</f>
        <v>314373</v>
      </c>
      <c r="D35" s="125">
        <f>+'5. mell. Önk.össz kiadás'!E18-'5. mell. Önk.össz kiadás'!E19+'6.mell Int.összesen'!E67</f>
        <v>9442</v>
      </c>
      <c r="E35" s="125">
        <f>+'5. mell. Önk.össz kiadás'!F18-'5. mell. Önk.össz kiadás'!F19+'6.mell Int.összesen'!F67</f>
        <v>323815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</row>
    <row r="36" spans="1:20" ht="12" customHeight="1" x14ac:dyDescent="0.25">
      <c r="A36" s="4">
        <v>6</v>
      </c>
      <c r="B36" s="107" t="s">
        <v>421</v>
      </c>
      <c r="C36" s="125">
        <f>+'5. mell. Önk.össz kiadás'!D19</f>
        <v>117576</v>
      </c>
      <c r="D36" s="125">
        <f>+'5. mell. Önk.össz kiadás'!E19</f>
        <v>-86626</v>
      </c>
      <c r="E36" s="125">
        <f>+'5. mell. Önk.össz kiadás'!F19</f>
        <v>30950</v>
      </c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</row>
    <row r="37" spans="1:20" ht="12" customHeight="1" x14ac:dyDescent="0.25">
      <c r="A37" s="5" t="s">
        <v>412</v>
      </c>
      <c r="B37" s="124" t="s">
        <v>413</v>
      </c>
      <c r="C37" s="137">
        <f>+C38+C39+C40</f>
        <v>1560115</v>
      </c>
      <c r="D37" s="137">
        <f t="shared" ref="D37:E37" si="8">+D38+D39+D40</f>
        <v>60714</v>
      </c>
      <c r="E37" s="137">
        <f t="shared" si="8"/>
        <v>1620829</v>
      </c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</row>
    <row r="38" spans="1:20" ht="12" customHeight="1" x14ac:dyDescent="0.25">
      <c r="A38" s="4">
        <v>1</v>
      </c>
      <c r="B38" s="107" t="s">
        <v>161</v>
      </c>
      <c r="C38" s="125">
        <f>+'5. mell. Önk.össz kiadás'!D21+'6.mell Int.összesen'!D69</f>
        <v>1494006</v>
      </c>
      <c r="D38" s="125">
        <f>+'5. mell. Önk.össz kiadás'!E21+'6.mell Int.összesen'!E69</f>
        <v>-49175</v>
      </c>
      <c r="E38" s="125">
        <f>+'5. mell. Önk.össz kiadás'!F21+'6.mell Int.összesen'!F69</f>
        <v>1444831</v>
      </c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</row>
    <row r="39" spans="1:20" ht="12" customHeight="1" x14ac:dyDescent="0.25">
      <c r="A39" s="4">
        <v>2</v>
      </c>
      <c r="B39" s="107" t="s">
        <v>160</v>
      </c>
      <c r="C39" s="125">
        <f>+'5. mell. Önk.össz kiadás'!D23</f>
        <v>61109</v>
      </c>
      <c r="D39" s="125">
        <f>+'5. mell. Önk.össz kiadás'!E23</f>
        <v>109889</v>
      </c>
      <c r="E39" s="125">
        <f>+'5. mell. Önk.össz kiadás'!F23</f>
        <v>170998</v>
      </c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</row>
    <row r="40" spans="1:20" ht="12" customHeight="1" x14ac:dyDescent="0.25">
      <c r="A40" s="4">
        <v>3</v>
      </c>
      <c r="B40" s="107" t="s">
        <v>158</v>
      </c>
      <c r="C40" s="125">
        <f>+'5. mell. Önk.össz kiadás'!D25+'6.mell Int.összesen'!D73</f>
        <v>5000</v>
      </c>
      <c r="D40" s="125">
        <f>+'5. mell. Önk.össz kiadás'!E25+'6.mell Int.összesen'!E73</f>
        <v>0</v>
      </c>
      <c r="E40" s="125">
        <f>+'5. mell. Önk.össz kiadás'!F25+'6.mell Int.összesen'!F73</f>
        <v>5000</v>
      </c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</row>
    <row r="41" spans="1:20" s="132" customFormat="1" ht="12" customHeight="1" x14ac:dyDescent="0.25">
      <c r="A41" s="5"/>
      <c r="B41" s="110" t="s">
        <v>409</v>
      </c>
      <c r="C41" s="137">
        <f>+C37+C30</f>
        <v>2943814</v>
      </c>
      <c r="D41" s="137">
        <f t="shared" ref="D41:E41" si="9">+D37+D30</f>
        <v>61229</v>
      </c>
      <c r="E41" s="137">
        <f t="shared" si="9"/>
        <v>3005043</v>
      </c>
    </row>
    <row r="42" spans="1:20" ht="12" customHeight="1" x14ac:dyDescent="0.25">
      <c r="A42" s="5" t="s">
        <v>414</v>
      </c>
      <c r="B42" s="139" t="s">
        <v>277</v>
      </c>
      <c r="C42" s="137">
        <f>+'5.g. mell. Egyéb tev.'!D103+'5.g. mell. Egyéb tev.'!D104+'5.g. mell. Egyéb tev.'!D105</f>
        <v>16091</v>
      </c>
      <c r="D42" s="137">
        <f>+'5.g. mell. Egyéb tev.'!E103+'5.g. mell. Egyéb tev.'!E104+'5.g. mell. Egyéb tev.'!E105</f>
        <v>0</v>
      </c>
      <c r="E42" s="137">
        <f>+'5.g. mell. Egyéb tev.'!F103+'5.g. mell. Egyéb tev.'!F104+'5.g. mell. Egyéb tev.'!F105</f>
        <v>16091</v>
      </c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</row>
    <row r="43" spans="1:20" s="132" customFormat="1" ht="12" customHeight="1" x14ac:dyDescent="0.25">
      <c r="A43" s="1113" t="s">
        <v>410</v>
      </c>
      <c r="B43" s="1114"/>
      <c r="C43" s="137">
        <f>C42+C41</f>
        <v>2959905</v>
      </c>
      <c r="D43" s="137">
        <f>D42+D41</f>
        <v>61229</v>
      </c>
      <c r="E43" s="137">
        <f t="shared" ref="E43" si="10">E42+E41</f>
        <v>3021134</v>
      </c>
    </row>
    <row r="44" spans="1:20" ht="15" customHeight="1" x14ac:dyDescent="0.25">
      <c r="A44" s="116"/>
      <c r="B44" s="81"/>
      <c r="C44" s="81"/>
      <c r="D44" s="81"/>
      <c r="E44" s="81"/>
      <c r="O44" s="113"/>
      <c r="P44" s="113"/>
      <c r="Q44" s="113"/>
      <c r="R44" s="113"/>
      <c r="S44" s="113"/>
      <c r="T44" s="113"/>
    </row>
    <row r="45" spans="1:20" s="114" customFormat="1" ht="15.75" customHeight="1" x14ac:dyDescent="0.25">
      <c r="A45" s="1115" t="s">
        <v>315</v>
      </c>
      <c r="B45" s="1115"/>
      <c r="C45" s="1115"/>
      <c r="D45" s="1115"/>
      <c r="E45" s="1115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pans="1:20" s="81" customFormat="1" x14ac:dyDescent="0.25">
      <c r="A46" s="117" t="s">
        <v>316</v>
      </c>
      <c r="B46" s="118"/>
      <c r="C46" s="113"/>
      <c r="D46" s="113"/>
      <c r="E46" s="113"/>
    </row>
    <row r="47" spans="1:20" ht="21" x14ac:dyDescent="0.25">
      <c r="A47" s="122">
        <v>1</v>
      </c>
      <c r="B47" s="80" t="s">
        <v>415</v>
      </c>
      <c r="C47" s="77">
        <f>+C19-C41</f>
        <v>-1773106</v>
      </c>
      <c r="D47" s="77">
        <f t="shared" ref="D47:E47" si="11">+D19-D41</f>
        <v>0</v>
      </c>
      <c r="E47" s="77">
        <f t="shared" si="11"/>
        <v>-1773106</v>
      </c>
    </row>
    <row r="48" spans="1:20" x14ac:dyDescent="0.25">
      <c r="A48" s="116"/>
      <c r="B48" s="81"/>
      <c r="C48" s="81"/>
      <c r="D48" s="81"/>
      <c r="E48" s="81"/>
    </row>
    <row r="49" spans="1:20" x14ac:dyDescent="0.25">
      <c r="A49" s="1115" t="s">
        <v>317</v>
      </c>
      <c r="B49" s="1115"/>
      <c r="C49" s="1115"/>
      <c r="D49" s="1115"/>
      <c r="E49" s="1115"/>
    </row>
    <row r="50" spans="1:20" x14ac:dyDescent="0.25">
      <c r="A50" s="117" t="s">
        <v>318</v>
      </c>
      <c r="B50" s="118"/>
    </row>
    <row r="51" spans="1:20" x14ac:dyDescent="0.25">
      <c r="A51" s="122" t="s">
        <v>308</v>
      </c>
      <c r="B51" s="80" t="s">
        <v>319</v>
      </c>
      <c r="C51" s="77">
        <f>+C52-C53</f>
        <v>1773106</v>
      </c>
      <c r="D51" s="77">
        <f t="shared" ref="D51:E51" si="12">+D52-D53</f>
        <v>0</v>
      </c>
      <c r="E51" s="77">
        <f t="shared" si="12"/>
        <v>1773106</v>
      </c>
    </row>
    <row r="52" spans="1:20" x14ac:dyDescent="0.25">
      <c r="A52" s="123" t="s">
        <v>312</v>
      </c>
      <c r="B52" s="78" t="s">
        <v>416</v>
      </c>
      <c r="C52" s="79">
        <f>+C20</f>
        <v>1789197</v>
      </c>
      <c r="D52" s="79">
        <f t="shared" ref="D52:E52" si="13">+D20</f>
        <v>0</v>
      </c>
      <c r="E52" s="79">
        <f t="shared" si="13"/>
        <v>1789197</v>
      </c>
    </row>
    <row r="53" spans="1:20" x14ac:dyDescent="0.25">
      <c r="A53" s="123" t="s">
        <v>313</v>
      </c>
      <c r="B53" s="78" t="s">
        <v>417</v>
      </c>
      <c r="C53" s="79">
        <f>+C42</f>
        <v>16091</v>
      </c>
      <c r="D53" s="79">
        <f t="shared" ref="D53:E53" si="14">+D42</f>
        <v>0</v>
      </c>
      <c r="E53" s="79">
        <f t="shared" si="14"/>
        <v>16091</v>
      </c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</row>
    <row r="54" spans="1:20" x14ac:dyDescent="0.25">
      <c r="A54" s="116"/>
      <c r="B54" s="81"/>
      <c r="C54" s="81"/>
      <c r="D54" s="81"/>
      <c r="E54" s="81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</row>
    <row r="55" spans="1:20" x14ac:dyDescent="0.25">
      <c r="A55" s="117" t="s">
        <v>320</v>
      </c>
      <c r="B55" s="118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</row>
    <row r="56" spans="1:20" x14ac:dyDescent="0.25">
      <c r="A56" s="94"/>
      <c r="B56" s="80" t="s">
        <v>576</v>
      </c>
      <c r="C56" s="77">
        <f>+C25-C43</f>
        <v>0</v>
      </c>
      <c r="D56" s="77">
        <f t="shared" ref="D56:E56" si="15">+D25-D43</f>
        <v>0</v>
      </c>
      <c r="E56" s="77">
        <f t="shared" si="15"/>
        <v>0</v>
      </c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</row>
    <row r="57" spans="1:20" x14ac:dyDescent="0.25">
      <c r="A57" s="116"/>
      <c r="B57" s="81"/>
      <c r="C57" s="81"/>
      <c r="D57" s="81"/>
      <c r="E57" s="81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</row>
    <row r="58" spans="1:20" x14ac:dyDescent="0.25">
      <c r="A58" s="116"/>
      <c r="B58" s="81"/>
      <c r="C58" s="81"/>
      <c r="D58" s="81"/>
      <c r="E58" s="81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</row>
    <row r="59" spans="1:20" x14ac:dyDescent="0.25">
      <c r="A59" s="116"/>
      <c r="B59" s="81"/>
      <c r="C59" s="81"/>
      <c r="D59" s="81"/>
      <c r="E59" s="81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</row>
    <row r="60" spans="1:20" x14ac:dyDescent="0.25">
      <c r="A60" s="116"/>
      <c r="B60" s="81"/>
      <c r="C60" s="81"/>
      <c r="D60" s="81"/>
      <c r="E60" s="81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</row>
    <row r="61" spans="1:20" x14ac:dyDescent="0.25">
      <c r="A61" s="116"/>
      <c r="B61" s="81"/>
      <c r="C61" s="81"/>
      <c r="D61" s="81"/>
      <c r="E61" s="81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</row>
    <row r="62" spans="1:20" x14ac:dyDescent="0.25">
      <c r="A62" s="116"/>
      <c r="B62" s="81"/>
      <c r="C62" s="81"/>
      <c r="D62" s="81"/>
      <c r="E62" s="81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</row>
    <row r="63" spans="1:20" x14ac:dyDescent="0.25">
      <c r="A63" s="116"/>
      <c r="B63" s="81"/>
      <c r="C63" s="81"/>
      <c r="D63" s="81"/>
      <c r="E63" s="81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</row>
    <row r="64" spans="1:20" x14ac:dyDescent="0.25">
      <c r="A64" s="116"/>
      <c r="B64" s="81"/>
      <c r="C64" s="81"/>
      <c r="D64" s="81"/>
      <c r="E64" s="81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</row>
    <row r="65" spans="1:20" x14ac:dyDescent="0.25">
      <c r="A65" s="116"/>
      <c r="B65" s="81"/>
      <c r="C65" s="81"/>
      <c r="D65" s="81"/>
      <c r="E65" s="81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</row>
    <row r="66" spans="1:20" x14ac:dyDescent="0.25">
      <c r="A66" s="116"/>
      <c r="B66" s="81"/>
      <c r="C66" s="81"/>
      <c r="D66" s="81"/>
      <c r="E66" s="81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</row>
    <row r="67" spans="1:20" x14ac:dyDescent="0.25">
      <c r="A67" s="116"/>
      <c r="B67" s="81"/>
      <c r="C67" s="81"/>
      <c r="D67" s="81"/>
      <c r="E67" s="81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</row>
    <row r="68" spans="1:20" x14ac:dyDescent="0.25">
      <c r="A68" s="116"/>
      <c r="B68" s="81"/>
      <c r="C68" s="81"/>
      <c r="D68" s="81"/>
      <c r="E68" s="81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</row>
    <row r="69" spans="1:20" x14ac:dyDescent="0.25">
      <c r="A69" s="116"/>
      <c r="B69" s="81"/>
      <c r="C69" s="81"/>
      <c r="D69" s="81"/>
      <c r="E69" s="81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</row>
    <row r="70" spans="1:20" x14ac:dyDescent="0.25">
      <c r="A70" s="116"/>
      <c r="B70" s="81"/>
      <c r="C70" s="81"/>
      <c r="D70" s="81"/>
      <c r="E70" s="81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</row>
    <row r="71" spans="1:20" x14ac:dyDescent="0.25">
      <c r="A71" s="116"/>
      <c r="B71" s="81"/>
      <c r="C71" s="81"/>
      <c r="D71" s="81"/>
      <c r="E71" s="81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</row>
    <row r="72" spans="1:20" x14ac:dyDescent="0.25">
      <c r="A72" s="116"/>
      <c r="B72" s="81"/>
      <c r="C72" s="81"/>
      <c r="D72" s="81"/>
      <c r="E72" s="81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</row>
    <row r="73" spans="1:20" x14ac:dyDescent="0.25">
      <c r="A73" s="116"/>
      <c r="B73" s="81"/>
      <c r="C73" s="81"/>
      <c r="D73" s="81"/>
      <c r="E73" s="81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</row>
    <row r="74" spans="1:20" x14ac:dyDescent="0.25">
      <c r="A74" s="116"/>
      <c r="B74" s="81"/>
      <c r="C74" s="81"/>
      <c r="D74" s="81"/>
      <c r="E74" s="81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</row>
    <row r="75" spans="1:20" x14ac:dyDescent="0.25">
      <c r="A75" s="116"/>
      <c r="B75" s="81"/>
      <c r="C75" s="81"/>
      <c r="D75" s="81"/>
      <c r="E75" s="81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</row>
    <row r="76" spans="1:20" x14ac:dyDescent="0.25">
      <c r="A76" s="116"/>
      <c r="B76" s="81"/>
      <c r="C76" s="81"/>
      <c r="D76" s="81"/>
      <c r="E76" s="81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</row>
    <row r="77" spans="1:20" x14ac:dyDescent="0.25">
      <c r="A77" s="116"/>
      <c r="B77" s="81"/>
      <c r="C77" s="81"/>
      <c r="D77" s="81"/>
      <c r="E77" s="81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</row>
    <row r="78" spans="1:20" x14ac:dyDescent="0.25">
      <c r="A78" s="116"/>
      <c r="B78" s="81"/>
      <c r="C78" s="81"/>
      <c r="D78" s="81"/>
      <c r="E78" s="81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</row>
    <row r="79" spans="1:20" x14ac:dyDescent="0.25">
      <c r="A79" s="116"/>
      <c r="B79" s="81"/>
      <c r="C79" s="81"/>
      <c r="D79" s="81"/>
      <c r="E79" s="81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</row>
    <row r="80" spans="1:20" x14ac:dyDescent="0.25">
      <c r="A80" s="116"/>
      <c r="B80" s="81"/>
      <c r="C80" s="81"/>
      <c r="D80" s="81"/>
      <c r="E80" s="81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</row>
    <row r="81" spans="1:20" x14ac:dyDescent="0.25">
      <c r="A81" s="116"/>
      <c r="B81" s="81"/>
      <c r="C81" s="81"/>
      <c r="D81" s="81"/>
      <c r="E81" s="81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</row>
    <row r="82" spans="1:20" x14ac:dyDescent="0.25">
      <c r="A82" s="116"/>
      <c r="B82" s="81"/>
      <c r="C82" s="81"/>
      <c r="D82" s="81"/>
      <c r="E82" s="81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</row>
    <row r="83" spans="1:20" x14ac:dyDescent="0.25">
      <c r="A83" s="116"/>
      <c r="B83" s="81"/>
      <c r="C83" s="81"/>
      <c r="D83" s="81"/>
      <c r="E83" s="81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</row>
    <row r="84" spans="1:20" x14ac:dyDescent="0.25">
      <c r="A84" s="116"/>
      <c r="B84" s="81"/>
      <c r="C84" s="81"/>
      <c r="D84" s="81"/>
      <c r="E84" s="81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</row>
    <row r="85" spans="1:20" x14ac:dyDescent="0.25">
      <c r="A85" s="116"/>
      <c r="B85" s="81"/>
      <c r="C85" s="81"/>
      <c r="D85" s="81"/>
      <c r="E85" s="81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</row>
    <row r="86" spans="1:20" x14ac:dyDescent="0.25">
      <c r="A86" s="116"/>
      <c r="B86" s="81"/>
      <c r="C86" s="81"/>
      <c r="D86" s="81"/>
      <c r="E86" s="81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</row>
    <row r="87" spans="1:20" x14ac:dyDescent="0.25">
      <c r="A87" s="116"/>
      <c r="B87" s="81"/>
      <c r="C87" s="81"/>
      <c r="D87" s="81"/>
      <c r="E87" s="81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</row>
    <row r="88" spans="1:20" x14ac:dyDescent="0.25">
      <c r="A88" s="116"/>
      <c r="B88" s="81"/>
      <c r="C88" s="81"/>
      <c r="D88" s="81"/>
      <c r="E88" s="81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</row>
    <row r="89" spans="1:20" x14ac:dyDescent="0.25">
      <c r="A89" s="116"/>
      <c r="B89" s="81"/>
      <c r="C89" s="81"/>
      <c r="D89" s="81"/>
      <c r="E89" s="81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</row>
    <row r="90" spans="1:20" x14ac:dyDescent="0.25">
      <c r="A90" s="116"/>
      <c r="B90" s="81"/>
      <c r="C90" s="81"/>
      <c r="D90" s="81"/>
      <c r="E90" s="81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</row>
    <row r="91" spans="1:20" x14ac:dyDescent="0.25">
      <c r="A91" s="116"/>
      <c r="B91" s="81"/>
      <c r="C91" s="81"/>
      <c r="D91" s="81"/>
      <c r="E91" s="81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</row>
    <row r="92" spans="1:20" x14ac:dyDescent="0.25">
      <c r="A92" s="116"/>
      <c r="B92" s="81"/>
      <c r="C92" s="81"/>
      <c r="D92" s="81"/>
      <c r="E92" s="81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</row>
    <row r="93" spans="1:20" x14ac:dyDescent="0.25">
      <c r="A93" s="116"/>
      <c r="B93" s="81"/>
      <c r="C93" s="81"/>
      <c r="D93" s="81"/>
      <c r="E93" s="81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</row>
    <row r="94" spans="1:20" x14ac:dyDescent="0.25">
      <c r="A94" s="116"/>
      <c r="B94" s="81"/>
      <c r="C94" s="81"/>
      <c r="D94" s="81"/>
      <c r="E94" s="81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</row>
    <row r="95" spans="1:20" x14ac:dyDescent="0.25">
      <c r="A95" s="116"/>
      <c r="B95" s="81"/>
      <c r="C95" s="81"/>
      <c r="D95" s="81"/>
      <c r="E95" s="81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</row>
    <row r="96" spans="1:20" x14ac:dyDescent="0.25">
      <c r="A96" s="116"/>
      <c r="B96" s="81"/>
      <c r="C96" s="81"/>
      <c r="D96" s="81"/>
      <c r="E96" s="81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</row>
    <row r="97" spans="1:20" x14ac:dyDescent="0.25">
      <c r="A97" s="116"/>
      <c r="B97" s="81"/>
      <c r="C97" s="81"/>
      <c r="D97" s="81"/>
      <c r="E97" s="81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</row>
    <row r="98" spans="1:20" x14ac:dyDescent="0.25">
      <c r="A98" s="116"/>
      <c r="B98" s="81"/>
      <c r="C98" s="81"/>
      <c r="D98" s="81"/>
      <c r="E98" s="81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</row>
    <row r="99" spans="1:20" x14ac:dyDescent="0.25">
      <c r="A99" s="116"/>
      <c r="B99" s="81"/>
      <c r="C99" s="81"/>
      <c r="D99" s="81"/>
      <c r="E99" s="81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</row>
    <row r="100" spans="1:20" x14ac:dyDescent="0.25">
      <c r="A100" s="116"/>
      <c r="B100" s="81"/>
      <c r="C100" s="81"/>
      <c r="D100" s="81"/>
      <c r="E100" s="81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</row>
    <row r="101" spans="1:20" x14ac:dyDescent="0.25">
      <c r="A101" s="116"/>
      <c r="B101" s="81"/>
      <c r="C101" s="81"/>
      <c r="D101" s="81"/>
      <c r="E101" s="81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</row>
    <row r="102" spans="1:20" x14ac:dyDescent="0.25">
      <c r="A102" s="116"/>
      <c r="B102" s="81"/>
      <c r="C102" s="81"/>
      <c r="D102" s="81"/>
      <c r="E102" s="81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</row>
    <row r="103" spans="1:20" x14ac:dyDescent="0.25">
      <c r="A103" s="116"/>
      <c r="B103" s="81"/>
      <c r="C103" s="81"/>
      <c r="D103" s="81"/>
      <c r="E103" s="81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</row>
    <row r="104" spans="1:20" x14ac:dyDescent="0.25">
      <c r="A104" s="116"/>
      <c r="B104" s="81"/>
      <c r="C104" s="81"/>
      <c r="D104" s="81"/>
      <c r="E104" s="81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</row>
    <row r="105" spans="1:20" x14ac:dyDescent="0.25">
      <c r="A105" s="116"/>
      <c r="B105" s="81"/>
      <c r="C105" s="81"/>
      <c r="D105" s="81"/>
      <c r="E105" s="81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</row>
    <row r="106" spans="1:20" x14ac:dyDescent="0.25">
      <c r="A106" s="116"/>
      <c r="B106" s="81"/>
      <c r="C106" s="81"/>
      <c r="D106" s="81"/>
      <c r="E106" s="81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</row>
    <row r="107" spans="1:20" x14ac:dyDescent="0.25">
      <c r="A107" s="116"/>
      <c r="B107" s="81"/>
      <c r="C107" s="81"/>
      <c r="D107" s="81"/>
      <c r="E107" s="81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</row>
    <row r="108" spans="1:20" x14ac:dyDescent="0.25">
      <c r="A108" s="116"/>
      <c r="B108" s="81"/>
      <c r="C108" s="81"/>
      <c r="D108" s="81"/>
      <c r="E108" s="81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</row>
    <row r="109" spans="1:20" x14ac:dyDescent="0.25">
      <c r="A109" s="116"/>
      <c r="B109" s="81"/>
      <c r="C109" s="81"/>
      <c r="D109" s="81"/>
      <c r="E109" s="81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</row>
    <row r="110" spans="1:20" x14ac:dyDescent="0.25">
      <c r="A110" s="116"/>
      <c r="B110" s="81"/>
      <c r="C110" s="81"/>
      <c r="D110" s="81"/>
      <c r="E110" s="81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</row>
    <row r="111" spans="1:20" x14ac:dyDescent="0.25">
      <c r="A111" s="116"/>
      <c r="B111" s="81"/>
      <c r="C111" s="81"/>
      <c r="D111" s="81"/>
      <c r="E111" s="81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</row>
    <row r="112" spans="1:20" x14ac:dyDescent="0.25">
      <c r="A112" s="116"/>
      <c r="B112" s="81"/>
      <c r="C112" s="81"/>
      <c r="D112" s="81"/>
      <c r="E112" s="81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</row>
    <row r="113" spans="1:20" x14ac:dyDescent="0.25">
      <c r="A113" s="116"/>
      <c r="B113" s="81"/>
      <c r="C113" s="81"/>
      <c r="D113" s="81"/>
      <c r="E113" s="81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</row>
    <row r="114" spans="1:20" x14ac:dyDescent="0.25">
      <c r="A114" s="116"/>
      <c r="B114" s="81"/>
      <c r="C114" s="81"/>
      <c r="D114" s="81"/>
      <c r="E114" s="81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</row>
    <row r="115" spans="1:20" x14ac:dyDescent="0.25">
      <c r="A115" s="116"/>
      <c r="B115" s="81"/>
      <c r="C115" s="81"/>
      <c r="D115" s="81"/>
      <c r="E115" s="81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</row>
    <row r="116" spans="1:20" x14ac:dyDescent="0.25">
      <c r="A116" s="116"/>
      <c r="B116" s="81"/>
      <c r="C116" s="81"/>
      <c r="D116" s="81"/>
      <c r="E116" s="81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</row>
    <row r="117" spans="1:20" s="81" customFormat="1" ht="11.25" x14ac:dyDescent="0.2">
      <c r="A117" s="116"/>
    </row>
    <row r="118" spans="1:20" s="81" customFormat="1" ht="11.25" x14ac:dyDescent="0.2">
      <c r="A118" s="116"/>
    </row>
    <row r="119" spans="1:20" s="81" customFormat="1" ht="11.25" x14ac:dyDescent="0.2">
      <c r="A119" s="116"/>
    </row>
    <row r="120" spans="1:20" s="81" customFormat="1" ht="11.25" x14ac:dyDescent="0.2">
      <c r="A120" s="116"/>
    </row>
    <row r="121" spans="1:20" s="81" customFormat="1" ht="11.25" x14ac:dyDescent="0.2">
      <c r="A121" s="116"/>
    </row>
    <row r="122" spans="1:20" s="81" customFormat="1" ht="11.25" x14ac:dyDescent="0.2">
      <c r="A122" s="116"/>
    </row>
    <row r="123" spans="1:20" s="81" customFormat="1" ht="11.25" x14ac:dyDescent="0.2">
      <c r="A123" s="116"/>
    </row>
    <row r="124" spans="1:20" s="81" customFormat="1" ht="11.25" x14ac:dyDescent="0.2">
      <c r="A124" s="116"/>
    </row>
    <row r="125" spans="1:20" s="81" customFormat="1" ht="11.25" x14ac:dyDescent="0.2">
      <c r="A125" s="116"/>
    </row>
    <row r="126" spans="1:20" s="81" customFormat="1" ht="11.25" x14ac:dyDescent="0.2">
      <c r="A126" s="116"/>
    </row>
    <row r="127" spans="1:20" s="81" customFormat="1" ht="11.25" x14ac:dyDescent="0.2">
      <c r="A127" s="116"/>
    </row>
    <row r="128" spans="1:20" s="81" customFormat="1" x14ac:dyDescent="0.25">
      <c r="A128" s="119"/>
      <c r="B128" s="113"/>
      <c r="C128" s="113"/>
      <c r="D128" s="113"/>
      <c r="E128" s="113"/>
    </row>
    <row r="129" spans="1:5" s="81" customFormat="1" x14ac:dyDescent="0.25">
      <c r="A129" s="119"/>
      <c r="B129" s="113"/>
      <c r="C129" s="113"/>
      <c r="D129" s="113"/>
      <c r="E129" s="113"/>
    </row>
  </sheetData>
  <mergeCells count="8">
    <mergeCell ref="A25:B25"/>
    <mergeCell ref="A43:B43"/>
    <mergeCell ref="A45:E45"/>
    <mergeCell ref="A49:E49"/>
    <mergeCell ref="A2:B2"/>
    <mergeCell ref="A27:E27"/>
    <mergeCell ref="A28:B28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&amp;C&amp;"Times New Roman,Félkövér"&amp;14Martonvásár Város Önkormányzat 2019. évi költségvetésének pénzügyi mérlege&amp;R&amp;"Times New Roman,Félkövér"&amp;12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5"/>
  <sheetViews>
    <sheetView topLeftCell="A64" zoomScaleNormal="100" workbookViewId="0">
      <selection activeCell="Q55" sqref="Q55"/>
    </sheetView>
  </sheetViews>
  <sheetFormatPr defaultColWidth="8.7109375" defaultRowHeight="15" x14ac:dyDescent="0.25"/>
  <cols>
    <col min="1" max="1" width="6.140625" style="568" customWidth="1"/>
    <col min="2" max="2" width="7.140625" style="569" customWidth="1"/>
    <col min="3" max="3" width="25" style="569" customWidth="1"/>
    <col min="4" max="4" width="11" style="570" bestFit="1" customWidth="1"/>
    <col min="5" max="5" width="8.85546875" style="570" customWidth="1"/>
    <col min="6" max="6" width="8.5703125" style="570" customWidth="1"/>
    <col min="7" max="7" width="9.5703125" style="570" bestFit="1" customWidth="1"/>
    <col min="8" max="8" width="6.7109375" style="570" customWidth="1"/>
    <col min="9" max="9" width="9.7109375" style="570" customWidth="1"/>
    <col min="10" max="10" width="9" style="570" bestFit="1" customWidth="1"/>
    <col min="11" max="11" width="7.140625" style="570" customWidth="1"/>
    <col min="12" max="12" width="6.42578125" style="570" customWidth="1"/>
    <col min="13" max="13" width="6.7109375" style="570" bestFit="1" customWidth="1"/>
    <col min="14" max="15" width="6.85546875" style="570" customWidth="1"/>
    <col min="16" max="16" width="11" style="570" bestFit="1" customWidth="1"/>
    <col min="17" max="17" width="6.85546875" style="570" bestFit="1" customWidth="1"/>
    <col min="18" max="18" width="8.5703125" style="570" customWidth="1"/>
    <col min="19" max="16384" width="8.7109375" style="544"/>
  </cols>
  <sheetData>
    <row r="1" spans="1:18" x14ac:dyDescent="0.25">
      <c r="A1" s="541"/>
      <c r="B1" s="542"/>
      <c r="C1" s="542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1342" t="s">
        <v>391</v>
      </c>
      <c r="Q1" s="1342"/>
      <c r="R1" s="1342"/>
    </row>
    <row r="2" spans="1:18" ht="40.5" customHeight="1" x14ac:dyDescent="0.25">
      <c r="A2" s="1336" t="s">
        <v>0</v>
      </c>
      <c r="B2" s="1336" t="s">
        <v>182</v>
      </c>
      <c r="C2" s="1336"/>
      <c r="D2" s="1339" t="s">
        <v>180</v>
      </c>
      <c r="E2" s="1340"/>
      <c r="F2" s="1341"/>
      <c r="G2" s="1285" t="s">
        <v>185</v>
      </c>
      <c r="H2" s="1285"/>
      <c r="I2" s="1285"/>
      <c r="J2" s="1285" t="s">
        <v>289</v>
      </c>
      <c r="K2" s="1285"/>
      <c r="L2" s="1285"/>
      <c r="M2" s="1285" t="s">
        <v>290</v>
      </c>
      <c r="N2" s="1285"/>
      <c r="O2" s="1285"/>
      <c r="P2" s="1285" t="s">
        <v>574</v>
      </c>
      <c r="Q2" s="1285"/>
      <c r="R2" s="1285"/>
    </row>
    <row r="3" spans="1:18" ht="15" customHeight="1" x14ac:dyDescent="0.25">
      <c r="A3" s="1336"/>
      <c r="B3" s="1336"/>
      <c r="C3" s="1336"/>
      <c r="D3" s="1339"/>
      <c r="E3" s="1340"/>
      <c r="F3" s="1341"/>
      <c r="G3" s="1285" t="s">
        <v>189</v>
      </c>
      <c r="H3" s="1285"/>
      <c r="I3" s="1285"/>
      <c r="J3" s="1285" t="s">
        <v>189</v>
      </c>
      <c r="K3" s="1285"/>
      <c r="L3" s="1285"/>
      <c r="M3" s="1285" t="s">
        <v>189</v>
      </c>
      <c r="N3" s="1285"/>
      <c r="O3" s="1285"/>
      <c r="P3" s="1285" t="s">
        <v>189</v>
      </c>
      <c r="Q3" s="1285"/>
      <c r="R3" s="1285"/>
    </row>
    <row r="4" spans="1:18" s="545" customFormat="1" ht="25.5" customHeight="1" x14ac:dyDescent="0.25">
      <c r="A4" s="1336"/>
      <c r="B4" s="1336"/>
      <c r="C4" s="1336"/>
      <c r="D4" s="1070" t="s">
        <v>912</v>
      </c>
      <c r="E4" s="1070" t="s">
        <v>727</v>
      </c>
      <c r="F4" s="1070" t="s">
        <v>950</v>
      </c>
      <c r="G4" s="1070" t="s">
        <v>912</v>
      </c>
      <c r="H4" s="1070" t="s">
        <v>727</v>
      </c>
      <c r="I4" s="1070" t="s">
        <v>950</v>
      </c>
      <c r="J4" s="1070" t="s">
        <v>912</v>
      </c>
      <c r="K4" s="1070" t="s">
        <v>727</v>
      </c>
      <c r="L4" s="1070" t="s">
        <v>950</v>
      </c>
      <c r="M4" s="1070" t="s">
        <v>912</v>
      </c>
      <c r="N4" s="1070" t="s">
        <v>727</v>
      </c>
      <c r="O4" s="1070" t="s">
        <v>950</v>
      </c>
      <c r="P4" s="1070" t="s">
        <v>912</v>
      </c>
      <c r="Q4" s="1070" t="s">
        <v>727</v>
      </c>
      <c r="R4" s="1070" t="s">
        <v>950</v>
      </c>
    </row>
    <row r="5" spans="1:18" ht="15" customHeight="1" x14ac:dyDescent="0.25">
      <c r="A5" s="546" t="s">
        <v>2</v>
      </c>
      <c r="B5" s="1332" t="s">
        <v>1</v>
      </c>
      <c r="C5" s="1332"/>
      <c r="D5" s="841">
        <f>+G5+J5+M5+P5</f>
        <v>114314</v>
      </c>
      <c r="E5" s="841">
        <f t="shared" ref="E5:F18" si="0">+H5+K5+N5+Q5</f>
        <v>-4540</v>
      </c>
      <c r="F5" s="842">
        <f t="shared" si="0"/>
        <v>109774</v>
      </c>
      <c r="G5" s="841">
        <v>113524</v>
      </c>
      <c r="H5" s="841">
        <f>9-400-12+8-4069</f>
        <v>-4464</v>
      </c>
      <c r="I5" s="842">
        <f>+H5+G5</f>
        <v>109060</v>
      </c>
      <c r="J5" s="841">
        <v>790</v>
      </c>
      <c r="K5" s="841">
        <v>-76</v>
      </c>
      <c r="L5" s="841">
        <f>+K5+J5</f>
        <v>714</v>
      </c>
      <c r="M5" s="841"/>
      <c r="N5" s="841"/>
      <c r="O5" s="841">
        <f>+N5+M5</f>
        <v>0</v>
      </c>
      <c r="P5" s="841"/>
      <c r="Q5" s="841"/>
      <c r="R5" s="841">
        <f>+P5+Q5</f>
        <v>0</v>
      </c>
    </row>
    <row r="6" spans="1:18" ht="15" customHeight="1" x14ac:dyDescent="0.25">
      <c r="A6" s="546" t="s">
        <v>4</v>
      </c>
      <c r="B6" s="1332" t="s">
        <v>3</v>
      </c>
      <c r="C6" s="1332"/>
      <c r="D6" s="841">
        <f t="shared" ref="D6:D18" si="1">+G6+J6+M6+P6</f>
        <v>0</v>
      </c>
      <c r="E6" s="841">
        <f t="shared" si="0"/>
        <v>3330</v>
      </c>
      <c r="F6" s="841">
        <f t="shared" si="0"/>
        <v>3330</v>
      </c>
      <c r="G6" s="841"/>
      <c r="H6" s="841">
        <v>3290</v>
      </c>
      <c r="I6" s="841">
        <f t="shared" ref="I6:I24" si="2">+H6+G6</f>
        <v>3290</v>
      </c>
      <c r="J6" s="841"/>
      <c r="K6" s="841">
        <v>40</v>
      </c>
      <c r="L6" s="841">
        <f t="shared" ref="L6:L22" si="3">+K6+J6</f>
        <v>40</v>
      </c>
      <c r="M6" s="841"/>
      <c r="N6" s="841"/>
      <c r="O6" s="841">
        <f t="shared" ref="O6:O22" si="4">+N6+M6</f>
        <v>0</v>
      </c>
      <c r="P6" s="841"/>
      <c r="Q6" s="841"/>
      <c r="R6" s="841">
        <f t="shared" ref="R6:R22" si="5">+P6+Q6</f>
        <v>0</v>
      </c>
    </row>
    <row r="7" spans="1:18" ht="15" customHeight="1" x14ac:dyDescent="0.25">
      <c r="A7" s="546" t="s">
        <v>6</v>
      </c>
      <c r="B7" s="1332" t="s">
        <v>5</v>
      </c>
      <c r="C7" s="1332"/>
      <c r="D7" s="841">
        <f t="shared" si="1"/>
        <v>0</v>
      </c>
      <c r="E7" s="841">
        <f t="shared" si="0"/>
        <v>0</v>
      </c>
      <c r="F7" s="841">
        <f t="shared" si="0"/>
        <v>0</v>
      </c>
      <c r="G7" s="841"/>
      <c r="H7" s="841"/>
      <c r="I7" s="841">
        <f t="shared" si="2"/>
        <v>0</v>
      </c>
      <c r="J7" s="841"/>
      <c r="K7" s="841"/>
      <c r="L7" s="841">
        <f t="shared" si="3"/>
        <v>0</v>
      </c>
      <c r="M7" s="841"/>
      <c r="N7" s="841"/>
      <c r="O7" s="841">
        <f t="shared" si="4"/>
        <v>0</v>
      </c>
      <c r="P7" s="841"/>
      <c r="Q7" s="841"/>
      <c r="R7" s="841">
        <f t="shared" si="5"/>
        <v>0</v>
      </c>
    </row>
    <row r="8" spans="1:18" ht="22.5" customHeight="1" x14ac:dyDescent="0.25">
      <c r="A8" s="546" t="s">
        <v>8</v>
      </c>
      <c r="B8" s="1332" t="s">
        <v>7</v>
      </c>
      <c r="C8" s="1332"/>
      <c r="D8" s="841">
        <f t="shared" si="1"/>
        <v>800</v>
      </c>
      <c r="E8" s="841">
        <f t="shared" si="0"/>
        <v>392</v>
      </c>
      <c r="F8" s="841">
        <f t="shared" si="0"/>
        <v>1192</v>
      </c>
      <c r="G8" s="841">
        <v>800</v>
      </c>
      <c r="H8" s="841">
        <f>300+84+8</f>
        <v>392</v>
      </c>
      <c r="I8" s="841">
        <f t="shared" si="2"/>
        <v>1192</v>
      </c>
      <c r="J8" s="841"/>
      <c r="K8" s="841"/>
      <c r="L8" s="841">
        <f t="shared" si="3"/>
        <v>0</v>
      </c>
      <c r="M8" s="841"/>
      <c r="N8" s="841"/>
      <c r="O8" s="841">
        <f t="shared" si="4"/>
        <v>0</v>
      </c>
      <c r="P8" s="841"/>
      <c r="Q8" s="841"/>
      <c r="R8" s="841">
        <f t="shared" si="5"/>
        <v>0</v>
      </c>
    </row>
    <row r="9" spans="1:18" ht="15" customHeight="1" x14ac:dyDescent="0.25">
      <c r="A9" s="546" t="s">
        <v>10</v>
      </c>
      <c r="B9" s="1332" t="s">
        <v>9</v>
      </c>
      <c r="C9" s="1332"/>
      <c r="D9" s="841">
        <f t="shared" si="1"/>
        <v>0</v>
      </c>
      <c r="E9" s="841">
        <f t="shared" si="0"/>
        <v>0</v>
      </c>
      <c r="F9" s="841">
        <f t="shared" si="0"/>
        <v>0</v>
      </c>
      <c r="G9" s="841"/>
      <c r="H9" s="841"/>
      <c r="I9" s="841">
        <f t="shared" si="2"/>
        <v>0</v>
      </c>
      <c r="J9" s="841"/>
      <c r="K9" s="841"/>
      <c r="L9" s="841">
        <f t="shared" si="3"/>
        <v>0</v>
      </c>
      <c r="M9" s="841"/>
      <c r="N9" s="841"/>
      <c r="O9" s="841">
        <f t="shared" si="4"/>
        <v>0</v>
      </c>
      <c r="P9" s="841"/>
      <c r="Q9" s="841"/>
      <c r="R9" s="841">
        <f t="shared" si="5"/>
        <v>0</v>
      </c>
    </row>
    <row r="10" spans="1:18" ht="15" customHeight="1" x14ac:dyDescent="0.25">
      <c r="A10" s="546" t="s">
        <v>12</v>
      </c>
      <c r="B10" s="1332" t="s">
        <v>11</v>
      </c>
      <c r="C10" s="1332"/>
      <c r="D10" s="841">
        <f t="shared" si="1"/>
        <v>1128</v>
      </c>
      <c r="E10" s="841">
        <f t="shared" si="0"/>
        <v>0</v>
      </c>
      <c r="F10" s="841">
        <f t="shared" si="0"/>
        <v>1128</v>
      </c>
      <c r="G10" s="841">
        <v>1128</v>
      </c>
      <c r="H10" s="841"/>
      <c r="I10" s="841">
        <f t="shared" si="2"/>
        <v>1128</v>
      </c>
      <c r="J10" s="841"/>
      <c r="K10" s="841"/>
      <c r="L10" s="841">
        <f t="shared" si="3"/>
        <v>0</v>
      </c>
      <c r="M10" s="841"/>
      <c r="N10" s="841"/>
      <c r="O10" s="841">
        <f t="shared" si="4"/>
        <v>0</v>
      </c>
      <c r="P10" s="841"/>
      <c r="Q10" s="841"/>
      <c r="R10" s="841">
        <f t="shared" si="5"/>
        <v>0</v>
      </c>
    </row>
    <row r="11" spans="1:18" ht="15" customHeight="1" x14ac:dyDescent="0.25">
      <c r="A11" s="546" t="s">
        <v>14</v>
      </c>
      <c r="B11" s="1332" t="s">
        <v>13</v>
      </c>
      <c r="C11" s="1332"/>
      <c r="D11" s="841">
        <f t="shared" si="1"/>
        <v>2115</v>
      </c>
      <c r="E11" s="841">
        <f t="shared" si="0"/>
        <v>10</v>
      </c>
      <c r="F11" s="841">
        <f t="shared" si="0"/>
        <v>2125</v>
      </c>
      <c r="G11" s="841">
        <v>2085</v>
      </c>
      <c r="H11" s="841"/>
      <c r="I11" s="841">
        <f t="shared" si="2"/>
        <v>2085</v>
      </c>
      <c r="J11" s="841">
        <v>30</v>
      </c>
      <c r="K11" s="841">
        <v>10</v>
      </c>
      <c r="L11" s="841">
        <f t="shared" si="3"/>
        <v>40</v>
      </c>
      <c r="M11" s="841"/>
      <c r="N11" s="841"/>
      <c r="O11" s="841">
        <f t="shared" si="4"/>
        <v>0</v>
      </c>
      <c r="P11" s="841"/>
      <c r="Q11" s="841"/>
      <c r="R11" s="841">
        <f t="shared" si="5"/>
        <v>0</v>
      </c>
    </row>
    <row r="12" spans="1:18" ht="15" customHeight="1" x14ac:dyDescent="0.25">
      <c r="A12" s="546" t="s">
        <v>16</v>
      </c>
      <c r="B12" s="1332" t="s">
        <v>15</v>
      </c>
      <c r="C12" s="1332"/>
      <c r="D12" s="841">
        <f t="shared" si="1"/>
        <v>0</v>
      </c>
      <c r="E12" s="841">
        <f t="shared" si="0"/>
        <v>0</v>
      </c>
      <c r="F12" s="841">
        <f t="shared" si="0"/>
        <v>0</v>
      </c>
      <c r="G12" s="841"/>
      <c r="H12" s="841"/>
      <c r="I12" s="841">
        <f t="shared" si="2"/>
        <v>0</v>
      </c>
      <c r="J12" s="841"/>
      <c r="K12" s="841"/>
      <c r="L12" s="841">
        <f t="shared" si="3"/>
        <v>0</v>
      </c>
      <c r="M12" s="841"/>
      <c r="N12" s="841"/>
      <c r="O12" s="841">
        <f t="shared" si="4"/>
        <v>0</v>
      </c>
      <c r="P12" s="841"/>
      <c r="Q12" s="841"/>
      <c r="R12" s="841">
        <f t="shared" si="5"/>
        <v>0</v>
      </c>
    </row>
    <row r="13" spans="1:18" ht="15" customHeight="1" x14ac:dyDescent="0.25">
      <c r="A13" s="546" t="s">
        <v>18</v>
      </c>
      <c r="B13" s="1332" t="s">
        <v>17</v>
      </c>
      <c r="C13" s="1332"/>
      <c r="D13" s="841">
        <f t="shared" si="1"/>
        <v>1110</v>
      </c>
      <c r="E13" s="841">
        <f t="shared" si="0"/>
        <v>0</v>
      </c>
      <c r="F13" s="841">
        <f t="shared" si="0"/>
        <v>1110</v>
      </c>
      <c r="G13" s="841">
        <v>1110</v>
      </c>
      <c r="H13" s="841"/>
      <c r="I13" s="841">
        <f t="shared" si="2"/>
        <v>1110</v>
      </c>
      <c r="J13" s="841"/>
      <c r="K13" s="841"/>
      <c r="L13" s="841">
        <f t="shared" si="3"/>
        <v>0</v>
      </c>
      <c r="M13" s="841"/>
      <c r="N13" s="841"/>
      <c r="O13" s="841">
        <f t="shared" si="4"/>
        <v>0</v>
      </c>
      <c r="P13" s="841"/>
      <c r="Q13" s="841"/>
      <c r="R13" s="841">
        <f t="shared" si="5"/>
        <v>0</v>
      </c>
    </row>
    <row r="14" spans="1:18" ht="15" customHeight="1" x14ac:dyDescent="0.25">
      <c r="A14" s="546" t="s">
        <v>20</v>
      </c>
      <c r="B14" s="1332" t="s">
        <v>19</v>
      </c>
      <c r="C14" s="1332"/>
      <c r="D14" s="841">
        <f t="shared" si="1"/>
        <v>0</v>
      </c>
      <c r="E14" s="841">
        <f t="shared" si="0"/>
        <v>0</v>
      </c>
      <c r="F14" s="841">
        <f t="shared" si="0"/>
        <v>0</v>
      </c>
      <c r="G14" s="841"/>
      <c r="H14" s="841"/>
      <c r="I14" s="841">
        <f t="shared" si="2"/>
        <v>0</v>
      </c>
      <c r="J14" s="841"/>
      <c r="K14" s="841"/>
      <c r="L14" s="841">
        <f t="shared" si="3"/>
        <v>0</v>
      </c>
      <c r="M14" s="841"/>
      <c r="N14" s="841"/>
      <c r="O14" s="841">
        <f t="shared" si="4"/>
        <v>0</v>
      </c>
      <c r="P14" s="841"/>
      <c r="Q14" s="841"/>
      <c r="R14" s="841">
        <f t="shared" si="5"/>
        <v>0</v>
      </c>
    </row>
    <row r="15" spans="1:18" ht="15" customHeight="1" x14ac:dyDescent="0.25">
      <c r="A15" s="546" t="s">
        <v>22</v>
      </c>
      <c r="B15" s="1332" t="s">
        <v>21</v>
      </c>
      <c r="C15" s="1332"/>
      <c r="D15" s="841">
        <f t="shared" si="1"/>
        <v>0</v>
      </c>
      <c r="E15" s="841">
        <f t="shared" si="0"/>
        <v>0</v>
      </c>
      <c r="F15" s="841">
        <f t="shared" si="0"/>
        <v>0</v>
      </c>
      <c r="G15" s="841"/>
      <c r="H15" s="841"/>
      <c r="I15" s="841">
        <f t="shared" si="2"/>
        <v>0</v>
      </c>
      <c r="J15" s="841"/>
      <c r="K15" s="841"/>
      <c r="L15" s="841">
        <f t="shared" si="3"/>
        <v>0</v>
      </c>
      <c r="M15" s="841"/>
      <c r="N15" s="841"/>
      <c r="O15" s="841">
        <f t="shared" si="4"/>
        <v>0</v>
      </c>
      <c r="P15" s="841"/>
      <c r="Q15" s="841"/>
      <c r="R15" s="841">
        <f t="shared" si="5"/>
        <v>0</v>
      </c>
    </row>
    <row r="16" spans="1:18" ht="15" customHeight="1" x14ac:dyDescent="0.25">
      <c r="A16" s="546" t="s">
        <v>24</v>
      </c>
      <c r="B16" s="1332" t="s">
        <v>23</v>
      </c>
      <c r="C16" s="1332"/>
      <c r="D16" s="841">
        <f t="shared" si="1"/>
        <v>0</v>
      </c>
      <c r="E16" s="841">
        <f t="shared" si="0"/>
        <v>0</v>
      </c>
      <c r="F16" s="841">
        <f t="shared" si="0"/>
        <v>0</v>
      </c>
      <c r="G16" s="841"/>
      <c r="H16" s="841"/>
      <c r="I16" s="841">
        <f t="shared" si="2"/>
        <v>0</v>
      </c>
      <c r="J16" s="841"/>
      <c r="K16" s="841"/>
      <c r="L16" s="841">
        <f t="shared" si="3"/>
        <v>0</v>
      </c>
      <c r="M16" s="841"/>
      <c r="N16" s="841"/>
      <c r="O16" s="841">
        <f t="shared" si="4"/>
        <v>0</v>
      </c>
      <c r="P16" s="841"/>
      <c r="Q16" s="841"/>
      <c r="R16" s="841">
        <f t="shared" si="5"/>
        <v>0</v>
      </c>
    </row>
    <row r="17" spans="1:18" ht="27.75" customHeight="1" x14ac:dyDescent="0.25">
      <c r="A17" s="546" t="s">
        <v>25</v>
      </c>
      <c r="B17" s="1332" t="s">
        <v>175</v>
      </c>
      <c r="C17" s="1332"/>
      <c r="D17" s="841">
        <f t="shared" si="1"/>
        <v>1412</v>
      </c>
      <c r="E17" s="841">
        <f t="shared" si="0"/>
        <v>432</v>
      </c>
      <c r="F17" s="842">
        <f t="shared" si="0"/>
        <v>1844</v>
      </c>
      <c r="G17" s="841">
        <v>1412</v>
      </c>
      <c r="H17" s="841">
        <f>147+12+99+148</f>
        <v>406</v>
      </c>
      <c r="I17" s="842">
        <f t="shared" si="2"/>
        <v>1818</v>
      </c>
      <c r="J17" s="841"/>
      <c r="K17" s="841">
        <v>26</v>
      </c>
      <c r="L17" s="841">
        <f t="shared" si="3"/>
        <v>26</v>
      </c>
      <c r="M17" s="841"/>
      <c r="N17" s="841"/>
      <c r="O17" s="841">
        <f t="shared" si="4"/>
        <v>0</v>
      </c>
      <c r="P17" s="841"/>
      <c r="Q17" s="841"/>
      <c r="R17" s="841">
        <f t="shared" si="5"/>
        <v>0</v>
      </c>
    </row>
    <row r="18" spans="1:18" ht="15" customHeight="1" x14ac:dyDescent="0.25">
      <c r="A18" s="546" t="s">
        <v>25</v>
      </c>
      <c r="B18" s="1332" t="s">
        <v>26</v>
      </c>
      <c r="C18" s="1332"/>
      <c r="D18" s="841">
        <f t="shared" si="1"/>
        <v>0</v>
      </c>
      <c r="E18" s="841">
        <f t="shared" si="0"/>
        <v>0</v>
      </c>
      <c r="F18" s="841">
        <f t="shared" si="0"/>
        <v>0</v>
      </c>
      <c r="G18" s="841"/>
      <c r="H18" s="841"/>
      <c r="I18" s="841">
        <f t="shared" si="2"/>
        <v>0</v>
      </c>
      <c r="J18" s="841"/>
      <c r="K18" s="841"/>
      <c r="L18" s="841">
        <f t="shared" si="3"/>
        <v>0</v>
      </c>
      <c r="M18" s="841"/>
      <c r="N18" s="841"/>
      <c r="O18" s="841">
        <f t="shared" si="4"/>
        <v>0</v>
      </c>
      <c r="P18" s="841"/>
      <c r="Q18" s="841"/>
      <c r="R18" s="841">
        <f t="shared" si="5"/>
        <v>0</v>
      </c>
    </row>
    <row r="19" spans="1:18" s="548" customFormat="1" ht="15" customHeight="1" x14ac:dyDescent="0.25">
      <c r="A19" s="547" t="s">
        <v>27</v>
      </c>
      <c r="B19" s="1335" t="s">
        <v>424</v>
      </c>
      <c r="C19" s="1335"/>
      <c r="D19" s="798">
        <f>SUM(D5:D18)</f>
        <v>120879</v>
      </c>
      <c r="E19" s="798">
        <f t="shared" ref="E19:Q19" si="6">SUM(E5:E18)</f>
        <v>-376</v>
      </c>
      <c r="F19" s="798">
        <f t="shared" si="6"/>
        <v>120503</v>
      </c>
      <c r="G19" s="798">
        <f t="shared" si="6"/>
        <v>120059</v>
      </c>
      <c r="H19" s="798">
        <f t="shared" si="6"/>
        <v>-376</v>
      </c>
      <c r="I19" s="798">
        <f t="shared" si="2"/>
        <v>119683</v>
      </c>
      <c r="J19" s="798">
        <f t="shared" si="6"/>
        <v>820</v>
      </c>
      <c r="K19" s="798">
        <f t="shared" si="6"/>
        <v>0</v>
      </c>
      <c r="L19" s="798">
        <f t="shared" si="3"/>
        <v>820</v>
      </c>
      <c r="M19" s="798">
        <f t="shared" si="6"/>
        <v>0</v>
      </c>
      <c r="N19" s="798">
        <f t="shared" si="6"/>
        <v>0</v>
      </c>
      <c r="O19" s="798">
        <f t="shared" si="4"/>
        <v>0</v>
      </c>
      <c r="P19" s="798">
        <f t="shared" si="6"/>
        <v>0</v>
      </c>
      <c r="Q19" s="798">
        <f t="shared" si="6"/>
        <v>0</v>
      </c>
      <c r="R19" s="798">
        <f t="shared" si="5"/>
        <v>0</v>
      </c>
    </row>
    <row r="20" spans="1:18" ht="15" customHeight="1" x14ac:dyDescent="0.25">
      <c r="A20" s="546" t="s">
        <v>29</v>
      </c>
      <c r="B20" s="1332" t="s">
        <v>28</v>
      </c>
      <c r="C20" s="1332"/>
      <c r="D20" s="841">
        <f>+G20+J20+M20+P20</f>
        <v>0</v>
      </c>
      <c r="E20" s="841">
        <f t="shared" ref="E20:F22" si="7">+H20+K20+N20+Q20</f>
        <v>0</v>
      </c>
      <c r="F20" s="841">
        <f t="shared" si="7"/>
        <v>0</v>
      </c>
      <c r="G20" s="841"/>
      <c r="H20" s="841"/>
      <c r="I20" s="841">
        <f t="shared" si="2"/>
        <v>0</v>
      </c>
      <c r="J20" s="841"/>
      <c r="K20" s="841"/>
      <c r="L20" s="841">
        <f t="shared" si="3"/>
        <v>0</v>
      </c>
      <c r="M20" s="841"/>
      <c r="N20" s="841"/>
      <c r="O20" s="841">
        <f t="shared" si="4"/>
        <v>0</v>
      </c>
      <c r="P20" s="841"/>
      <c r="Q20" s="841"/>
      <c r="R20" s="841">
        <f t="shared" si="5"/>
        <v>0</v>
      </c>
    </row>
    <row r="21" spans="1:18" ht="38.25" customHeight="1" x14ac:dyDescent="0.25">
      <c r="A21" s="546" t="s">
        <v>648</v>
      </c>
      <c r="B21" s="1332" t="s">
        <v>30</v>
      </c>
      <c r="C21" s="1332"/>
      <c r="D21" s="841">
        <f t="shared" ref="D21:D22" si="8">+G21+J21+M21+P21</f>
        <v>2383</v>
      </c>
      <c r="E21" s="841">
        <f t="shared" si="7"/>
        <v>240</v>
      </c>
      <c r="F21" s="841">
        <f t="shared" si="7"/>
        <v>2623</v>
      </c>
      <c r="G21" s="841">
        <v>73</v>
      </c>
      <c r="H21" s="841">
        <v>400</v>
      </c>
      <c r="I21" s="841">
        <f t="shared" si="2"/>
        <v>473</v>
      </c>
      <c r="J21" s="841">
        <v>110</v>
      </c>
      <c r="K21" s="841"/>
      <c r="L21" s="841">
        <f t="shared" si="3"/>
        <v>110</v>
      </c>
      <c r="M21" s="841">
        <v>2200</v>
      </c>
      <c r="N21" s="841">
        <f>-110-50</f>
        <v>-160</v>
      </c>
      <c r="O21" s="841">
        <f t="shared" si="4"/>
        <v>2040</v>
      </c>
      <c r="P21" s="841"/>
      <c r="Q21" s="841"/>
      <c r="R21" s="841">
        <f t="shared" si="5"/>
        <v>0</v>
      </c>
    </row>
    <row r="22" spans="1:18" ht="15" customHeight="1" x14ac:dyDescent="0.25">
      <c r="A22" s="546" t="s">
        <v>32</v>
      </c>
      <c r="B22" s="1332" t="s">
        <v>31</v>
      </c>
      <c r="C22" s="1332"/>
      <c r="D22" s="841">
        <f t="shared" si="8"/>
        <v>30</v>
      </c>
      <c r="E22" s="841">
        <f t="shared" si="7"/>
        <v>0</v>
      </c>
      <c r="F22" s="841">
        <f t="shared" si="7"/>
        <v>30</v>
      </c>
      <c r="G22" s="841">
        <v>30</v>
      </c>
      <c r="H22" s="841"/>
      <c r="I22" s="841">
        <f t="shared" si="2"/>
        <v>30</v>
      </c>
      <c r="J22" s="841"/>
      <c r="K22" s="841"/>
      <c r="L22" s="841">
        <f t="shared" si="3"/>
        <v>0</v>
      </c>
      <c r="M22" s="841"/>
      <c r="N22" s="841"/>
      <c r="O22" s="841">
        <f t="shared" si="4"/>
        <v>0</v>
      </c>
      <c r="P22" s="841"/>
      <c r="Q22" s="841"/>
      <c r="R22" s="841">
        <f t="shared" si="5"/>
        <v>0</v>
      </c>
    </row>
    <row r="23" spans="1:18" s="548" customFormat="1" ht="15" customHeight="1" x14ac:dyDescent="0.25">
      <c r="A23" s="547" t="s">
        <v>33</v>
      </c>
      <c r="B23" s="1335" t="s">
        <v>425</v>
      </c>
      <c r="C23" s="1335"/>
      <c r="D23" s="798">
        <f>SUM(D20:D22)</f>
        <v>2413</v>
      </c>
      <c r="E23" s="798">
        <f t="shared" ref="E23:R23" si="9">SUM(E20:E22)</f>
        <v>240</v>
      </c>
      <c r="F23" s="798">
        <f t="shared" si="9"/>
        <v>2653</v>
      </c>
      <c r="G23" s="798">
        <f t="shared" si="9"/>
        <v>103</v>
      </c>
      <c r="H23" s="798">
        <f t="shared" si="9"/>
        <v>400</v>
      </c>
      <c r="I23" s="798">
        <f t="shared" si="2"/>
        <v>503</v>
      </c>
      <c r="J23" s="798">
        <f t="shared" si="9"/>
        <v>110</v>
      </c>
      <c r="K23" s="798">
        <f t="shared" si="9"/>
        <v>0</v>
      </c>
      <c r="L23" s="798">
        <f t="shared" si="9"/>
        <v>110</v>
      </c>
      <c r="M23" s="798">
        <f t="shared" si="9"/>
        <v>2200</v>
      </c>
      <c r="N23" s="798">
        <f t="shared" si="9"/>
        <v>-160</v>
      </c>
      <c r="O23" s="798">
        <f t="shared" si="9"/>
        <v>2040</v>
      </c>
      <c r="P23" s="798">
        <f t="shared" si="9"/>
        <v>0</v>
      </c>
      <c r="Q23" s="798">
        <f t="shared" si="9"/>
        <v>0</v>
      </c>
      <c r="R23" s="798">
        <f t="shared" si="9"/>
        <v>0</v>
      </c>
    </row>
    <row r="24" spans="1:18" s="549" customFormat="1" ht="15" customHeight="1" x14ac:dyDescent="0.25">
      <c r="A24" s="547" t="s">
        <v>34</v>
      </c>
      <c r="B24" s="1335" t="s">
        <v>426</v>
      </c>
      <c r="C24" s="1335"/>
      <c r="D24" s="798">
        <f t="shared" ref="D24:R24" si="10">+D23+D19</f>
        <v>123292</v>
      </c>
      <c r="E24" s="798">
        <f t="shared" si="10"/>
        <v>-136</v>
      </c>
      <c r="F24" s="798">
        <f t="shared" si="10"/>
        <v>123156</v>
      </c>
      <c r="G24" s="798">
        <f t="shared" si="10"/>
        <v>120162</v>
      </c>
      <c r="H24" s="798">
        <f t="shared" si="10"/>
        <v>24</v>
      </c>
      <c r="I24" s="798">
        <f t="shared" si="2"/>
        <v>120186</v>
      </c>
      <c r="J24" s="798">
        <f t="shared" si="10"/>
        <v>930</v>
      </c>
      <c r="K24" s="798">
        <f t="shared" si="10"/>
        <v>0</v>
      </c>
      <c r="L24" s="798">
        <f t="shared" si="10"/>
        <v>930</v>
      </c>
      <c r="M24" s="798">
        <f t="shared" si="10"/>
        <v>2200</v>
      </c>
      <c r="N24" s="798">
        <f>+N23+N19</f>
        <v>-160</v>
      </c>
      <c r="O24" s="798">
        <f t="shared" si="10"/>
        <v>2040</v>
      </c>
      <c r="P24" s="798">
        <f t="shared" si="10"/>
        <v>0</v>
      </c>
      <c r="Q24" s="798">
        <f t="shared" si="10"/>
        <v>0</v>
      </c>
      <c r="R24" s="798">
        <f t="shared" si="10"/>
        <v>0</v>
      </c>
    </row>
    <row r="25" spans="1:18" x14ac:dyDescent="0.25">
      <c r="A25" s="550"/>
      <c r="B25" s="1072"/>
      <c r="C25" s="1072"/>
      <c r="D25" s="843"/>
      <c r="E25" s="843"/>
      <c r="F25" s="844"/>
      <c r="G25" s="845"/>
      <c r="H25" s="843"/>
      <c r="I25" s="844"/>
      <c r="J25" s="845"/>
      <c r="K25" s="843"/>
      <c r="L25" s="844"/>
      <c r="M25" s="845"/>
      <c r="N25" s="843"/>
      <c r="O25" s="844"/>
      <c r="P25" s="845"/>
      <c r="Q25" s="843"/>
      <c r="R25" s="844"/>
    </row>
    <row r="26" spans="1:18" s="549" customFormat="1" ht="27" customHeight="1" x14ac:dyDescent="0.25">
      <c r="A26" s="547" t="s">
        <v>35</v>
      </c>
      <c r="B26" s="1335" t="s">
        <v>427</v>
      </c>
      <c r="C26" s="1335"/>
      <c r="D26" s="798">
        <f>SUM(D27:D31)</f>
        <v>26973</v>
      </c>
      <c r="E26" s="798">
        <f t="shared" ref="E26:R26" si="11">SUM(E27:E31)</f>
        <v>5</v>
      </c>
      <c r="F26" s="798">
        <f t="shared" si="11"/>
        <v>26978</v>
      </c>
      <c r="G26" s="798">
        <f>SUM(G27:G31)</f>
        <v>26242</v>
      </c>
      <c r="H26" s="798">
        <f t="shared" si="11"/>
        <v>5</v>
      </c>
      <c r="I26" s="798">
        <f t="shared" si="11"/>
        <v>26247</v>
      </c>
      <c r="J26" s="798">
        <f t="shared" si="11"/>
        <v>243</v>
      </c>
      <c r="K26" s="798">
        <f t="shared" si="11"/>
        <v>0</v>
      </c>
      <c r="L26" s="798">
        <f t="shared" si="11"/>
        <v>243</v>
      </c>
      <c r="M26" s="798">
        <f t="shared" si="11"/>
        <v>488</v>
      </c>
      <c r="N26" s="798">
        <f t="shared" si="11"/>
        <v>0</v>
      </c>
      <c r="O26" s="798">
        <f t="shared" si="11"/>
        <v>488</v>
      </c>
      <c r="P26" s="798">
        <f t="shared" si="11"/>
        <v>0</v>
      </c>
      <c r="Q26" s="798">
        <f t="shared" si="11"/>
        <v>0</v>
      </c>
      <c r="R26" s="798">
        <f t="shared" si="11"/>
        <v>0</v>
      </c>
    </row>
    <row r="27" spans="1:18" ht="25.5" x14ac:dyDescent="0.25">
      <c r="A27" s="551" t="s">
        <v>35</v>
      </c>
      <c r="B27" s="552"/>
      <c r="C27" s="553" t="s">
        <v>36</v>
      </c>
      <c r="D27" s="841">
        <f>+G27+J27+M27+P27</f>
        <v>23958</v>
      </c>
      <c r="E27" s="841">
        <f t="shared" ref="E27:F31" si="12">+H27+K27+N27+Q27</f>
        <v>5</v>
      </c>
      <c r="F27" s="841">
        <f t="shared" si="12"/>
        <v>23963</v>
      </c>
      <c r="G27" s="841">
        <v>23227</v>
      </c>
      <c r="H27" s="841">
        <v>5</v>
      </c>
      <c r="I27" s="841">
        <f>+G27+H27</f>
        <v>23232</v>
      </c>
      <c r="J27" s="841">
        <v>243</v>
      </c>
      <c r="K27" s="841"/>
      <c r="L27" s="841">
        <f>+J27+K27</f>
        <v>243</v>
      </c>
      <c r="M27" s="841">
        <v>488</v>
      </c>
      <c r="N27" s="841"/>
      <c r="O27" s="841">
        <f>+M27+N27</f>
        <v>488</v>
      </c>
      <c r="P27" s="841"/>
      <c r="Q27" s="841"/>
      <c r="R27" s="841">
        <f>+Q27+P27</f>
        <v>0</v>
      </c>
    </row>
    <row r="28" spans="1:18" ht="25.5" x14ac:dyDescent="0.25">
      <c r="A28" s="551" t="s">
        <v>35</v>
      </c>
      <c r="B28" s="552"/>
      <c r="C28" s="553" t="s">
        <v>37</v>
      </c>
      <c r="D28" s="841">
        <f t="shared" ref="D28:D31" si="13">+G28+J28+M28+P28</f>
        <v>2682</v>
      </c>
      <c r="E28" s="841">
        <f t="shared" si="12"/>
        <v>0</v>
      </c>
      <c r="F28" s="841">
        <f t="shared" si="12"/>
        <v>2682</v>
      </c>
      <c r="G28" s="841">
        <v>2682</v>
      </c>
      <c r="H28" s="841"/>
      <c r="I28" s="841">
        <f t="shared" ref="I28:I31" si="14">+G28+H28</f>
        <v>2682</v>
      </c>
      <c r="J28" s="841"/>
      <c r="K28" s="841"/>
      <c r="L28" s="841">
        <f t="shared" ref="L28:L31" si="15">+J28+K28</f>
        <v>0</v>
      </c>
      <c r="M28" s="841"/>
      <c r="N28" s="841"/>
      <c r="O28" s="841">
        <f t="shared" ref="O28:O31" si="16">+M28+N28</f>
        <v>0</v>
      </c>
      <c r="P28" s="841"/>
      <c r="Q28" s="841"/>
      <c r="R28" s="841">
        <f t="shared" ref="R28:R31" si="17">+Q28+P28</f>
        <v>0</v>
      </c>
    </row>
    <row r="29" spans="1:18" ht="25.5" x14ac:dyDescent="0.25">
      <c r="A29" s="551" t="s">
        <v>35</v>
      </c>
      <c r="B29" s="552"/>
      <c r="C29" s="553" t="s">
        <v>38</v>
      </c>
      <c r="D29" s="841">
        <f t="shared" si="13"/>
        <v>10</v>
      </c>
      <c r="E29" s="841">
        <f t="shared" si="12"/>
        <v>0</v>
      </c>
      <c r="F29" s="841">
        <f t="shared" si="12"/>
        <v>10</v>
      </c>
      <c r="G29" s="841">
        <v>10</v>
      </c>
      <c r="H29" s="841"/>
      <c r="I29" s="841">
        <f t="shared" si="14"/>
        <v>10</v>
      </c>
      <c r="J29" s="841"/>
      <c r="K29" s="841"/>
      <c r="L29" s="841">
        <f t="shared" si="15"/>
        <v>0</v>
      </c>
      <c r="M29" s="841"/>
      <c r="N29" s="841"/>
      <c r="O29" s="841">
        <f t="shared" si="16"/>
        <v>0</v>
      </c>
      <c r="P29" s="841"/>
      <c r="Q29" s="841"/>
      <c r="R29" s="841">
        <f t="shared" si="17"/>
        <v>0</v>
      </c>
    </row>
    <row r="30" spans="1:18" ht="62.25" customHeight="1" x14ac:dyDescent="0.25">
      <c r="A30" s="551" t="s">
        <v>35</v>
      </c>
      <c r="B30" s="552"/>
      <c r="C30" s="553" t="s">
        <v>39</v>
      </c>
      <c r="D30" s="841">
        <f t="shared" si="13"/>
        <v>0</v>
      </c>
      <c r="E30" s="841">
        <f t="shared" si="12"/>
        <v>0</v>
      </c>
      <c r="F30" s="841">
        <f t="shared" si="12"/>
        <v>0</v>
      </c>
      <c r="G30" s="841"/>
      <c r="H30" s="841"/>
      <c r="I30" s="841">
        <f t="shared" si="14"/>
        <v>0</v>
      </c>
      <c r="J30" s="841"/>
      <c r="K30" s="841"/>
      <c r="L30" s="841">
        <f t="shared" si="15"/>
        <v>0</v>
      </c>
      <c r="M30" s="841"/>
      <c r="N30" s="841"/>
      <c r="O30" s="841">
        <f t="shared" si="16"/>
        <v>0</v>
      </c>
      <c r="P30" s="841"/>
      <c r="Q30" s="841"/>
      <c r="R30" s="841">
        <f t="shared" si="17"/>
        <v>0</v>
      </c>
    </row>
    <row r="31" spans="1:18" ht="25.5" customHeight="1" x14ac:dyDescent="0.25">
      <c r="A31" s="551" t="s">
        <v>35</v>
      </c>
      <c r="B31" s="552"/>
      <c r="C31" s="553" t="s">
        <v>40</v>
      </c>
      <c r="D31" s="841">
        <f t="shared" si="13"/>
        <v>323</v>
      </c>
      <c r="E31" s="841">
        <f t="shared" si="12"/>
        <v>0</v>
      </c>
      <c r="F31" s="841">
        <f t="shared" si="12"/>
        <v>323</v>
      </c>
      <c r="G31" s="841">
        <v>323</v>
      </c>
      <c r="H31" s="841"/>
      <c r="I31" s="841">
        <f t="shared" si="14"/>
        <v>323</v>
      </c>
      <c r="J31" s="841"/>
      <c r="K31" s="841"/>
      <c r="L31" s="841">
        <f t="shared" si="15"/>
        <v>0</v>
      </c>
      <c r="M31" s="841"/>
      <c r="N31" s="841"/>
      <c r="O31" s="841">
        <f t="shared" si="16"/>
        <v>0</v>
      </c>
      <c r="P31" s="841"/>
      <c r="Q31" s="841"/>
      <c r="R31" s="841">
        <f t="shared" si="17"/>
        <v>0</v>
      </c>
    </row>
    <row r="32" spans="1:18" x14ac:dyDescent="0.25">
      <c r="A32" s="554"/>
      <c r="B32" s="555"/>
      <c r="C32" s="556"/>
      <c r="D32" s="846"/>
      <c r="E32" s="846"/>
      <c r="F32" s="846"/>
      <c r="G32" s="846"/>
      <c r="H32" s="846"/>
      <c r="I32" s="846"/>
      <c r="J32" s="846"/>
      <c r="K32" s="846"/>
      <c r="L32" s="846"/>
      <c r="M32" s="846"/>
      <c r="N32" s="846"/>
      <c r="O32" s="846"/>
      <c r="P32" s="846"/>
      <c r="Q32" s="846"/>
      <c r="R32" s="846"/>
    </row>
    <row r="33" spans="1:18" x14ac:dyDescent="0.25">
      <c r="A33" s="546" t="s">
        <v>42</v>
      </c>
      <c r="B33" s="1332" t="s">
        <v>41</v>
      </c>
      <c r="C33" s="1332"/>
      <c r="D33" s="841">
        <f>+G33+J33+M33+P33</f>
        <v>294</v>
      </c>
      <c r="E33" s="841">
        <f t="shared" ref="E33:F35" si="18">+H33+K33+N33+Q33</f>
        <v>-87</v>
      </c>
      <c r="F33" s="841">
        <f t="shared" si="18"/>
        <v>207</v>
      </c>
      <c r="G33" s="841">
        <v>294</v>
      </c>
      <c r="H33" s="841">
        <f>-79+23+38+20-14-75</f>
        <v>-87</v>
      </c>
      <c r="I33" s="842">
        <f>+H33+G33</f>
        <v>207</v>
      </c>
      <c r="J33" s="841"/>
      <c r="K33" s="841"/>
      <c r="L33" s="841">
        <f>+J33+K33</f>
        <v>0</v>
      </c>
      <c r="M33" s="841"/>
      <c r="N33" s="841"/>
      <c r="O33" s="841">
        <f>+N33+M33</f>
        <v>0</v>
      </c>
      <c r="P33" s="841"/>
      <c r="Q33" s="841"/>
      <c r="R33" s="841">
        <f>+Q33+P33</f>
        <v>0</v>
      </c>
    </row>
    <row r="34" spans="1:18" x14ac:dyDescent="0.25">
      <c r="A34" s="546" t="s">
        <v>44</v>
      </c>
      <c r="B34" s="1332" t="s">
        <v>43</v>
      </c>
      <c r="C34" s="1332"/>
      <c r="D34" s="841">
        <f t="shared" ref="D34:D35" si="19">+G34+J34+M34+P34</f>
        <v>1249</v>
      </c>
      <c r="E34" s="841">
        <f t="shared" si="18"/>
        <v>104</v>
      </c>
      <c r="F34" s="841">
        <f t="shared" si="18"/>
        <v>1353</v>
      </c>
      <c r="G34" s="841">
        <v>993</v>
      </c>
      <c r="H34" s="841">
        <v>-105</v>
      </c>
      <c r="I34" s="842">
        <f t="shared" ref="I34:I35" si="20">+H34+G34</f>
        <v>888</v>
      </c>
      <c r="J34" s="841">
        <v>256</v>
      </c>
      <c r="K34" s="841">
        <v>209</v>
      </c>
      <c r="L34" s="1012">
        <f t="shared" ref="L34:L35" si="21">+J34+K34</f>
        <v>465</v>
      </c>
      <c r="M34" s="841"/>
      <c r="N34" s="841"/>
      <c r="O34" s="841">
        <f t="shared" ref="O34:O35" si="22">+N34+M34</f>
        <v>0</v>
      </c>
      <c r="P34" s="841"/>
      <c r="Q34" s="841"/>
      <c r="R34" s="841">
        <f t="shared" ref="R34:R35" si="23">+Q34+P34</f>
        <v>0</v>
      </c>
    </row>
    <row r="35" spans="1:18" x14ac:dyDescent="0.25">
      <c r="A35" s="546" t="s">
        <v>46</v>
      </c>
      <c r="B35" s="1332" t="s">
        <v>45</v>
      </c>
      <c r="C35" s="1332"/>
      <c r="D35" s="841">
        <f t="shared" si="19"/>
        <v>0</v>
      </c>
      <c r="E35" s="841">
        <f t="shared" si="18"/>
        <v>0</v>
      </c>
      <c r="F35" s="841">
        <f t="shared" si="18"/>
        <v>0</v>
      </c>
      <c r="G35" s="841"/>
      <c r="H35" s="841"/>
      <c r="I35" s="841">
        <f t="shared" si="20"/>
        <v>0</v>
      </c>
      <c r="J35" s="841"/>
      <c r="K35" s="841"/>
      <c r="L35" s="841">
        <f t="shared" si="21"/>
        <v>0</v>
      </c>
      <c r="M35" s="841"/>
      <c r="N35" s="841"/>
      <c r="O35" s="841">
        <f t="shared" si="22"/>
        <v>0</v>
      </c>
      <c r="P35" s="841"/>
      <c r="Q35" s="841"/>
      <c r="R35" s="841">
        <f t="shared" si="23"/>
        <v>0</v>
      </c>
    </row>
    <row r="36" spans="1:18" s="549" customFormat="1" x14ac:dyDescent="0.25">
      <c r="A36" s="547" t="s">
        <v>47</v>
      </c>
      <c r="B36" s="1335" t="s">
        <v>429</v>
      </c>
      <c r="C36" s="1335"/>
      <c r="D36" s="798">
        <f>SUM(D33:D35)</f>
        <v>1543</v>
      </c>
      <c r="E36" s="798">
        <f t="shared" ref="E36:R36" si="24">SUM(E33:E35)</f>
        <v>17</v>
      </c>
      <c r="F36" s="798">
        <f t="shared" si="24"/>
        <v>1560</v>
      </c>
      <c r="G36" s="798">
        <f t="shared" si="24"/>
        <v>1287</v>
      </c>
      <c r="H36" s="798">
        <f t="shared" si="24"/>
        <v>-192</v>
      </c>
      <c r="I36" s="798">
        <f t="shared" si="24"/>
        <v>1095</v>
      </c>
      <c r="J36" s="798">
        <f>SUM(J33:J35)</f>
        <v>256</v>
      </c>
      <c r="K36" s="798">
        <f t="shared" si="24"/>
        <v>209</v>
      </c>
      <c r="L36" s="798">
        <f t="shared" si="24"/>
        <v>465</v>
      </c>
      <c r="M36" s="798">
        <f t="shared" si="24"/>
        <v>0</v>
      </c>
      <c r="N36" s="798">
        <f t="shared" si="24"/>
        <v>0</v>
      </c>
      <c r="O36" s="798">
        <f t="shared" si="24"/>
        <v>0</v>
      </c>
      <c r="P36" s="798">
        <f t="shared" si="24"/>
        <v>0</v>
      </c>
      <c r="Q36" s="798">
        <f t="shared" si="24"/>
        <v>0</v>
      </c>
      <c r="R36" s="798">
        <f t="shared" si="24"/>
        <v>0</v>
      </c>
    </row>
    <row r="37" spans="1:18" x14ac:dyDescent="0.25">
      <c r="A37" s="546" t="s">
        <v>49</v>
      </c>
      <c r="B37" s="1332" t="s">
        <v>48</v>
      </c>
      <c r="C37" s="1332"/>
      <c r="D37" s="841">
        <f>+G37+J37+M37+P37</f>
        <v>113</v>
      </c>
      <c r="E37" s="841">
        <f t="shared" ref="E37:F38" si="25">+H37+K37+N37+Q37</f>
        <v>-53</v>
      </c>
      <c r="F37" s="841">
        <f t="shared" si="25"/>
        <v>60</v>
      </c>
      <c r="G37" s="841"/>
      <c r="H37" s="841">
        <f>20-20</f>
        <v>0</v>
      </c>
      <c r="I37" s="841">
        <f>+H37+G37</f>
        <v>0</v>
      </c>
      <c r="J37" s="841">
        <v>113</v>
      </c>
      <c r="K37" s="841">
        <v>-53</v>
      </c>
      <c r="L37" s="842">
        <f>+J37+K37</f>
        <v>60</v>
      </c>
      <c r="M37" s="841"/>
      <c r="N37" s="841"/>
      <c r="O37" s="841">
        <f>+N37+M37</f>
        <v>0</v>
      </c>
      <c r="P37" s="841"/>
      <c r="Q37" s="841"/>
      <c r="R37" s="841">
        <f>+Q37+P37</f>
        <v>0</v>
      </c>
    </row>
    <row r="38" spans="1:18" x14ac:dyDescent="0.25">
      <c r="A38" s="546" t="s">
        <v>51</v>
      </c>
      <c r="B38" s="1332" t="s">
        <v>50</v>
      </c>
      <c r="C38" s="1332"/>
      <c r="D38" s="841">
        <f>+G38+J38+M38+P38</f>
        <v>50</v>
      </c>
      <c r="E38" s="841">
        <f t="shared" si="25"/>
        <v>35</v>
      </c>
      <c r="F38" s="841">
        <f t="shared" si="25"/>
        <v>85</v>
      </c>
      <c r="G38" s="841"/>
      <c r="H38" s="841"/>
      <c r="I38" s="841">
        <f>+H38+G38</f>
        <v>0</v>
      </c>
      <c r="J38" s="841">
        <v>50</v>
      </c>
      <c r="K38" s="841">
        <v>35</v>
      </c>
      <c r="L38" s="841">
        <f>+J38+K38</f>
        <v>85</v>
      </c>
      <c r="M38" s="841"/>
      <c r="N38" s="841"/>
      <c r="O38" s="841">
        <f>+N38+M38</f>
        <v>0</v>
      </c>
      <c r="P38" s="841"/>
      <c r="Q38" s="841"/>
      <c r="R38" s="841">
        <f>+Q38+P38</f>
        <v>0</v>
      </c>
    </row>
    <row r="39" spans="1:18" s="549" customFormat="1" x14ac:dyDescent="0.25">
      <c r="A39" s="547" t="s">
        <v>52</v>
      </c>
      <c r="B39" s="1335" t="s">
        <v>430</v>
      </c>
      <c r="C39" s="1335"/>
      <c r="D39" s="798">
        <f t="shared" ref="D39:F39" si="26">SUM(D37:D38)</f>
        <v>163</v>
      </c>
      <c r="E39" s="798">
        <f t="shared" si="26"/>
        <v>-18</v>
      </c>
      <c r="F39" s="798">
        <f t="shared" si="26"/>
        <v>145</v>
      </c>
      <c r="G39" s="798">
        <f t="shared" ref="G39:R39" si="27">+G38+G37</f>
        <v>0</v>
      </c>
      <c r="H39" s="798">
        <f t="shared" si="27"/>
        <v>0</v>
      </c>
      <c r="I39" s="798">
        <f t="shared" si="27"/>
        <v>0</v>
      </c>
      <c r="J39" s="798">
        <f t="shared" si="27"/>
        <v>163</v>
      </c>
      <c r="K39" s="798">
        <f t="shared" si="27"/>
        <v>-18</v>
      </c>
      <c r="L39" s="798">
        <f t="shared" si="27"/>
        <v>145</v>
      </c>
      <c r="M39" s="798">
        <f t="shared" si="27"/>
        <v>0</v>
      </c>
      <c r="N39" s="798">
        <f t="shared" si="27"/>
        <v>0</v>
      </c>
      <c r="O39" s="798">
        <f t="shared" si="27"/>
        <v>0</v>
      </c>
      <c r="P39" s="798">
        <f t="shared" si="27"/>
        <v>0</v>
      </c>
      <c r="Q39" s="798">
        <f t="shared" si="27"/>
        <v>0</v>
      </c>
      <c r="R39" s="798">
        <f t="shared" si="27"/>
        <v>0</v>
      </c>
    </row>
    <row r="40" spans="1:18" x14ac:dyDescent="0.25">
      <c r="A40" s="546" t="s">
        <v>54</v>
      </c>
      <c r="B40" s="1332" t="s">
        <v>53</v>
      </c>
      <c r="C40" s="1332"/>
      <c r="D40" s="841">
        <f>+G40+J40+M40+P40</f>
        <v>0</v>
      </c>
      <c r="E40" s="841">
        <f t="shared" ref="E40:F48" si="28">+H40+K40+N40+Q40</f>
        <v>0</v>
      </c>
      <c r="F40" s="841">
        <f t="shared" si="28"/>
        <v>0</v>
      </c>
      <c r="G40" s="841"/>
      <c r="H40" s="841"/>
      <c r="I40" s="841">
        <f>+H40+G40</f>
        <v>0</v>
      </c>
      <c r="J40" s="841"/>
      <c r="K40" s="841"/>
      <c r="L40" s="841">
        <f>+J40+K40</f>
        <v>0</v>
      </c>
      <c r="M40" s="841"/>
      <c r="N40" s="841"/>
      <c r="O40" s="841">
        <f>+N40+M40</f>
        <v>0</v>
      </c>
      <c r="P40" s="841"/>
      <c r="Q40" s="841"/>
      <c r="R40" s="841">
        <f>+Q40+P40</f>
        <v>0</v>
      </c>
    </row>
    <row r="41" spans="1:18" x14ac:dyDescent="0.25">
      <c r="A41" s="546" t="s">
        <v>56</v>
      </c>
      <c r="B41" s="1332" t="s">
        <v>55</v>
      </c>
      <c r="C41" s="1332"/>
      <c r="D41" s="841">
        <f t="shared" ref="D41:D48" si="29">+G41+J41+M41+P41</f>
        <v>19849</v>
      </c>
      <c r="E41" s="841">
        <f t="shared" si="28"/>
        <v>4251</v>
      </c>
      <c r="F41" s="841">
        <f t="shared" si="28"/>
        <v>24100</v>
      </c>
      <c r="G41" s="841"/>
      <c r="H41" s="841"/>
      <c r="I41" s="841">
        <f t="shared" ref="I41:I48" si="30">+H41+G41</f>
        <v>0</v>
      </c>
      <c r="J41" s="125"/>
      <c r="K41" s="841"/>
      <c r="L41" s="841">
        <f t="shared" ref="L41:L48" si="31">+J41+K41</f>
        <v>0</v>
      </c>
      <c r="M41" s="841"/>
      <c r="N41" s="841"/>
      <c r="O41" s="841">
        <f t="shared" ref="O41:O48" si="32">+N41+M41</f>
        <v>0</v>
      </c>
      <c r="P41" s="125">
        <v>19849</v>
      </c>
      <c r="Q41" s="841">
        <f>1555+2696</f>
        <v>4251</v>
      </c>
      <c r="R41" s="841">
        <f t="shared" ref="R41:R48" si="33">+Q41+P41</f>
        <v>24100</v>
      </c>
    </row>
    <row r="42" spans="1:18" x14ac:dyDescent="0.25">
      <c r="A42" s="546" t="s">
        <v>57</v>
      </c>
      <c r="B42" s="1332" t="s">
        <v>431</v>
      </c>
      <c r="C42" s="1332"/>
      <c r="D42" s="841">
        <f t="shared" si="29"/>
        <v>0</v>
      </c>
      <c r="E42" s="841">
        <f t="shared" si="28"/>
        <v>0</v>
      </c>
      <c r="F42" s="841">
        <f t="shared" si="28"/>
        <v>0</v>
      </c>
      <c r="G42" s="841"/>
      <c r="H42" s="841"/>
      <c r="I42" s="841">
        <f t="shared" si="30"/>
        <v>0</v>
      </c>
      <c r="J42" s="841"/>
      <c r="K42" s="841"/>
      <c r="L42" s="841">
        <f t="shared" si="31"/>
        <v>0</v>
      </c>
      <c r="M42" s="841"/>
      <c r="N42" s="841"/>
      <c r="O42" s="841">
        <f t="shared" si="32"/>
        <v>0</v>
      </c>
      <c r="P42" s="841"/>
      <c r="Q42" s="841"/>
      <c r="R42" s="841">
        <f t="shared" si="33"/>
        <v>0</v>
      </c>
    </row>
    <row r="43" spans="1:18" x14ac:dyDescent="0.25">
      <c r="A43" s="546" t="s">
        <v>59</v>
      </c>
      <c r="B43" s="1332" t="s">
        <v>58</v>
      </c>
      <c r="C43" s="1332"/>
      <c r="D43" s="841">
        <f t="shared" si="29"/>
        <v>0</v>
      </c>
      <c r="E43" s="841">
        <f t="shared" si="28"/>
        <v>0</v>
      </c>
      <c r="F43" s="841">
        <f t="shared" si="28"/>
        <v>0</v>
      </c>
      <c r="G43" s="841"/>
      <c r="H43" s="841"/>
      <c r="I43" s="841">
        <f t="shared" si="30"/>
        <v>0</v>
      </c>
      <c r="J43" s="841"/>
      <c r="K43" s="841"/>
      <c r="L43" s="841">
        <f t="shared" si="31"/>
        <v>0</v>
      </c>
      <c r="M43" s="841"/>
      <c r="N43" s="841"/>
      <c r="O43" s="841">
        <f t="shared" si="32"/>
        <v>0</v>
      </c>
      <c r="P43" s="841"/>
      <c r="Q43" s="841"/>
      <c r="R43" s="841">
        <f t="shared" si="33"/>
        <v>0</v>
      </c>
    </row>
    <row r="44" spans="1:18" x14ac:dyDescent="0.25">
      <c r="A44" s="546" t="s">
        <v>60</v>
      </c>
      <c r="B44" s="1332" t="s">
        <v>166</v>
      </c>
      <c r="C44" s="1332"/>
      <c r="D44" s="841">
        <f t="shared" si="29"/>
        <v>0</v>
      </c>
      <c r="E44" s="841">
        <f t="shared" si="28"/>
        <v>0</v>
      </c>
      <c r="F44" s="841">
        <f t="shared" si="28"/>
        <v>0</v>
      </c>
      <c r="G44" s="841"/>
      <c r="H44" s="841"/>
      <c r="I44" s="841">
        <f t="shared" si="30"/>
        <v>0</v>
      </c>
      <c r="J44" s="841"/>
      <c r="K44" s="841"/>
      <c r="L44" s="841">
        <f t="shared" si="31"/>
        <v>0</v>
      </c>
      <c r="M44" s="841"/>
      <c r="N44" s="841"/>
      <c r="O44" s="841">
        <f t="shared" si="32"/>
        <v>0</v>
      </c>
      <c r="P44" s="841"/>
      <c r="Q44" s="841"/>
      <c r="R44" s="841">
        <f t="shared" si="33"/>
        <v>0</v>
      </c>
    </row>
    <row r="45" spans="1:18" ht="25.5" x14ac:dyDescent="0.25">
      <c r="A45" s="551" t="s">
        <v>60</v>
      </c>
      <c r="B45" s="552"/>
      <c r="C45" s="553" t="s">
        <v>61</v>
      </c>
      <c r="D45" s="841">
        <f t="shared" si="29"/>
        <v>0</v>
      </c>
      <c r="E45" s="841">
        <f t="shared" si="28"/>
        <v>0</v>
      </c>
      <c r="F45" s="841">
        <f t="shared" si="28"/>
        <v>0</v>
      </c>
      <c r="G45" s="841"/>
      <c r="H45" s="841"/>
      <c r="I45" s="841">
        <f t="shared" si="30"/>
        <v>0</v>
      </c>
      <c r="J45" s="841"/>
      <c r="K45" s="841"/>
      <c r="L45" s="841">
        <f t="shared" si="31"/>
        <v>0</v>
      </c>
      <c r="M45" s="841"/>
      <c r="N45" s="841"/>
      <c r="O45" s="841">
        <f t="shared" si="32"/>
        <v>0</v>
      </c>
      <c r="P45" s="841"/>
      <c r="Q45" s="841"/>
      <c r="R45" s="841">
        <f t="shared" si="33"/>
        <v>0</v>
      </c>
    </row>
    <row r="46" spans="1:18" ht="25.5" x14ac:dyDescent="0.25">
      <c r="A46" s="551" t="s">
        <v>60</v>
      </c>
      <c r="B46" s="552"/>
      <c r="C46" s="553" t="s">
        <v>168</v>
      </c>
      <c r="D46" s="841">
        <f t="shared" si="29"/>
        <v>0</v>
      </c>
      <c r="E46" s="841">
        <f t="shared" si="28"/>
        <v>0</v>
      </c>
      <c r="F46" s="841">
        <f t="shared" si="28"/>
        <v>0</v>
      </c>
      <c r="G46" s="841"/>
      <c r="H46" s="841"/>
      <c r="I46" s="841">
        <f t="shared" si="30"/>
        <v>0</v>
      </c>
      <c r="J46" s="841"/>
      <c r="K46" s="841"/>
      <c r="L46" s="841">
        <f t="shared" si="31"/>
        <v>0</v>
      </c>
      <c r="M46" s="841"/>
      <c r="N46" s="841"/>
      <c r="O46" s="841">
        <f t="shared" si="32"/>
        <v>0</v>
      </c>
      <c r="P46" s="841"/>
      <c r="Q46" s="841"/>
      <c r="R46" s="841">
        <f t="shared" si="33"/>
        <v>0</v>
      </c>
    </row>
    <row r="47" spans="1:18" ht="28.5" customHeight="1" x14ac:dyDescent="0.25">
      <c r="A47" s="546" t="s">
        <v>63</v>
      </c>
      <c r="B47" s="1332" t="s">
        <v>432</v>
      </c>
      <c r="C47" s="1332"/>
      <c r="D47" s="841">
        <f t="shared" si="29"/>
        <v>550</v>
      </c>
      <c r="E47" s="841">
        <f t="shared" si="28"/>
        <v>160</v>
      </c>
      <c r="F47" s="841">
        <f t="shared" si="28"/>
        <v>710</v>
      </c>
      <c r="G47" s="841">
        <v>250</v>
      </c>
      <c r="H47" s="841"/>
      <c r="I47" s="841">
        <f t="shared" si="30"/>
        <v>250</v>
      </c>
      <c r="J47" s="841"/>
      <c r="K47" s="841"/>
      <c r="L47" s="841">
        <f t="shared" si="31"/>
        <v>0</v>
      </c>
      <c r="M47" s="841">
        <v>300</v>
      </c>
      <c r="N47" s="841">
        <f>110+50</f>
        <v>160</v>
      </c>
      <c r="O47" s="841">
        <f t="shared" si="32"/>
        <v>460</v>
      </c>
      <c r="P47" s="841"/>
      <c r="Q47" s="841"/>
      <c r="R47" s="841">
        <f t="shared" si="33"/>
        <v>0</v>
      </c>
    </row>
    <row r="48" spans="1:18" x14ac:dyDescent="0.25">
      <c r="A48" s="546" t="s">
        <v>65</v>
      </c>
      <c r="B48" s="1332" t="s">
        <v>433</v>
      </c>
      <c r="C48" s="1332"/>
      <c r="D48" s="841">
        <f t="shared" si="29"/>
        <v>634</v>
      </c>
      <c r="E48" s="841">
        <f t="shared" si="28"/>
        <v>99</v>
      </c>
      <c r="F48" s="842">
        <f t="shared" si="28"/>
        <v>733</v>
      </c>
      <c r="G48" s="841">
        <v>49</v>
      </c>
      <c r="H48" s="841">
        <v>-41</v>
      </c>
      <c r="I48" s="842">
        <f t="shared" si="30"/>
        <v>8</v>
      </c>
      <c r="J48" s="841">
        <v>585</v>
      </c>
      <c r="K48" s="841">
        <v>140</v>
      </c>
      <c r="L48" s="842">
        <f t="shared" si="31"/>
        <v>725</v>
      </c>
      <c r="M48" s="841"/>
      <c r="N48" s="841"/>
      <c r="O48" s="841">
        <f t="shared" si="32"/>
        <v>0</v>
      </c>
      <c r="P48" s="841"/>
      <c r="Q48" s="841"/>
      <c r="R48" s="841">
        <f t="shared" si="33"/>
        <v>0</v>
      </c>
    </row>
    <row r="49" spans="1:20" s="549" customFormat="1" x14ac:dyDescent="0.25">
      <c r="A49" s="547" t="s">
        <v>66</v>
      </c>
      <c r="B49" s="1335" t="s">
        <v>434</v>
      </c>
      <c r="C49" s="1335"/>
      <c r="D49" s="798">
        <f t="shared" ref="D49:F49" si="34">SUM(D40:D48)</f>
        <v>21033</v>
      </c>
      <c r="E49" s="798">
        <f t="shared" si="34"/>
        <v>4510</v>
      </c>
      <c r="F49" s="798">
        <f t="shared" si="34"/>
        <v>25543</v>
      </c>
      <c r="G49" s="798">
        <f t="shared" ref="G49:R49" si="35">SUM(G40:G48)</f>
        <v>299</v>
      </c>
      <c r="H49" s="798">
        <f t="shared" si="35"/>
        <v>-41</v>
      </c>
      <c r="I49" s="798">
        <f t="shared" si="35"/>
        <v>258</v>
      </c>
      <c r="J49" s="798">
        <f>SUM(J40:J48)</f>
        <v>585</v>
      </c>
      <c r="K49" s="798">
        <f t="shared" si="35"/>
        <v>140</v>
      </c>
      <c r="L49" s="798">
        <f t="shared" si="35"/>
        <v>725</v>
      </c>
      <c r="M49" s="798">
        <f t="shared" si="35"/>
        <v>300</v>
      </c>
      <c r="N49" s="798">
        <f t="shared" si="35"/>
        <v>160</v>
      </c>
      <c r="O49" s="798">
        <f t="shared" si="35"/>
        <v>460</v>
      </c>
      <c r="P49" s="798">
        <f t="shared" si="35"/>
        <v>19849</v>
      </c>
      <c r="Q49" s="798">
        <f t="shared" si="35"/>
        <v>4251</v>
      </c>
      <c r="R49" s="798">
        <f t="shared" si="35"/>
        <v>24100</v>
      </c>
    </row>
    <row r="50" spans="1:20" x14ac:dyDescent="0.25">
      <c r="A50" s="546" t="s">
        <v>68</v>
      </c>
      <c r="B50" s="1332" t="s">
        <v>67</v>
      </c>
      <c r="C50" s="1332"/>
      <c r="D50" s="841">
        <f>G50</f>
        <v>50</v>
      </c>
      <c r="E50" s="841">
        <f t="shared" ref="E50:F51" si="36">H50</f>
        <v>0</v>
      </c>
      <c r="F50" s="841">
        <f t="shared" si="36"/>
        <v>50</v>
      </c>
      <c r="G50" s="841">
        <v>50</v>
      </c>
      <c r="H50" s="841"/>
      <c r="I50" s="841">
        <f>+G50+H50</f>
        <v>50</v>
      </c>
      <c r="J50" s="841"/>
      <c r="K50" s="841"/>
      <c r="L50" s="841">
        <f>+J50+K50</f>
        <v>0</v>
      </c>
      <c r="M50" s="841"/>
      <c r="N50" s="841"/>
      <c r="O50" s="841">
        <f>+N50+M50</f>
        <v>0</v>
      </c>
      <c r="P50" s="841"/>
      <c r="Q50" s="841"/>
      <c r="R50" s="841">
        <f>+Q50+P50</f>
        <v>0</v>
      </c>
    </row>
    <row r="51" spans="1:20" x14ac:dyDescent="0.25">
      <c r="A51" s="546" t="s">
        <v>70</v>
      </c>
      <c r="B51" s="1332" t="s">
        <v>69</v>
      </c>
      <c r="C51" s="1332"/>
      <c r="D51" s="841">
        <f>G51</f>
        <v>0</v>
      </c>
      <c r="E51" s="841">
        <f t="shared" si="36"/>
        <v>0</v>
      </c>
      <c r="F51" s="841">
        <f t="shared" si="36"/>
        <v>0</v>
      </c>
      <c r="G51" s="841"/>
      <c r="H51" s="841"/>
      <c r="I51" s="841">
        <f>+G51+H51</f>
        <v>0</v>
      </c>
      <c r="J51" s="841"/>
      <c r="K51" s="841"/>
      <c r="L51" s="841">
        <f>+J51+K51</f>
        <v>0</v>
      </c>
      <c r="M51" s="841"/>
      <c r="N51" s="841"/>
      <c r="O51" s="841">
        <f>+N51+M51</f>
        <v>0</v>
      </c>
      <c r="P51" s="841"/>
      <c r="Q51" s="841"/>
      <c r="R51" s="841">
        <f>+Q51+P51</f>
        <v>0</v>
      </c>
    </row>
    <row r="52" spans="1:20" s="548" customFormat="1" ht="26.25" customHeight="1" x14ac:dyDescent="0.25">
      <c r="A52" s="547" t="s">
        <v>71</v>
      </c>
      <c r="B52" s="1335" t="s">
        <v>155</v>
      </c>
      <c r="C52" s="1335"/>
      <c r="D52" s="798">
        <f>SUM(D50:D51)</f>
        <v>50</v>
      </c>
      <c r="E52" s="798">
        <f t="shared" ref="E52:R52" si="37">+E51+E50</f>
        <v>0</v>
      </c>
      <c r="F52" s="798">
        <f t="shared" si="37"/>
        <v>50</v>
      </c>
      <c r="G52" s="798">
        <f t="shared" si="37"/>
        <v>50</v>
      </c>
      <c r="H52" s="798">
        <f t="shared" si="37"/>
        <v>0</v>
      </c>
      <c r="I52" s="798">
        <f t="shared" si="37"/>
        <v>50</v>
      </c>
      <c r="J52" s="798">
        <f t="shared" si="37"/>
        <v>0</v>
      </c>
      <c r="K52" s="798">
        <f t="shared" si="37"/>
        <v>0</v>
      </c>
      <c r="L52" s="798">
        <f t="shared" si="37"/>
        <v>0</v>
      </c>
      <c r="M52" s="798">
        <f t="shared" si="37"/>
        <v>0</v>
      </c>
      <c r="N52" s="798">
        <f t="shared" si="37"/>
        <v>0</v>
      </c>
      <c r="O52" s="798">
        <f t="shared" si="37"/>
        <v>0</v>
      </c>
      <c r="P52" s="798">
        <f t="shared" si="37"/>
        <v>0</v>
      </c>
      <c r="Q52" s="798">
        <f t="shared" si="37"/>
        <v>0</v>
      </c>
      <c r="R52" s="798">
        <f t="shared" si="37"/>
        <v>0</v>
      </c>
    </row>
    <row r="53" spans="1:20" ht="25.5" customHeight="1" x14ac:dyDescent="0.25">
      <c r="A53" s="546" t="s">
        <v>73</v>
      </c>
      <c r="B53" s="1332" t="s">
        <v>72</v>
      </c>
      <c r="C53" s="1332"/>
      <c r="D53" s="841">
        <f>+G53+J53+M53+P53</f>
        <v>5583</v>
      </c>
      <c r="E53" s="841">
        <f t="shared" ref="E53:F57" si="38">+H53+K53+N53+Q53</f>
        <v>1246</v>
      </c>
      <c r="F53" s="841">
        <f t="shared" si="38"/>
        <v>6829</v>
      </c>
      <c r="G53" s="841">
        <v>552</v>
      </c>
      <c r="H53" s="841">
        <f>-21-2-35+40-140-40+2-219</f>
        <v>-415</v>
      </c>
      <c r="I53" s="842">
        <f>+G53+H53</f>
        <v>137</v>
      </c>
      <c r="J53" s="841">
        <v>114</v>
      </c>
      <c r="K53" s="841">
        <f>35-40-5+80</f>
        <v>70</v>
      </c>
      <c r="L53" s="842">
        <f>+K53+J53</f>
        <v>184</v>
      </c>
      <c r="M53" s="841"/>
      <c r="N53" s="841"/>
      <c r="O53" s="841">
        <f>+M53+N53</f>
        <v>0</v>
      </c>
      <c r="P53" s="125">
        <v>4917</v>
      </c>
      <c r="Q53" s="841">
        <f>863+152+576</f>
        <v>1591</v>
      </c>
      <c r="R53" s="841">
        <f>+Q53+P53</f>
        <v>6508</v>
      </c>
    </row>
    <row r="54" spans="1:20" x14ac:dyDescent="0.25">
      <c r="A54" s="546" t="s">
        <v>75</v>
      </c>
      <c r="B54" s="1332" t="s">
        <v>435</v>
      </c>
      <c r="C54" s="1332"/>
      <c r="D54" s="841">
        <f t="shared" ref="D54:D57" si="39">+G54+J54+M54+P54</f>
        <v>1331</v>
      </c>
      <c r="E54" s="841">
        <f t="shared" si="38"/>
        <v>-575</v>
      </c>
      <c r="F54" s="841">
        <f t="shared" si="38"/>
        <v>756</v>
      </c>
      <c r="G54" s="841"/>
      <c r="H54" s="841"/>
      <c r="I54" s="841">
        <f t="shared" ref="I54:I56" si="40">+G54+H54</f>
        <v>0</v>
      </c>
      <c r="J54" s="841"/>
      <c r="K54" s="841"/>
      <c r="L54" s="841">
        <f t="shared" ref="L54:L57" si="41">+K54+J54</f>
        <v>0</v>
      </c>
      <c r="M54" s="841"/>
      <c r="N54" s="841"/>
      <c r="O54" s="841">
        <f t="shared" ref="O54:O58" si="42">+M54+N54</f>
        <v>0</v>
      </c>
      <c r="P54" s="125">
        <v>1331</v>
      </c>
      <c r="Q54" s="841">
        <v>-575</v>
      </c>
      <c r="R54" s="841">
        <f t="shared" ref="R54:R57" si="43">+Q54+P54</f>
        <v>756</v>
      </c>
    </row>
    <row r="55" spans="1:20" x14ac:dyDescent="0.25">
      <c r="A55" s="546" t="s">
        <v>76</v>
      </c>
      <c r="B55" s="1332" t="s">
        <v>436</v>
      </c>
      <c r="C55" s="1332"/>
      <c r="D55" s="841">
        <f t="shared" si="39"/>
        <v>0</v>
      </c>
      <c r="E55" s="841">
        <f t="shared" si="38"/>
        <v>0</v>
      </c>
      <c r="F55" s="841">
        <f t="shared" si="38"/>
        <v>0</v>
      </c>
      <c r="G55" s="841"/>
      <c r="H55" s="841"/>
      <c r="I55" s="841">
        <f t="shared" si="40"/>
        <v>0</v>
      </c>
      <c r="J55" s="841"/>
      <c r="K55" s="841"/>
      <c r="L55" s="841">
        <f t="shared" si="41"/>
        <v>0</v>
      </c>
      <c r="M55" s="841"/>
      <c r="N55" s="841"/>
      <c r="O55" s="841">
        <f t="shared" si="42"/>
        <v>0</v>
      </c>
      <c r="P55" s="841"/>
      <c r="Q55" s="841"/>
      <c r="R55" s="841">
        <f t="shared" si="43"/>
        <v>0</v>
      </c>
    </row>
    <row r="56" spans="1:20" x14ac:dyDescent="0.25">
      <c r="A56" s="546" t="s">
        <v>77</v>
      </c>
      <c r="B56" s="1332" t="s">
        <v>437</v>
      </c>
      <c r="C56" s="1332"/>
      <c r="D56" s="841">
        <f t="shared" si="39"/>
        <v>0</v>
      </c>
      <c r="E56" s="841">
        <f t="shared" si="38"/>
        <v>0</v>
      </c>
      <c r="F56" s="841">
        <f t="shared" si="38"/>
        <v>0</v>
      </c>
      <c r="G56" s="841"/>
      <c r="H56" s="841"/>
      <c r="I56" s="841">
        <f t="shared" si="40"/>
        <v>0</v>
      </c>
      <c r="J56" s="841"/>
      <c r="K56" s="841"/>
      <c r="L56" s="841">
        <f t="shared" si="41"/>
        <v>0</v>
      </c>
      <c r="M56" s="841"/>
      <c r="N56" s="841"/>
      <c r="O56" s="841">
        <f t="shared" si="42"/>
        <v>0</v>
      </c>
      <c r="P56" s="841"/>
      <c r="Q56" s="841"/>
      <c r="R56" s="841">
        <f t="shared" si="43"/>
        <v>0</v>
      </c>
    </row>
    <row r="57" spans="1:20" x14ac:dyDescent="0.25">
      <c r="A57" s="546" t="s">
        <v>79</v>
      </c>
      <c r="B57" s="1332" t="s">
        <v>78</v>
      </c>
      <c r="C57" s="1332"/>
      <c r="D57" s="841">
        <f t="shared" si="39"/>
        <v>185</v>
      </c>
      <c r="E57" s="841">
        <f t="shared" si="38"/>
        <v>0</v>
      </c>
      <c r="F57" s="841">
        <f t="shared" si="38"/>
        <v>185</v>
      </c>
      <c r="G57" s="841">
        <v>185</v>
      </c>
      <c r="H57" s="841"/>
      <c r="I57" s="841">
        <f>+G57+H57</f>
        <v>185</v>
      </c>
      <c r="J57" s="841"/>
      <c r="K57" s="841"/>
      <c r="L57" s="841">
        <f t="shared" si="41"/>
        <v>0</v>
      </c>
      <c r="M57" s="841"/>
      <c r="N57" s="841"/>
      <c r="O57" s="841">
        <f t="shared" si="42"/>
        <v>0</v>
      </c>
      <c r="P57" s="841"/>
      <c r="Q57" s="841"/>
      <c r="R57" s="841">
        <f t="shared" si="43"/>
        <v>0</v>
      </c>
    </row>
    <row r="58" spans="1:20" s="637" customFormat="1" ht="27" customHeight="1" x14ac:dyDescent="0.25">
      <c r="A58" s="636" t="s">
        <v>80</v>
      </c>
      <c r="B58" s="1338" t="s">
        <v>152</v>
      </c>
      <c r="C58" s="1338"/>
      <c r="D58" s="798">
        <f>SUM(D53:D57)</f>
        <v>7099</v>
      </c>
      <c r="E58" s="798">
        <f>SUM(E53:E57)</f>
        <v>671</v>
      </c>
      <c r="F58" s="798">
        <f>SUM(F53:F57)</f>
        <v>7770</v>
      </c>
      <c r="G58" s="798">
        <f>SUM(G53:G57)</f>
        <v>737</v>
      </c>
      <c r="H58" s="798">
        <f>SUM(H53:H57)</f>
        <v>-415</v>
      </c>
      <c r="I58" s="798">
        <f t="shared" ref="I58:R58" si="44">SUM(I53:I57)</f>
        <v>322</v>
      </c>
      <c r="J58" s="798">
        <f t="shared" si="44"/>
        <v>114</v>
      </c>
      <c r="K58" s="798">
        <f t="shared" si="44"/>
        <v>70</v>
      </c>
      <c r="L58" s="798">
        <f t="shared" si="44"/>
        <v>184</v>
      </c>
      <c r="M58" s="798">
        <f t="shared" si="44"/>
        <v>0</v>
      </c>
      <c r="N58" s="798">
        <f t="shared" si="44"/>
        <v>0</v>
      </c>
      <c r="O58" s="798">
        <f t="shared" si="42"/>
        <v>0</v>
      </c>
      <c r="P58" s="798">
        <v>5548</v>
      </c>
      <c r="Q58" s="798">
        <f t="shared" si="44"/>
        <v>1016</v>
      </c>
      <c r="R58" s="798">
        <f t="shared" si="44"/>
        <v>7264</v>
      </c>
      <c r="S58" s="799"/>
      <c r="T58" s="799"/>
    </row>
    <row r="59" spans="1:20" x14ac:dyDescent="0.25">
      <c r="A59" s="547" t="s">
        <v>81</v>
      </c>
      <c r="B59" s="1335" t="s">
        <v>343</v>
      </c>
      <c r="C59" s="1335"/>
      <c r="D59" s="798">
        <f t="shared" ref="D59:R59" si="45">+D58+D52+D49+D39+D36</f>
        <v>29888</v>
      </c>
      <c r="E59" s="798">
        <f t="shared" si="45"/>
        <v>5180</v>
      </c>
      <c r="F59" s="798">
        <f t="shared" si="45"/>
        <v>35068</v>
      </c>
      <c r="G59" s="798">
        <f t="shared" si="45"/>
        <v>2373</v>
      </c>
      <c r="H59" s="798">
        <f t="shared" si="45"/>
        <v>-648</v>
      </c>
      <c r="I59" s="798">
        <f t="shared" si="45"/>
        <v>1725</v>
      </c>
      <c r="J59" s="798">
        <f t="shared" si="45"/>
        <v>1118</v>
      </c>
      <c r="K59" s="798">
        <f t="shared" si="45"/>
        <v>401</v>
      </c>
      <c r="L59" s="798">
        <f t="shared" si="45"/>
        <v>1519</v>
      </c>
      <c r="M59" s="798">
        <f t="shared" si="45"/>
        <v>300</v>
      </c>
      <c r="N59" s="798">
        <f t="shared" si="45"/>
        <v>160</v>
      </c>
      <c r="O59" s="798">
        <f t="shared" si="45"/>
        <v>460</v>
      </c>
      <c r="P59" s="798">
        <f t="shared" si="45"/>
        <v>25397</v>
      </c>
      <c r="Q59" s="798">
        <f t="shared" si="45"/>
        <v>5267</v>
      </c>
      <c r="R59" s="798">
        <f t="shared" si="45"/>
        <v>31364</v>
      </c>
    </row>
    <row r="60" spans="1:20" x14ac:dyDescent="0.25">
      <c r="A60" s="550"/>
      <c r="B60" s="692"/>
      <c r="C60" s="692"/>
      <c r="D60" s="798"/>
      <c r="E60" s="798"/>
      <c r="F60" s="798"/>
      <c r="G60" s="798"/>
      <c r="H60" s="798"/>
      <c r="I60" s="798"/>
      <c r="J60" s="798"/>
      <c r="K60" s="798"/>
      <c r="L60" s="798"/>
      <c r="M60" s="798"/>
      <c r="N60" s="798"/>
      <c r="O60" s="798"/>
      <c r="P60" s="798"/>
      <c r="Q60" s="798"/>
      <c r="R60" s="798"/>
    </row>
    <row r="61" spans="1:20" ht="25.5" customHeight="1" x14ac:dyDescent="0.25">
      <c r="A61" s="768" t="s">
        <v>101</v>
      </c>
      <c r="B61" s="1337" t="s">
        <v>788</v>
      </c>
      <c r="C61" s="1337"/>
      <c r="D61" s="841">
        <f t="shared" ref="D61:F63" si="46">+G61+J61+M61+P61</f>
        <v>2227</v>
      </c>
      <c r="E61" s="841">
        <f t="shared" si="46"/>
        <v>0</v>
      </c>
      <c r="F61" s="841">
        <f t="shared" si="46"/>
        <v>2227</v>
      </c>
      <c r="G61" s="841">
        <v>2227</v>
      </c>
      <c r="H61" s="841"/>
      <c r="I61" s="841">
        <f t="shared" ref="I61" si="47">+G61+H61</f>
        <v>2227</v>
      </c>
      <c r="J61" s="841"/>
      <c r="K61" s="841"/>
      <c r="L61" s="841"/>
      <c r="M61" s="841"/>
      <c r="N61" s="841"/>
      <c r="O61" s="841"/>
      <c r="P61" s="841"/>
      <c r="Q61" s="841"/>
      <c r="R61" s="841"/>
    </row>
    <row r="62" spans="1:20" ht="28.5" customHeight="1" x14ac:dyDescent="0.25">
      <c r="A62" s="546" t="s">
        <v>107</v>
      </c>
      <c r="B62" s="1332" t="s">
        <v>164</v>
      </c>
      <c r="C62" s="1332"/>
      <c r="D62" s="841">
        <f>+G62+J62+M62+P62</f>
        <v>9577</v>
      </c>
      <c r="E62" s="841">
        <f t="shared" si="46"/>
        <v>0</v>
      </c>
      <c r="F62" s="841">
        <f t="shared" si="46"/>
        <v>9577</v>
      </c>
      <c r="G62" s="841"/>
      <c r="H62" s="841"/>
      <c r="I62" s="841">
        <f>+G62+H62</f>
        <v>0</v>
      </c>
      <c r="J62" s="841">
        <f>J63</f>
        <v>9577</v>
      </c>
      <c r="K62" s="841">
        <f t="shared" ref="K62" si="48">K63</f>
        <v>0</v>
      </c>
      <c r="L62" s="841">
        <f>L63</f>
        <v>9577</v>
      </c>
      <c r="M62" s="841"/>
      <c r="N62" s="841"/>
      <c r="O62" s="841"/>
      <c r="P62" s="841"/>
      <c r="Q62" s="841"/>
      <c r="R62" s="841"/>
    </row>
    <row r="63" spans="1:20" ht="25.5" customHeight="1" x14ac:dyDescent="0.25">
      <c r="A63" s="557" t="s">
        <v>107</v>
      </c>
      <c r="B63" s="552"/>
      <c r="C63" s="558" t="s">
        <v>104</v>
      </c>
      <c r="D63" s="841">
        <f>+G63+J63+M63+P63</f>
        <v>9577</v>
      </c>
      <c r="E63" s="841">
        <f t="shared" si="46"/>
        <v>0</v>
      </c>
      <c r="F63" s="841">
        <f t="shared" si="46"/>
        <v>9577</v>
      </c>
      <c r="G63" s="841"/>
      <c r="H63" s="841"/>
      <c r="I63" s="841">
        <f t="shared" ref="I63" si="49">+G63+H63</f>
        <v>0</v>
      </c>
      <c r="J63" s="841">
        <v>9577</v>
      </c>
      <c r="K63" s="841"/>
      <c r="L63" s="841">
        <f>J63+K63</f>
        <v>9577</v>
      </c>
      <c r="M63" s="841"/>
      <c r="N63" s="841"/>
      <c r="O63" s="841"/>
      <c r="P63" s="841"/>
      <c r="Q63" s="841"/>
      <c r="R63" s="841"/>
    </row>
    <row r="64" spans="1:20" s="548" customFormat="1" x14ac:dyDescent="0.25">
      <c r="A64" s="547" t="s">
        <v>108</v>
      </c>
      <c r="B64" s="1335" t="s">
        <v>163</v>
      </c>
      <c r="C64" s="1335"/>
      <c r="D64" s="798">
        <f>+D62+D61</f>
        <v>11804</v>
      </c>
      <c r="E64" s="798">
        <f>+H64+K64+N64+Q64</f>
        <v>0</v>
      </c>
      <c r="F64" s="798">
        <f>+F62+F61</f>
        <v>11804</v>
      </c>
      <c r="G64" s="798">
        <f t="shared" ref="G64:R64" si="50">+G62</f>
        <v>0</v>
      </c>
      <c r="H64" s="798">
        <f>+H62+H61</f>
        <v>0</v>
      </c>
      <c r="I64" s="798">
        <f>+G64+I61</f>
        <v>2227</v>
      </c>
      <c r="J64" s="798">
        <f t="shared" si="50"/>
        <v>9577</v>
      </c>
      <c r="K64" s="798">
        <f t="shared" si="50"/>
        <v>0</v>
      </c>
      <c r="L64" s="798">
        <f>+L62</f>
        <v>9577</v>
      </c>
      <c r="M64" s="798">
        <f t="shared" si="50"/>
        <v>0</v>
      </c>
      <c r="N64" s="798">
        <f t="shared" si="50"/>
        <v>0</v>
      </c>
      <c r="O64" s="798">
        <f t="shared" si="50"/>
        <v>0</v>
      </c>
      <c r="P64" s="798"/>
      <c r="Q64" s="798">
        <f t="shared" si="50"/>
        <v>0</v>
      </c>
      <c r="R64" s="798">
        <f t="shared" si="50"/>
        <v>0</v>
      </c>
    </row>
    <row r="65" spans="1:18" ht="8.25" customHeight="1" x14ac:dyDescent="0.25">
      <c r="A65" s="559"/>
      <c r="B65" s="560"/>
      <c r="C65" s="560"/>
      <c r="D65" s="847"/>
      <c r="E65" s="847"/>
      <c r="F65" s="847"/>
      <c r="G65" s="847"/>
      <c r="H65" s="847"/>
      <c r="I65" s="847"/>
      <c r="J65" s="847"/>
      <c r="K65" s="847"/>
      <c r="L65" s="847"/>
      <c r="M65" s="847"/>
      <c r="N65" s="847"/>
      <c r="O65" s="847"/>
      <c r="P65" s="847"/>
      <c r="Q65" s="847"/>
      <c r="R65" s="847"/>
    </row>
    <row r="66" spans="1:18" ht="11.25" customHeight="1" x14ac:dyDescent="0.25">
      <c r="A66" s="561"/>
      <c r="B66" s="562"/>
      <c r="C66" s="562"/>
      <c r="D66" s="848"/>
      <c r="E66" s="848"/>
      <c r="F66" s="848"/>
      <c r="G66" s="848"/>
      <c r="H66" s="848"/>
      <c r="I66" s="848"/>
      <c r="J66" s="848"/>
      <c r="K66" s="848"/>
      <c r="L66" s="848"/>
      <c r="M66" s="848"/>
      <c r="N66" s="848"/>
      <c r="O66" s="848"/>
      <c r="P66" s="848"/>
      <c r="Q66" s="848"/>
      <c r="R66" s="848"/>
    </row>
    <row r="67" spans="1:18" ht="15" customHeight="1" x14ac:dyDescent="0.25">
      <c r="A67" s="546" t="s">
        <v>110</v>
      </c>
      <c r="B67" s="1332" t="s">
        <v>109</v>
      </c>
      <c r="C67" s="1332"/>
      <c r="D67" s="841">
        <f>+G67+J67+M67+P67</f>
        <v>0</v>
      </c>
      <c r="E67" s="841">
        <f t="shared" ref="E67:F74" si="51">+H67+K67+N67+Q67</f>
        <v>63</v>
      </c>
      <c r="F67" s="841">
        <f t="shared" si="51"/>
        <v>63</v>
      </c>
      <c r="G67" s="841"/>
      <c r="H67" s="841">
        <v>63</v>
      </c>
      <c r="I67" s="841">
        <f>+H67</f>
        <v>63</v>
      </c>
      <c r="J67" s="841"/>
      <c r="K67" s="841"/>
      <c r="L67" s="841"/>
      <c r="M67" s="841"/>
      <c r="N67" s="841"/>
      <c r="O67" s="841"/>
      <c r="P67" s="841"/>
      <c r="Q67" s="841"/>
      <c r="R67" s="841"/>
    </row>
    <row r="68" spans="1:18" ht="15" customHeight="1" x14ac:dyDescent="0.25">
      <c r="A68" s="546" t="s">
        <v>111</v>
      </c>
      <c r="B68" s="1332" t="s">
        <v>438</v>
      </c>
      <c r="C68" s="1332"/>
      <c r="D68" s="841">
        <f t="shared" ref="D68:D74" si="52">+G68+J68+M68+P68</f>
        <v>0</v>
      </c>
      <c r="E68" s="841">
        <f t="shared" si="51"/>
        <v>0</v>
      </c>
      <c r="F68" s="841">
        <f t="shared" si="51"/>
        <v>0</v>
      </c>
      <c r="G68" s="841"/>
      <c r="H68" s="841"/>
      <c r="I68" s="841"/>
      <c r="J68" s="841"/>
      <c r="K68" s="841"/>
      <c r="L68" s="841"/>
      <c r="M68" s="841"/>
      <c r="N68" s="841"/>
      <c r="O68" s="841"/>
      <c r="P68" s="841"/>
      <c r="Q68" s="841"/>
      <c r="R68" s="841"/>
    </row>
    <row r="69" spans="1:18" ht="25.5" x14ac:dyDescent="0.25">
      <c r="A69" s="551" t="s">
        <v>111</v>
      </c>
      <c r="B69" s="552"/>
      <c r="C69" s="558" t="s">
        <v>112</v>
      </c>
      <c r="D69" s="841">
        <f t="shared" si="52"/>
        <v>0</v>
      </c>
      <c r="E69" s="841">
        <f t="shared" si="51"/>
        <v>0</v>
      </c>
      <c r="F69" s="841">
        <f t="shared" si="51"/>
        <v>0</v>
      </c>
      <c r="G69" s="841"/>
      <c r="H69" s="841"/>
      <c r="I69" s="841"/>
      <c r="J69" s="841"/>
      <c r="K69" s="841"/>
      <c r="L69" s="841"/>
      <c r="M69" s="841"/>
      <c r="N69" s="841"/>
      <c r="O69" s="841"/>
      <c r="P69" s="841"/>
      <c r="Q69" s="841"/>
      <c r="R69" s="841"/>
    </row>
    <row r="70" spans="1:18" ht="27.75" customHeight="1" x14ac:dyDescent="0.25">
      <c r="A70" s="546" t="s">
        <v>114</v>
      </c>
      <c r="B70" s="1332" t="s">
        <v>113</v>
      </c>
      <c r="C70" s="1332"/>
      <c r="D70" s="841">
        <f t="shared" si="52"/>
        <v>0</v>
      </c>
      <c r="E70" s="841">
        <f t="shared" si="51"/>
        <v>154</v>
      </c>
      <c r="F70" s="841">
        <f t="shared" si="51"/>
        <v>154</v>
      </c>
      <c r="G70" s="841"/>
      <c r="H70" s="841">
        <f>119+35</f>
        <v>154</v>
      </c>
      <c r="I70" s="841">
        <f>+H70</f>
        <v>154</v>
      </c>
      <c r="J70" s="841"/>
      <c r="K70" s="841"/>
      <c r="L70" s="841"/>
      <c r="M70" s="841"/>
      <c r="N70" s="841"/>
      <c r="O70" s="841"/>
      <c r="P70" s="841"/>
      <c r="Q70" s="841"/>
      <c r="R70" s="841"/>
    </row>
    <row r="71" spans="1:18" ht="28.5" customHeight="1" x14ac:dyDescent="0.25">
      <c r="A71" s="546" t="s">
        <v>116</v>
      </c>
      <c r="B71" s="1332" t="s">
        <v>115</v>
      </c>
      <c r="C71" s="1332"/>
      <c r="D71" s="841">
        <f t="shared" si="52"/>
        <v>1024</v>
      </c>
      <c r="E71" s="841">
        <f t="shared" si="51"/>
        <v>452</v>
      </c>
      <c r="F71" s="841">
        <f t="shared" si="51"/>
        <v>1476</v>
      </c>
      <c r="G71" s="841">
        <v>1024</v>
      </c>
      <c r="H71" s="841">
        <f>109+64+261</f>
        <v>434</v>
      </c>
      <c r="I71" s="842">
        <f>+G71+H71</f>
        <v>1458</v>
      </c>
      <c r="J71" s="841"/>
      <c r="K71" s="841">
        <v>18</v>
      </c>
      <c r="L71" s="841">
        <f>+K71</f>
        <v>18</v>
      </c>
      <c r="M71" s="841"/>
      <c r="N71" s="841"/>
      <c r="O71" s="841"/>
      <c r="P71" s="841"/>
      <c r="Q71" s="841"/>
      <c r="R71" s="841"/>
    </row>
    <row r="72" spans="1:18" ht="15" customHeight="1" x14ac:dyDescent="0.25">
      <c r="A72" s="546" t="s">
        <v>118</v>
      </c>
      <c r="B72" s="1332" t="s">
        <v>117</v>
      </c>
      <c r="C72" s="1332"/>
      <c r="D72" s="841">
        <f t="shared" si="52"/>
        <v>0</v>
      </c>
      <c r="E72" s="841">
        <f t="shared" si="51"/>
        <v>0</v>
      </c>
      <c r="F72" s="841">
        <f t="shared" si="51"/>
        <v>0</v>
      </c>
      <c r="G72" s="841"/>
      <c r="H72" s="841"/>
      <c r="I72" s="841"/>
      <c r="J72" s="841"/>
      <c r="K72" s="841"/>
      <c r="L72" s="841"/>
      <c r="M72" s="841"/>
      <c r="N72" s="841"/>
      <c r="O72" s="841"/>
      <c r="P72" s="841"/>
      <c r="Q72" s="841"/>
      <c r="R72" s="841"/>
    </row>
    <row r="73" spans="1:18" ht="27" customHeight="1" x14ac:dyDescent="0.25">
      <c r="A73" s="546" t="s">
        <v>120</v>
      </c>
      <c r="B73" s="1332" t="s">
        <v>119</v>
      </c>
      <c r="C73" s="1332"/>
      <c r="D73" s="841">
        <f t="shared" si="52"/>
        <v>0</v>
      </c>
      <c r="E73" s="841">
        <f t="shared" si="51"/>
        <v>0</v>
      </c>
      <c r="F73" s="841">
        <f t="shared" si="51"/>
        <v>0</v>
      </c>
      <c r="G73" s="841"/>
      <c r="H73" s="841"/>
      <c r="I73" s="841"/>
      <c r="J73" s="841"/>
      <c r="K73" s="841"/>
      <c r="L73" s="841"/>
      <c r="M73" s="841"/>
      <c r="N73" s="841"/>
      <c r="O73" s="841"/>
      <c r="P73" s="841"/>
      <c r="Q73" s="841"/>
      <c r="R73" s="841"/>
    </row>
    <row r="74" spans="1:18" ht="25.5" customHeight="1" x14ac:dyDescent="0.25">
      <c r="A74" s="546" t="s">
        <v>122</v>
      </c>
      <c r="B74" s="1332" t="s">
        <v>121</v>
      </c>
      <c r="C74" s="1332"/>
      <c r="D74" s="841">
        <f t="shared" si="52"/>
        <v>276</v>
      </c>
      <c r="E74" s="841">
        <f t="shared" si="51"/>
        <v>175</v>
      </c>
      <c r="F74" s="841">
        <f t="shared" si="51"/>
        <v>451</v>
      </c>
      <c r="G74" s="841">
        <v>276</v>
      </c>
      <c r="H74" s="841">
        <f>21+32+20+97</f>
        <v>170</v>
      </c>
      <c r="I74" s="842">
        <f>+G74+H74</f>
        <v>446</v>
      </c>
      <c r="J74" s="841"/>
      <c r="K74" s="841">
        <v>5</v>
      </c>
      <c r="L74" s="841">
        <f>+K74</f>
        <v>5</v>
      </c>
      <c r="M74" s="841"/>
      <c r="N74" s="841"/>
      <c r="O74" s="841"/>
      <c r="P74" s="841"/>
      <c r="Q74" s="841"/>
      <c r="R74" s="841"/>
    </row>
    <row r="75" spans="1:18" ht="15" customHeight="1" x14ac:dyDescent="0.25">
      <c r="A75" s="547" t="s">
        <v>123</v>
      </c>
      <c r="B75" s="1335" t="s">
        <v>161</v>
      </c>
      <c r="C75" s="1335"/>
      <c r="D75" s="798">
        <f t="shared" ref="D75:F75" si="53">SUM(D67:D74)</f>
        <v>1300</v>
      </c>
      <c r="E75" s="798">
        <f t="shared" si="53"/>
        <v>844</v>
      </c>
      <c r="F75" s="798">
        <f t="shared" si="53"/>
        <v>2144</v>
      </c>
      <c r="G75" s="798">
        <f t="shared" ref="G75:R75" si="54">(((((+G74+G73)+G72)+G71)+G70)+G68)+G67</f>
        <v>1300</v>
      </c>
      <c r="H75" s="798">
        <f t="shared" si="54"/>
        <v>821</v>
      </c>
      <c r="I75" s="798">
        <f t="shared" si="54"/>
        <v>2121</v>
      </c>
      <c r="J75" s="798">
        <f t="shared" si="54"/>
        <v>0</v>
      </c>
      <c r="K75" s="798">
        <f t="shared" si="54"/>
        <v>23</v>
      </c>
      <c r="L75" s="798">
        <f t="shared" si="54"/>
        <v>23</v>
      </c>
      <c r="M75" s="798">
        <f t="shared" si="54"/>
        <v>0</v>
      </c>
      <c r="N75" s="798">
        <f t="shared" si="54"/>
        <v>0</v>
      </c>
      <c r="O75" s="798">
        <f t="shared" si="54"/>
        <v>0</v>
      </c>
      <c r="P75" s="798">
        <f t="shared" si="54"/>
        <v>0</v>
      </c>
      <c r="Q75" s="798">
        <f t="shared" si="54"/>
        <v>0</v>
      </c>
      <c r="R75" s="798">
        <f t="shared" si="54"/>
        <v>0</v>
      </c>
    </row>
    <row r="76" spans="1:18" x14ac:dyDescent="0.25">
      <c r="A76" s="550"/>
      <c r="B76" s="1072"/>
      <c r="C76" s="1072"/>
      <c r="D76" s="843"/>
      <c r="E76" s="843"/>
      <c r="F76" s="844"/>
      <c r="G76" s="845"/>
      <c r="H76" s="843"/>
      <c r="I76" s="844"/>
      <c r="J76" s="845"/>
      <c r="K76" s="843"/>
      <c r="L76" s="844"/>
      <c r="M76" s="845"/>
      <c r="N76" s="843"/>
      <c r="O76" s="844"/>
      <c r="P76" s="845"/>
      <c r="Q76" s="843"/>
      <c r="R76" s="844"/>
    </row>
    <row r="77" spans="1:18" ht="15" hidden="1" customHeight="1" x14ac:dyDescent="0.25">
      <c r="A77" s="546" t="s">
        <v>125</v>
      </c>
      <c r="B77" s="1332" t="s">
        <v>124</v>
      </c>
      <c r="C77" s="1332"/>
      <c r="D77" s="841">
        <f>+G77+J77+M77+P77</f>
        <v>0</v>
      </c>
      <c r="E77" s="841"/>
      <c r="F77" s="841"/>
      <c r="G77" s="841"/>
      <c r="H77" s="841"/>
      <c r="I77" s="841"/>
      <c r="J77" s="841"/>
      <c r="K77" s="841"/>
      <c r="L77" s="841"/>
      <c r="M77" s="841"/>
      <c r="N77" s="841"/>
      <c r="O77" s="841"/>
      <c r="P77" s="841"/>
      <c r="Q77" s="841"/>
      <c r="R77" s="841"/>
    </row>
    <row r="78" spans="1:18" ht="15" hidden="1" customHeight="1" x14ac:dyDescent="0.25">
      <c r="A78" s="546" t="s">
        <v>127</v>
      </c>
      <c r="B78" s="1332" t="s">
        <v>126</v>
      </c>
      <c r="C78" s="1332"/>
      <c r="D78" s="841">
        <f t="shared" ref="D78:D80" si="55">+G78+J78+M78+P78</f>
        <v>0</v>
      </c>
      <c r="E78" s="841"/>
      <c r="F78" s="841"/>
      <c r="G78" s="841"/>
      <c r="H78" s="841"/>
      <c r="I78" s="841"/>
      <c r="J78" s="841"/>
      <c r="K78" s="841"/>
      <c r="L78" s="841"/>
      <c r="M78" s="841"/>
      <c r="N78" s="841"/>
      <c r="O78" s="841"/>
      <c r="P78" s="841"/>
      <c r="Q78" s="841"/>
      <c r="R78" s="841"/>
    </row>
    <row r="79" spans="1:18" ht="15" hidden="1" customHeight="1" x14ac:dyDescent="0.25">
      <c r="A79" s="546" t="s">
        <v>129</v>
      </c>
      <c r="B79" s="1332" t="s">
        <v>439</v>
      </c>
      <c r="C79" s="1332"/>
      <c r="D79" s="841">
        <f t="shared" si="55"/>
        <v>0</v>
      </c>
      <c r="E79" s="841"/>
      <c r="F79" s="841"/>
      <c r="G79" s="841"/>
      <c r="H79" s="841"/>
      <c r="I79" s="841"/>
      <c r="J79" s="841"/>
      <c r="K79" s="841"/>
      <c r="L79" s="841"/>
      <c r="M79" s="841"/>
      <c r="N79" s="841"/>
      <c r="O79" s="841"/>
      <c r="P79" s="841"/>
      <c r="Q79" s="841"/>
      <c r="R79" s="841"/>
    </row>
    <row r="80" spans="1:18" ht="15" hidden="1" customHeight="1" x14ac:dyDescent="0.25">
      <c r="A80" s="546" t="s">
        <v>131</v>
      </c>
      <c r="B80" s="1332" t="s">
        <v>130</v>
      </c>
      <c r="C80" s="1332"/>
      <c r="D80" s="841">
        <f t="shared" si="55"/>
        <v>0</v>
      </c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</row>
    <row r="81" spans="1:18" x14ac:dyDescent="0.25">
      <c r="A81" s="547" t="s">
        <v>132</v>
      </c>
      <c r="B81" s="1335" t="s">
        <v>314</v>
      </c>
      <c r="C81" s="1335"/>
      <c r="D81" s="798">
        <f t="shared" ref="D81:R81" si="56">SUM(D77:D80)</f>
        <v>0</v>
      </c>
      <c r="E81" s="798">
        <f t="shared" si="56"/>
        <v>0</v>
      </c>
      <c r="F81" s="798">
        <f t="shared" si="56"/>
        <v>0</v>
      </c>
      <c r="G81" s="798">
        <f t="shared" si="56"/>
        <v>0</v>
      </c>
      <c r="H81" s="798">
        <f t="shared" si="56"/>
        <v>0</v>
      </c>
      <c r="I81" s="798">
        <f t="shared" si="56"/>
        <v>0</v>
      </c>
      <c r="J81" s="798">
        <f t="shared" si="56"/>
        <v>0</v>
      </c>
      <c r="K81" s="798">
        <f t="shared" si="56"/>
        <v>0</v>
      </c>
      <c r="L81" s="798">
        <f t="shared" si="56"/>
        <v>0</v>
      </c>
      <c r="M81" s="798">
        <f t="shared" si="56"/>
        <v>0</v>
      </c>
      <c r="N81" s="798">
        <f t="shared" si="56"/>
        <v>0</v>
      </c>
      <c r="O81" s="798">
        <f t="shared" si="56"/>
        <v>0</v>
      </c>
      <c r="P81" s="798">
        <f t="shared" si="56"/>
        <v>0</v>
      </c>
      <c r="Q81" s="798">
        <f t="shared" si="56"/>
        <v>0</v>
      </c>
      <c r="R81" s="798">
        <f t="shared" si="56"/>
        <v>0</v>
      </c>
    </row>
    <row r="82" spans="1:18" x14ac:dyDescent="0.25">
      <c r="A82" s="550"/>
      <c r="B82" s="692"/>
      <c r="C82" s="692"/>
      <c r="D82" s="843"/>
      <c r="E82" s="843"/>
      <c r="F82" s="844"/>
      <c r="G82" s="845"/>
      <c r="H82" s="843"/>
      <c r="I82" s="844"/>
      <c r="J82" s="845"/>
      <c r="K82" s="843"/>
      <c r="L82" s="844"/>
      <c r="M82" s="845"/>
      <c r="N82" s="843"/>
      <c r="O82" s="844"/>
      <c r="P82" s="845"/>
      <c r="Q82" s="843"/>
      <c r="R82" s="844"/>
    </row>
    <row r="83" spans="1:18" ht="15" customHeight="1" x14ac:dyDescent="0.25">
      <c r="A83" s="547" t="s">
        <v>134</v>
      </c>
      <c r="B83" s="1335" t="s">
        <v>158</v>
      </c>
      <c r="C83" s="1335"/>
      <c r="D83" s="841"/>
      <c r="E83" s="841"/>
      <c r="F83" s="841"/>
      <c r="G83" s="841"/>
      <c r="H83" s="841"/>
      <c r="I83" s="841"/>
      <c r="J83" s="841"/>
      <c r="K83" s="841"/>
      <c r="L83" s="841"/>
      <c r="M83" s="841"/>
      <c r="N83" s="841"/>
      <c r="O83" s="841"/>
      <c r="P83" s="841"/>
      <c r="Q83" s="841"/>
      <c r="R83" s="841"/>
    </row>
    <row r="84" spans="1:18" ht="15.75" customHeight="1" thickBot="1" x14ac:dyDescent="0.3">
      <c r="A84" s="563"/>
      <c r="B84" s="560"/>
      <c r="C84" s="560"/>
      <c r="D84" s="846"/>
      <c r="E84" s="846"/>
      <c r="F84" s="849"/>
      <c r="G84" s="850"/>
      <c r="H84" s="846"/>
      <c r="I84" s="849"/>
      <c r="J84" s="850"/>
      <c r="K84" s="846"/>
      <c r="L84" s="849"/>
      <c r="M84" s="850"/>
      <c r="N84" s="846"/>
      <c r="O84" s="849"/>
      <c r="P84" s="850"/>
      <c r="Q84" s="846"/>
      <c r="R84" s="849"/>
    </row>
    <row r="85" spans="1:18" s="567" customFormat="1" ht="40.5" customHeight="1" thickBot="1" x14ac:dyDescent="0.3">
      <c r="A85" s="564" t="s">
        <v>135</v>
      </c>
      <c r="B85" s="1333" t="s">
        <v>157</v>
      </c>
      <c r="C85" s="1334"/>
      <c r="D85" s="565">
        <f t="shared" ref="D85:R85" si="57">+D83+D81+D75+D64+D59+D26+D24</f>
        <v>193257</v>
      </c>
      <c r="E85" s="565">
        <f t="shared" si="57"/>
        <v>5893</v>
      </c>
      <c r="F85" s="565">
        <f>+F83+F81+F75+F64+F59+F26+F24</f>
        <v>199150</v>
      </c>
      <c r="G85" s="565">
        <f t="shared" si="57"/>
        <v>150077</v>
      </c>
      <c r="H85" s="565">
        <f t="shared" si="57"/>
        <v>202</v>
      </c>
      <c r="I85" s="565">
        <f t="shared" si="57"/>
        <v>152506</v>
      </c>
      <c r="J85" s="565">
        <f t="shared" si="57"/>
        <v>11868</v>
      </c>
      <c r="K85" s="565">
        <f t="shared" si="57"/>
        <v>424</v>
      </c>
      <c r="L85" s="565">
        <f t="shared" si="57"/>
        <v>12292</v>
      </c>
      <c r="M85" s="565">
        <f t="shared" si="57"/>
        <v>2988</v>
      </c>
      <c r="N85" s="565">
        <f>+N83+N81+N75+N64+N59+N26+N24</f>
        <v>0</v>
      </c>
      <c r="O85" s="565">
        <f t="shared" si="57"/>
        <v>2988</v>
      </c>
      <c r="P85" s="565">
        <f t="shared" si="57"/>
        <v>25397</v>
      </c>
      <c r="Q85" s="565">
        <f t="shared" si="57"/>
        <v>5267</v>
      </c>
      <c r="R85" s="566">
        <f t="shared" si="57"/>
        <v>31364</v>
      </c>
    </row>
  </sheetData>
  <mergeCells count="76"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81:C81"/>
    <mergeCell ref="B83:C83"/>
    <mergeCell ref="B72:C72"/>
    <mergeCell ref="B73:C73"/>
    <mergeCell ref="B75:C75"/>
    <mergeCell ref="B77:C77"/>
    <mergeCell ref="B78:C78"/>
    <mergeCell ref="B80:C80"/>
    <mergeCell ref="B79:C79"/>
    <mergeCell ref="B36:C36"/>
    <mergeCell ref="B37:C37"/>
    <mergeCell ref="B71:C71"/>
    <mergeCell ref="B61:C61"/>
    <mergeCell ref="B59:C59"/>
    <mergeCell ref="B58:C58"/>
    <mergeCell ref="B68:C68"/>
    <mergeCell ref="B70:C70"/>
    <mergeCell ref="B39:C39"/>
    <mergeCell ref="B40:C40"/>
    <mergeCell ref="B41:C41"/>
    <mergeCell ref="B42:C42"/>
    <mergeCell ref="B56:C56"/>
    <mergeCell ref="B43:C43"/>
    <mergeCell ref="B55:C55"/>
    <mergeCell ref="B38:C38"/>
    <mergeCell ref="B33:C33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5:C85"/>
    <mergeCell ref="B44:C44"/>
    <mergeCell ref="B62:C62"/>
    <mergeCell ref="B64:C64"/>
    <mergeCell ref="B67:C67"/>
    <mergeCell ref="B74:C74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70" orientation="landscape" cellComments="asDisplayed" r:id="rId1"/>
  <headerFooter>
    <oddHeader>&amp;C&amp;"Times New Roman,Félkövér"&amp;12Martonvásár Város Önkormányzatának kiadásai 2019.
Brunszvik Teréz Óvoda&amp;R&amp;"Times New Roman,Félkövér"&amp;12 6/b. melléklet</oddHeader>
  </headerFooter>
  <rowBreaks count="2" manualBreakCount="2">
    <brk id="32" max="16383" man="1"/>
    <brk id="66" max="16383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zoomScaleNormal="100" zoomScalePageLayoutView="70" workbookViewId="0">
      <selection activeCell="Y4" sqref="Y4"/>
    </sheetView>
  </sheetViews>
  <sheetFormatPr defaultColWidth="8.7109375" defaultRowHeight="15" x14ac:dyDescent="0.25"/>
  <cols>
    <col min="1" max="1" width="7.140625" style="568" customWidth="1"/>
    <col min="2" max="2" width="7.140625" style="569" customWidth="1"/>
    <col min="3" max="3" width="25.7109375" style="569" customWidth="1"/>
    <col min="4" max="4" width="9.140625" style="570" customWidth="1"/>
    <col min="5" max="5" width="7.140625" style="570" customWidth="1"/>
    <col min="6" max="6" width="10.5703125" style="570" customWidth="1"/>
    <col min="7" max="7" width="8.7109375" style="570" customWidth="1"/>
    <col min="8" max="8" width="7.7109375" style="570" customWidth="1"/>
    <col min="9" max="9" width="9.140625" style="570" customWidth="1"/>
    <col min="10" max="10" width="8.28515625" style="570" customWidth="1"/>
    <col min="11" max="11" width="7.7109375" style="570" customWidth="1"/>
    <col min="12" max="13" width="9.28515625" style="570" customWidth="1"/>
    <col min="14" max="14" width="6.5703125" style="570" customWidth="1"/>
    <col min="15" max="16" width="9.42578125" style="570" customWidth="1"/>
    <col min="17" max="17" width="7" style="570" customWidth="1"/>
    <col min="18" max="18" width="9.5703125" style="570" customWidth="1"/>
    <col min="19" max="19" width="7.42578125" style="570" customWidth="1"/>
    <col min="20" max="20" width="7.28515625" style="570" customWidth="1"/>
    <col min="21" max="21" width="7" style="570" customWidth="1"/>
    <col min="22" max="22" width="7.42578125" style="570" customWidth="1"/>
    <col min="23" max="23" width="7.28515625" style="570" customWidth="1"/>
    <col min="24" max="24" width="7" style="570" customWidth="1"/>
    <col min="25" max="16384" width="8.7109375" style="544"/>
  </cols>
  <sheetData>
    <row r="1" spans="1:26" x14ac:dyDescent="0.25">
      <c r="A1" s="541"/>
      <c r="B1" s="542"/>
      <c r="C1" s="542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</row>
    <row r="2" spans="1:26" ht="42" customHeight="1" x14ac:dyDescent="0.25">
      <c r="A2" s="1347" t="s">
        <v>0</v>
      </c>
      <c r="B2" s="1356" t="s">
        <v>182</v>
      </c>
      <c r="C2" s="1357"/>
      <c r="D2" s="1350" t="s">
        <v>180</v>
      </c>
      <c r="E2" s="1351"/>
      <c r="F2" s="1352"/>
      <c r="G2" s="1339" t="s">
        <v>296</v>
      </c>
      <c r="H2" s="1340"/>
      <c r="I2" s="1341"/>
      <c r="J2" s="1339" t="s">
        <v>297</v>
      </c>
      <c r="K2" s="1340"/>
      <c r="L2" s="1341"/>
      <c r="M2" s="1339" t="s">
        <v>298</v>
      </c>
      <c r="N2" s="1340"/>
      <c r="O2" s="1341"/>
      <c r="P2" s="1339" t="s">
        <v>789</v>
      </c>
      <c r="Q2" s="1340"/>
      <c r="R2" s="1341"/>
      <c r="S2" s="1339" t="s">
        <v>299</v>
      </c>
      <c r="T2" s="1340"/>
      <c r="U2" s="1341"/>
      <c r="V2" s="1339" t="s">
        <v>816</v>
      </c>
      <c r="W2" s="1340"/>
      <c r="X2" s="1341"/>
    </row>
    <row r="3" spans="1:26" ht="15" customHeight="1" x14ac:dyDescent="0.25">
      <c r="A3" s="1348"/>
      <c r="B3" s="1358"/>
      <c r="C3" s="1359"/>
      <c r="D3" s="1353"/>
      <c r="E3" s="1354"/>
      <c r="F3" s="1355"/>
      <c r="G3" s="1339" t="s">
        <v>189</v>
      </c>
      <c r="H3" s="1340"/>
      <c r="I3" s="1341"/>
      <c r="J3" s="1339" t="s">
        <v>189</v>
      </c>
      <c r="K3" s="1340"/>
      <c r="L3" s="1341"/>
      <c r="M3" s="1339" t="s">
        <v>189</v>
      </c>
      <c r="N3" s="1340"/>
      <c r="O3" s="1341"/>
      <c r="P3" s="1339" t="s">
        <v>189</v>
      </c>
      <c r="Q3" s="1340"/>
      <c r="R3" s="1341"/>
      <c r="S3" s="1339" t="s">
        <v>189</v>
      </c>
      <c r="T3" s="1340"/>
      <c r="U3" s="1341"/>
      <c r="V3" s="1339" t="s">
        <v>189</v>
      </c>
      <c r="W3" s="1340"/>
      <c r="X3" s="1341"/>
    </row>
    <row r="4" spans="1:26" s="545" customFormat="1" ht="25.5" customHeight="1" x14ac:dyDescent="0.25">
      <c r="A4" s="1349"/>
      <c r="B4" s="1360"/>
      <c r="C4" s="1361"/>
      <c r="D4" s="1071" t="s">
        <v>973</v>
      </c>
      <c r="E4" s="1071" t="s">
        <v>727</v>
      </c>
      <c r="F4" s="1071" t="s">
        <v>972</v>
      </c>
      <c r="G4" s="1071" t="s">
        <v>973</v>
      </c>
      <c r="H4" s="1071" t="s">
        <v>727</v>
      </c>
      <c r="I4" s="1071" t="s">
        <v>972</v>
      </c>
      <c r="J4" s="1071" t="s">
        <v>973</v>
      </c>
      <c r="K4" s="1071" t="s">
        <v>727</v>
      </c>
      <c r="L4" s="1071" t="s">
        <v>972</v>
      </c>
      <c r="M4" s="1071" t="s">
        <v>973</v>
      </c>
      <c r="N4" s="1071" t="s">
        <v>727</v>
      </c>
      <c r="O4" s="1071" t="s">
        <v>972</v>
      </c>
      <c r="P4" s="1071" t="s">
        <v>973</v>
      </c>
      <c r="Q4" s="1071" t="s">
        <v>727</v>
      </c>
      <c r="R4" s="1071" t="s">
        <v>972</v>
      </c>
      <c r="S4" s="1071" t="s">
        <v>973</v>
      </c>
      <c r="T4" s="1071" t="s">
        <v>727</v>
      </c>
      <c r="U4" s="1071" t="s">
        <v>972</v>
      </c>
      <c r="V4" s="1071" t="s">
        <v>973</v>
      </c>
      <c r="W4" s="1071" t="s">
        <v>727</v>
      </c>
      <c r="X4" s="1071" t="s">
        <v>972</v>
      </c>
    </row>
    <row r="5" spans="1:26" ht="26.25" customHeight="1" x14ac:dyDescent="0.25">
      <c r="A5" s="546" t="s">
        <v>2</v>
      </c>
      <c r="B5" s="1343" t="s">
        <v>1</v>
      </c>
      <c r="C5" s="1344"/>
      <c r="D5" s="1080">
        <f>+G5+J5+M5+S5+V5</f>
        <v>26419</v>
      </c>
      <c r="E5" s="1080">
        <f>+H5+K5+N5+T5+W5</f>
        <v>-688</v>
      </c>
      <c r="F5" s="1080">
        <f>+I5+L5+O5+U5+X5</f>
        <v>25731</v>
      </c>
      <c r="G5" s="1080">
        <v>12617</v>
      </c>
      <c r="H5" s="1080">
        <f>81+81-129-4-400+81-48</f>
        <v>-338</v>
      </c>
      <c r="I5" s="1080">
        <f>+H5+G5</f>
        <v>12279</v>
      </c>
      <c r="J5" s="1080">
        <v>6199</v>
      </c>
      <c r="K5" s="1080">
        <f>44+44-200+44+190</f>
        <v>122</v>
      </c>
      <c r="L5" s="1080">
        <f>+K5+J5</f>
        <v>6321</v>
      </c>
      <c r="M5" s="1080">
        <v>1284</v>
      </c>
      <c r="N5" s="1080">
        <v>-393</v>
      </c>
      <c r="O5" s="1080">
        <f>+N5+M5</f>
        <v>891</v>
      </c>
      <c r="P5" s="1080"/>
      <c r="Q5" s="1080"/>
      <c r="R5" s="1080"/>
      <c r="S5" s="1080">
        <v>68</v>
      </c>
      <c r="T5" s="1080"/>
      <c r="U5" s="1080">
        <f>+T5+S5</f>
        <v>68</v>
      </c>
      <c r="V5" s="1080">
        <v>6251</v>
      </c>
      <c r="W5" s="1080">
        <f>-5-4-70</f>
        <v>-79</v>
      </c>
      <c r="X5" s="1080">
        <f>+W5+V5</f>
        <v>6172</v>
      </c>
      <c r="Z5" s="544" t="s">
        <v>678</v>
      </c>
    </row>
    <row r="6" spans="1:26" ht="15" customHeight="1" x14ac:dyDescent="0.25">
      <c r="A6" s="546" t="s">
        <v>4</v>
      </c>
      <c r="B6" s="1343" t="s">
        <v>3</v>
      </c>
      <c r="C6" s="1344"/>
      <c r="D6" s="1080">
        <f t="shared" ref="D6:F22" si="0">+G6+J6+M6+S6+V6</f>
        <v>0</v>
      </c>
      <c r="E6" s="1080">
        <f t="shared" si="0"/>
        <v>670</v>
      </c>
      <c r="F6" s="1080">
        <f t="shared" si="0"/>
        <v>670</v>
      </c>
      <c r="G6" s="1080"/>
      <c r="H6" s="1080">
        <v>400</v>
      </c>
      <c r="I6" s="1080">
        <f t="shared" ref="I6:I18" si="1">+H6+G6</f>
        <v>400</v>
      </c>
      <c r="J6" s="1080"/>
      <c r="K6" s="1080">
        <v>200</v>
      </c>
      <c r="L6" s="1080">
        <f t="shared" ref="L6:L18" si="2">+K6+J6</f>
        <v>200</v>
      </c>
      <c r="M6" s="1080"/>
      <c r="N6" s="1080"/>
      <c r="O6" s="1080">
        <f t="shared" ref="O6:O18" si="3">+N6+M6</f>
        <v>0</v>
      </c>
      <c r="P6" s="1080"/>
      <c r="Q6" s="1080"/>
      <c r="R6" s="1080"/>
      <c r="S6" s="1080"/>
      <c r="T6" s="1080"/>
      <c r="U6" s="1080">
        <f t="shared" ref="U6:U18" si="4">+T6+S6</f>
        <v>0</v>
      </c>
      <c r="V6" s="1080"/>
      <c r="W6" s="1080">
        <f>70</f>
        <v>70</v>
      </c>
      <c r="X6" s="1080">
        <f t="shared" ref="X6:X18" si="5">+W6+V6</f>
        <v>70</v>
      </c>
    </row>
    <row r="7" spans="1:26" ht="15" customHeight="1" x14ac:dyDescent="0.25">
      <c r="A7" s="546" t="s">
        <v>6</v>
      </c>
      <c r="B7" s="1343" t="s">
        <v>5</v>
      </c>
      <c r="C7" s="1344"/>
      <c r="D7" s="1080">
        <f t="shared" si="0"/>
        <v>0</v>
      </c>
      <c r="E7" s="1080">
        <f t="shared" si="0"/>
        <v>0</v>
      </c>
      <c r="F7" s="1080">
        <f t="shared" si="0"/>
        <v>0</v>
      </c>
      <c r="G7" s="1080"/>
      <c r="H7" s="1080"/>
      <c r="I7" s="1080">
        <f t="shared" si="1"/>
        <v>0</v>
      </c>
      <c r="J7" s="1080"/>
      <c r="K7" s="1080"/>
      <c r="L7" s="1080">
        <f t="shared" si="2"/>
        <v>0</v>
      </c>
      <c r="M7" s="1080"/>
      <c r="N7" s="1080"/>
      <c r="O7" s="1080">
        <f t="shared" si="3"/>
        <v>0</v>
      </c>
      <c r="P7" s="1080"/>
      <c r="Q7" s="1080"/>
      <c r="R7" s="1080"/>
      <c r="S7" s="1080"/>
      <c r="T7" s="1080"/>
      <c r="U7" s="1080">
        <f t="shared" si="4"/>
        <v>0</v>
      </c>
      <c r="V7" s="1080"/>
      <c r="W7" s="1080"/>
      <c r="X7" s="1080">
        <f t="shared" si="5"/>
        <v>0</v>
      </c>
    </row>
    <row r="8" spans="1:26" ht="27" customHeight="1" x14ac:dyDescent="0.25">
      <c r="A8" s="546" t="s">
        <v>8</v>
      </c>
      <c r="B8" s="1343" t="s">
        <v>7</v>
      </c>
      <c r="C8" s="1344"/>
      <c r="D8" s="1080">
        <f t="shared" si="0"/>
        <v>0</v>
      </c>
      <c r="E8" s="1080">
        <f t="shared" si="0"/>
        <v>0</v>
      </c>
      <c r="F8" s="1080">
        <f t="shared" si="0"/>
        <v>0</v>
      </c>
      <c r="G8" s="1080"/>
      <c r="H8" s="1080"/>
      <c r="I8" s="1080">
        <f t="shared" si="1"/>
        <v>0</v>
      </c>
      <c r="J8" s="1080"/>
      <c r="K8" s="1080"/>
      <c r="L8" s="1080">
        <f t="shared" si="2"/>
        <v>0</v>
      </c>
      <c r="M8" s="1080"/>
      <c r="N8" s="1080"/>
      <c r="O8" s="1080">
        <f t="shared" si="3"/>
        <v>0</v>
      </c>
      <c r="P8" s="1080"/>
      <c r="Q8" s="1080"/>
      <c r="R8" s="1080"/>
      <c r="S8" s="1080"/>
      <c r="T8" s="1080"/>
      <c r="U8" s="1080">
        <f t="shared" si="4"/>
        <v>0</v>
      </c>
      <c r="V8" s="1080"/>
      <c r="W8" s="1080"/>
      <c r="X8" s="1080">
        <f t="shared" si="5"/>
        <v>0</v>
      </c>
    </row>
    <row r="9" spans="1:26" ht="15" customHeight="1" x14ac:dyDescent="0.25">
      <c r="A9" s="546" t="s">
        <v>10</v>
      </c>
      <c r="B9" s="1343" t="s">
        <v>9</v>
      </c>
      <c r="C9" s="1344"/>
      <c r="D9" s="1080">
        <f t="shared" si="0"/>
        <v>0</v>
      </c>
      <c r="E9" s="1080">
        <f t="shared" si="0"/>
        <v>0</v>
      </c>
      <c r="F9" s="1080">
        <f t="shared" si="0"/>
        <v>0</v>
      </c>
      <c r="G9" s="1080"/>
      <c r="H9" s="1080"/>
      <c r="I9" s="1080">
        <f t="shared" si="1"/>
        <v>0</v>
      </c>
      <c r="J9" s="1080"/>
      <c r="K9" s="1080"/>
      <c r="L9" s="1080">
        <f t="shared" si="2"/>
        <v>0</v>
      </c>
      <c r="M9" s="1080"/>
      <c r="N9" s="1080"/>
      <c r="O9" s="1080">
        <f t="shared" si="3"/>
        <v>0</v>
      </c>
      <c r="P9" s="1080"/>
      <c r="Q9" s="1080"/>
      <c r="R9" s="1080"/>
      <c r="S9" s="1080"/>
      <c r="T9" s="1080"/>
      <c r="U9" s="1080">
        <f t="shared" si="4"/>
        <v>0</v>
      </c>
      <c r="V9" s="1080"/>
      <c r="W9" s="1080"/>
      <c r="X9" s="1080">
        <f t="shared" si="5"/>
        <v>0</v>
      </c>
    </row>
    <row r="10" spans="1:26" ht="15" customHeight="1" x14ac:dyDescent="0.25">
      <c r="A10" s="546" t="s">
        <v>12</v>
      </c>
      <c r="B10" s="1343" t="s">
        <v>11</v>
      </c>
      <c r="C10" s="1344"/>
      <c r="D10" s="1080">
        <f t="shared" si="0"/>
        <v>641</v>
      </c>
      <c r="E10" s="1080">
        <f t="shared" si="0"/>
        <v>0</v>
      </c>
      <c r="F10" s="1080">
        <f t="shared" si="0"/>
        <v>641</v>
      </c>
      <c r="G10" s="1080"/>
      <c r="H10" s="1080"/>
      <c r="I10" s="1080">
        <f t="shared" si="1"/>
        <v>0</v>
      </c>
      <c r="J10" s="1080">
        <v>641</v>
      </c>
      <c r="K10" s="1080"/>
      <c r="L10" s="1080">
        <f t="shared" si="2"/>
        <v>641</v>
      </c>
      <c r="M10" s="1080"/>
      <c r="N10" s="1080"/>
      <c r="O10" s="1080">
        <f t="shared" si="3"/>
        <v>0</v>
      </c>
      <c r="P10" s="1080"/>
      <c r="Q10" s="1080"/>
      <c r="R10" s="1080"/>
      <c r="S10" s="1080"/>
      <c r="T10" s="1080"/>
      <c r="U10" s="1080">
        <f t="shared" si="4"/>
        <v>0</v>
      </c>
      <c r="V10" s="1080"/>
      <c r="W10" s="1080"/>
      <c r="X10" s="1080">
        <f t="shared" si="5"/>
        <v>0</v>
      </c>
    </row>
    <row r="11" spans="1:26" ht="15" customHeight="1" x14ac:dyDescent="0.25">
      <c r="A11" s="546" t="s">
        <v>14</v>
      </c>
      <c r="B11" s="1343" t="s">
        <v>13</v>
      </c>
      <c r="C11" s="1344"/>
      <c r="D11" s="1080">
        <f t="shared" si="0"/>
        <v>575</v>
      </c>
      <c r="E11" s="1080">
        <f t="shared" si="0"/>
        <v>0</v>
      </c>
      <c r="F11" s="1080">
        <f t="shared" si="0"/>
        <v>575</v>
      </c>
      <c r="G11" s="1080">
        <v>240</v>
      </c>
      <c r="H11" s="1080"/>
      <c r="I11" s="1080">
        <f t="shared" si="1"/>
        <v>240</v>
      </c>
      <c r="J11" s="1080">
        <v>120</v>
      </c>
      <c r="K11" s="1080"/>
      <c r="L11" s="1080">
        <f t="shared" si="2"/>
        <v>120</v>
      </c>
      <c r="M11" s="1080"/>
      <c r="N11" s="1080"/>
      <c r="O11" s="1080">
        <f t="shared" si="3"/>
        <v>0</v>
      </c>
      <c r="P11" s="1080"/>
      <c r="Q11" s="1080"/>
      <c r="R11" s="1080"/>
      <c r="S11" s="1080">
        <v>60</v>
      </c>
      <c r="T11" s="1080"/>
      <c r="U11" s="1080">
        <f t="shared" si="4"/>
        <v>60</v>
      </c>
      <c r="V11" s="1080">
        <v>155</v>
      </c>
      <c r="W11" s="1080"/>
      <c r="X11" s="1080">
        <f t="shared" si="5"/>
        <v>155</v>
      </c>
    </row>
    <row r="12" spans="1:26" ht="15" customHeight="1" x14ac:dyDescent="0.25">
      <c r="A12" s="546" t="s">
        <v>16</v>
      </c>
      <c r="B12" s="1343" t="s">
        <v>15</v>
      </c>
      <c r="C12" s="1344"/>
      <c r="D12" s="1080">
        <f t="shared" si="0"/>
        <v>0</v>
      </c>
      <c r="E12" s="1080">
        <f t="shared" si="0"/>
        <v>0</v>
      </c>
      <c r="F12" s="1080">
        <f t="shared" si="0"/>
        <v>0</v>
      </c>
      <c r="G12" s="1080"/>
      <c r="H12" s="1080"/>
      <c r="I12" s="1080">
        <f t="shared" si="1"/>
        <v>0</v>
      </c>
      <c r="J12" s="1080"/>
      <c r="K12" s="1080"/>
      <c r="L12" s="1080">
        <f t="shared" si="2"/>
        <v>0</v>
      </c>
      <c r="M12" s="1080"/>
      <c r="N12" s="1080"/>
      <c r="O12" s="1080">
        <f t="shared" si="3"/>
        <v>0</v>
      </c>
      <c r="P12" s="1080"/>
      <c r="Q12" s="1080"/>
      <c r="R12" s="1080"/>
      <c r="S12" s="1080"/>
      <c r="T12" s="1080"/>
      <c r="U12" s="1080">
        <f t="shared" si="4"/>
        <v>0</v>
      </c>
      <c r="V12" s="1080"/>
      <c r="W12" s="1080"/>
      <c r="X12" s="1080">
        <f t="shared" si="5"/>
        <v>0</v>
      </c>
    </row>
    <row r="13" spans="1:26" ht="15" customHeight="1" x14ac:dyDescent="0.25">
      <c r="A13" s="546" t="s">
        <v>18</v>
      </c>
      <c r="B13" s="1343" t="s">
        <v>17</v>
      </c>
      <c r="C13" s="1344"/>
      <c r="D13" s="1080">
        <f t="shared" si="0"/>
        <v>241</v>
      </c>
      <c r="E13" s="1080">
        <f t="shared" si="0"/>
        <v>-56</v>
      </c>
      <c r="F13" s="1080">
        <f t="shared" si="0"/>
        <v>185</v>
      </c>
      <c r="G13" s="1080"/>
      <c r="H13" s="1080"/>
      <c r="I13" s="1080">
        <f t="shared" si="1"/>
        <v>0</v>
      </c>
      <c r="J13" s="1080"/>
      <c r="K13" s="1080"/>
      <c r="L13" s="1080">
        <f t="shared" si="2"/>
        <v>0</v>
      </c>
      <c r="M13" s="1080">
        <v>173</v>
      </c>
      <c r="N13" s="1080"/>
      <c r="O13" s="1080">
        <f t="shared" si="3"/>
        <v>173</v>
      </c>
      <c r="P13" s="1080"/>
      <c r="Q13" s="1080"/>
      <c r="R13" s="1080"/>
      <c r="S13" s="1080">
        <v>61</v>
      </c>
      <c r="T13" s="1080">
        <v>-60</v>
      </c>
      <c r="U13" s="1080">
        <f t="shared" si="4"/>
        <v>1</v>
      </c>
      <c r="V13" s="1080">
        <v>7</v>
      </c>
      <c r="W13" s="1080">
        <v>4</v>
      </c>
      <c r="X13" s="1080">
        <f t="shared" si="5"/>
        <v>11</v>
      </c>
    </row>
    <row r="14" spans="1:26" ht="15" customHeight="1" x14ac:dyDescent="0.25">
      <c r="A14" s="546" t="s">
        <v>20</v>
      </c>
      <c r="B14" s="1343" t="s">
        <v>19</v>
      </c>
      <c r="C14" s="1344"/>
      <c r="D14" s="1080">
        <f t="shared" si="0"/>
        <v>0</v>
      </c>
      <c r="E14" s="1080">
        <f t="shared" si="0"/>
        <v>0</v>
      </c>
      <c r="F14" s="1080">
        <f t="shared" si="0"/>
        <v>0</v>
      </c>
      <c r="G14" s="1080"/>
      <c r="H14" s="1080"/>
      <c r="I14" s="1080">
        <f t="shared" si="1"/>
        <v>0</v>
      </c>
      <c r="J14" s="1080"/>
      <c r="K14" s="1080"/>
      <c r="L14" s="1080">
        <f t="shared" si="2"/>
        <v>0</v>
      </c>
      <c r="M14" s="1080"/>
      <c r="N14" s="1080"/>
      <c r="O14" s="1080">
        <f t="shared" si="3"/>
        <v>0</v>
      </c>
      <c r="P14" s="1080"/>
      <c r="Q14" s="1080"/>
      <c r="R14" s="1080"/>
      <c r="S14" s="1080"/>
      <c r="T14" s="1080"/>
      <c r="U14" s="1080">
        <f t="shared" si="4"/>
        <v>0</v>
      </c>
      <c r="V14" s="1080"/>
      <c r="W14" s="1080"/>
      <c r="X14" s="1080">
        <f t="shared" si="5"/>
        <v>0</v>
      </c>
    </row>
    <row r="15" spans="1:26" ht="15" customHeight="1" x14ac:dyDescent="0.25">
      <c r="A15" s="546" t="s">
        <v>22</v>
      </c>
      <c r="B15" s="1343" t="s">
        <v>21</v>
      </c>
      <c r="C15" s="1344"/>
      <c r="D15" s="1080">
        <f t="shared" si="0"/>
        <v>359</v>
      </c>
      <c r="E15" s="1080">
        <f t="shared" si="0"/>
        <v>76</v>
      </c>
      <c r="F15" s="1080">
        <f t="shared" si="0"/>
        <v>435</v>
      </c>
      <c r="G15" s="1080">
        <v>359</v>
      </c>
      <c r="H15" s="1080">
        <f>4+60+12</f>
        <v>76</v>
      </c>
      <c r="I15" s="1080">
        <f t="shared" si="1"/>
        <v>435</v>
      </c>
      <c r="J15" s="1080"/>
      <c r="K15" s="1080"/>
      <c r="L15" s="1080">
        <f t="shared" si="2"/>
        <v>0</v>
      </c>
      <c r="M15" s="1080"/>
      <c r="N15" s="1080"/>
      <c r="O15" s="1080">
        <f t="shared" si="3"/>
        <v>0</v>
      </c>
      <c r="P15" s="1080"/>
      <c r="Q15" s="1080"/>
      <c r="R15" s="1080"/>
      <c r="S15" s="1080"/>
      <c r="T15" s="1080"/>
      <c r="U15" s="1080">
        <f t="shared" si="4"/>
        <v>0</v>
      </c>
      <c r="V15" s="1080"/>
      <c r="W15" s="1080"/>
      <c r="X15" s="1080">
        <f t="shared" si="5"/>
        <v>0</v>
      </c>
    </row>
    <row r="16" spans="1:26" ht="15" customHeight="1" x14ac:dyDescent="0.25">
      <c r="A16" s="546" t="s">
        <v>24</v>
      </c>
      <c r="B16" s="1343" t="s">
        <v>23</v>
      </c>
      <c r="C16" s="1344"/>
      <c r="D16" s="1080">
        <f t="shared" si="0"/>
        <v>0</v>
      </c>
      <c r="E16" s="1080">
        <f t="shared" si="0"/>
        <v>0</v>
      </c>
      <c r="F16" s="1080">
        <f t="shared" si="0"/>
        <v>0</v>
      </c>
      <c r="G16" s="1080"/>
      <c r="H16" s="1080"/>
      <c r="I16" s="1080">
        <f t="shared" si="1"/>
        <v>0</v>
      </c>
      <c r="J16" s="1080"/>
      <c r="K16" s="1080"/>
      <c r="L16" s="1080">
        <f t="shared" si="2"/>
        <v>0</v>
      </c>
      <c r="M16" s="1080"/>
      <c r="N16" s="1080"/>
      <c r="O16" s="1080">
        <f t="shared" si="3"/>
        <v>0</v>
      </c>
      <c r="P16" s="1080"/>
      <c r="Q16" s="1080"/>
      <c r="R16" s="1080"/>
      <c r="S16" s="1080"/>
      <c r="T16" s="1080"/>
      <c r="U16" s="1080">
        <f t="shared" si="4"/>
        <v>0</v>
      </c>
      <c r="V16" s="1080"/>
      <c r="W16" s="1080"/>
      <c r="X16" s="1080">
        <f t="shared" si="5"/>
        <v>0</v>
      </c>
    </row>
    <row r="17" spans="1:24" ht="23.25" customHeight="1" x14ac:dyDescent="0.25">
      <c r="A17" s="546" t="s">
        <v>25</v>
      </c>
      <c r="B17" s="1343" t="s">
        <v>175</v>
      </c>
      <c r="C17" s="1344"/>
      <c r="D17" s="1080">
        <f t="shared" si="0"/>
        <v>359</v>
      </c>
      <c r="E17" s="1080">
        <f t="shared" si="0"/>
        <v>32</v>
      </c>
      <c r="F17" s="1080">
        <f t="shared" si="0"/>
        <v>391</v>
      </c>
      <c r="G17" s="1080">
        <v>350</v>
      </c>
      <c r="H17" s="1080">
        <v>32</v>
      </c>
      <c r="I17" s="1081">
        <f t="shared" si="1"/>
        <v>382</v>
      </c>
      <c r="J17" s="1080"/>
      <c r="K17" s="1080"/>
      <c r="L17" s="1080">
        <f t="shared" si="2"/>
        <v>0</v>
      </c>
      <c r="M17" s="1080"/>
      <c r="N17" s="1080"/>
      <c r="O17" s="1080">
        <f t="shared" si="3"/>
        <v>0</v>
      </c>
      <c r="P17" s="1080"/>
      <c r="Q17" s="1080"/>
      <c r="R17" s="1080"/>
      <c r="S17" s="1080"/>
      <c r="T17" s="1080"/>
      <c r="U17" s="1080">
        <f t="shared" si="4"/>
        <v>0</v>
      </c>
      <c r="V17" s="1080">
        <v>9</v>
      </c>
      <c r="W17" s="1080"/>
      <c r="X17" s="1080">
        <f t="shared" si="5"/>
        <v>9</v>
      </c>
    </row>
    <row r="18" spans="1:24" ht="15" customHeight="1" x14ac:dyDescent="0.25">
      <c r="A18" s="546" t="s">
        <v>25</v>
      </c>
      <c r="B18" s="1343" t="s">
        <v>26</v>
      </c>
      <c r="C18" s="1344"/>
      <c r="D18" s="1080">
        <f t="shared" si="0"/>
        <v>0</v>
      </c>
      <c r="E18" s="1080">
        <f t="shared" si="0"/>
        <v>0</v>
      </c>
      <c r="F18" s="1080">
        <f t="shared" si="0"/>
        <v>0</v>
      </c>
      <c r="G18" s="1080"/>
      <c r="H18" s="1080"/>
      <c r="I18" s="1080">
        <f t="shared" si="1"/>
        <v>0</v>
      </c>
      <c r="J18" s="1080"/>
      <c r="K18" s="1080"/>
      <c r="L18" s="1080">
        <f t="shared" si="2"/>
        <v>0</v>
      </c>
      <c r="M18" s="1080"/>
      <c r="N18" s="1080"/>
      <c r="O18" s="1080">
        <f t="shared" si="3"/>
        <v>0</v>
      </c>
      <c r="P18" s="1080"/>
      <c r="Q18" s="1080"/>
      <c r="R18" s="1080"/>
      <c r="S18" s="1080"/>
      <c r="T18" s="1080"/>
      <c r="U18" s="1080">
        <f t="shared" si="4"/>
        <v>0</v>
      </c>
      <c r="V18" s="1080"/>
      <c r="W18" s="1080"/>
      <c r="X18" s="1080">
        <f t="shared" si="5"/>
        <v>0</v>
      </c>
    </row>
    <row r="19" spans="1:24" s="549" customFormat="1" ht="15" customHeight="1" x14ac:dyDescent="0.25">
      <c r="A19" s="547" t="s">
        <v>27</v>
      </c>
      <c r="B19" s="1345" t="s">
        <v>424</v>
      </c>
      <c r="C19" s="1346"/>
      <c r="D19" s="1082">
        <f>SUM(D5:D18)</f>
        <v>28594</v>
      </c>
      <c r="E19" s="1082">
        <f>SUM(E5:E18)</f>
        <v>34</v>
      </c>
      <c r="F19" s="1082">
        <f t="shared" ref="F19:X19" si="6">SUM(F5:F18)</f>
        <v>28628</v>
      </c>
      <c r="G19" s="1082">
        <f t="shared" si="6"/>
        <v>13566</v>
      </c>
      <c r="H19" s="1082">
        <f t="shared" si="6"/>
        <v>170</v>
      </c>
      <c r="I19" s="1082">
        <f t="shared" si="6"/>
        <v>13736</v>
      </c>
      <c r="J19" s="1082">
        <f t="shared" si="6"/>
        <v>6960</v>
      </c>
      <c r="K19" s="1082">
        <f t="shared" si="6"/>
        <v>322</v>
      </c>
      <c r="L19" s="1082">
        <f t="shared" si="6"/>
        <v>7282</v>
      </c>
      <c r="M19" s="1082">
        <f t="shared" si="6"/>
        <v>1457</v>
      </c>
      <c r="N19" s="1082">
        <f t="shared" si="6"/>
        <v>-393</v>
      </c>
      <c r="O19" s="1082">
        <f t="shared" si="6"/>
        <v>1064</v>
      </c>
      <c r="P19" s="1082">
        <f t="shared" si="6"/>
        <v>0</v>
      </c>
      <c r="Q19" s="1082">
        <f t="shared" si="6"/>
        <v>0</v>
      </c>
      <c r="R19" s="1082">
        <f t="shared" si="6"/>
        <v>0</v>
      </c>
      <c r="S19" s="1082">
        <f t="shared" si="6"/>
        <v>189</v>
      </c>
      <c r="T19" s="1082">
        <f t="shared" si="6"/>
        <v>-60</v>
      </c>
      <c r="U19" s="1082">
        <f t="shared" si="6"/>
        <v>129</v>
      </c>
      <c r="V19" s="1082">
        <f t="shared" si="6"/>
        <v>6422</v>
      </c>
      <c r="W19" s="1082">
        <f t="shared" si="6"/>
        <v>-5</v>
      </c>
      <c r="X19" s="1082">
        <f t="shared" si="6"/>
        <v>6417</v>
      </c>
    </row>
    <row r="20" spans="1:24" ht="15" customHeight="1" x14ac:dyDescent="0.25">
      <c r="A20" s="546" t="s">
        <v>29</v>
      </c>
      <c r="B20" s="1343" t="s">
        <v>28</v>
      </c>
      <c r="C20" s="1344"/>
      <c r="D20" s="1080">
        <f t="shared" si="0"/>
        <v>0</v>
      </c>
      <c r="E20" s="1080">
        <f t="shared" ref="E20:E21" si="7">+H20+K20+N20+T20</f>
        <v>0</v>
      </c>
      <c r="F20" s="1080">
        <f t="shared" ref="F20:F22" si="8">+I20+L20+O20+U20+X20</f>
        <v>0</v>
      </c>
      <c r="G20" s="1080"/>
      <c r="H20" s="1080"/>
      <c r="I20" s="1080">
        <f>+H20+G20</f>
        <v>0</v>
      </c>
      <c r="J20" s="1080"/>
      <c r="K20" s="1080"/>
      <c r="L20" s="1080">
        <f>+K20+J20</f>
        <v>0</v>
      </c>
      <c r="M20" s="1080"/>
      <c r="N20" s="1080"/>
      <c r="O20" s="1080">
        <f>+N20+M20</f>
        <v>0</v>
      </c>
      <c r="P20" s="1080"/>
      <c r="Q20" s="1080"/>
      <c r="R20" s="1080"/>
      <c r="S20" s="1080"/>
      <c r="T20" s="1080"/>
      <c r="U20" s="1080">
        <f>+T20+S20</f>
        <v>0</v>
      </c>
      <c r="V20" s="1080"/>
      <c r="W20" s="1080"/>
      <c r="X20" s="1080">
        <f>+W20+V20</f>
        <v>0</v>
      </c>
    </row>
    <row r="21" spans="1:24" ht="40.5" customHeight="1" x14ac:dyDescent="0.25">
      <c r="A21" s="546" t="s">
        <v>648</v>
      </c>
      <c r="B21" s="1343" t="s">
        <v>30</v>
      </c>
      <c r="C21" s="1344"/>
      <c r="D21" s="1080">
        <f t="shared" si="0"/>
        <v>3937</v>
      </c>
      <c r="E21" s="1080">
        <f t="shared" si="7"/>
        <v>478</v>
      </c>
      <c r="F21" s="1080">
        <f t="shared" si="8"/>
        <v>4415</v>
      </c>
      <c r="G21" s="1080">
        <v>1425</v>
      </c>
      <c r="H21" s="1080">
        <f>129-44</f>
        <v>85</v>
      </c>
      <c r="I21" s="1080">
        <f>+H21+G21</f>
        <v>1510</v>
      </c>
      <c r="J21" s="1080"/>
      <c r="K21" s="1080"/>
      <c r="L21" s="1080">
        <f t="shared" ref="L21:L22" si="9">+K21+J21</f>
        <v>0</v>
      </c>
      <c r="M21" s="1080">
        <v>1138</v>
      </c>
      <c r="N21" s="1080">
        <v>393</v>
      </c>
      <c r="O21" s="1080">
        <f t="shared" ref="O21:O22" si="10">+N21+M21</f>
        <v>1531</v>
      </c>
      <c r="P21" s="1080"/>
      <c r="Q21" s="1080"/>
      <c r="R21" s="1080"/>
      <c r="S21" s="1080">
        <v>1374</v>
      </c>
      <c r="T21" s="1080">
        <v>0</v>
      </c>
      <c r="U21" s="1080">
        <f t="shared" ref="U21:U22" si="11">+T21+S21</f>
        <v>1374</v>
      </c>
      <c r="V21" s="1080"/>
      <c r="W21" s="1080"/>
      <c r="X21" s="1080">
        <f t="shared" ref="X21:X22" si="12">+W21+V21</f>
        <v>0</v>
      </c>
    </row>
    <row r="22" spans="1:24" ht="15" customHeight="1" x14ac:dyDescent="0.25">
      <c r="A22" s="546" t="s">
        <v>32</v>
      </c>
      <c r="B22" s="1343" t="s">
        <v>31</v>
      </c>
      <c r="C22" s="1344"/>
      <c r="D22" s="1080">
        <f t="shared" si="0"/>
        <v>69</v>
      </c>
      <c r="E22" s="1080">
        <f>+H22+K22+N22+T22+W22</f>
        <v>36</v>
      </c>
      <c r="F22" s="1080">
        <f t="shared" si="8"/>
        <v>105</v>
      </c>
      <c r="G22" s="1080">
        <v>69</v>
      </c>
      <c r="H22" s="1080">
        <v>36</v>
      </c>
      <c r="I22" s="1080">
        <f>+H22+G22</f>
        <v>105</v>
      </c>
      <c r="J22" s="1080"/>
      <c r="K22" s="1080">
        <v>0</v>
      </c>
      <c r="L22" s="1080">
        <f t="shared" si="9"/>
        <v>0</v>
      </c>
      <c r="M22" s="1080"/>
      <c r="N22" s="1080"/>
      <c r="O22" s="1080">
        <f t="shared" si="10"/>
        <v>0</v>
      </c>
      <c r="P22" s="1080"/>
      <c r="Q22" s="1080"/>
      <c r="R22" s="1080"/>
      <c r="S22" s="1080"/>
      <c r="T22" s="1080"/>
      <c r="U22" s="1080">
        <f t="shared" si="11"/>
        <v>0</v>
      </c>
      <c r="V22" s="1080"/>
      <c r="W22" s="1080"/>
      <c r="X22" s="1080">
        <f t="shared" si="12"/>
        <v>0</v>
      </c>
    </row>
    <row r="23" spans="1:24" s="549" customFormat="1" ht="15" customHeight="1" x14ac:dyDescent="0.25">
      <c r="A23" s="547" t="s">
        <v>33</v>
      </c>
      <c r="B23" s="1345" t="s">
        <v>425</v>
      </c>
      <c r="C23" s="1346"/>
      <c r="D23" s="1082">
        <f>+D22+D21+D20</f>
        <v>4006</v>
      </c>
      <c r="E23" s="1082">
        <f t="shared" ref="E23:U23" si="13">SUM(E20:E22)</f>
        <v>514</v>
      </c>
      <c r="F23" s="1082">
        <f t="shared" si="13"/>
        <v>4520</v>
      </c>
      <c r="G23" s="1082">
        <f t="shared" si="13"/>
        <v>1494</v>
      </c>
      <c r="H23" s="1082">
        <f t="shared" si="13"/>
        <v>121</v>
      </c>
      <c r="I23" s="1082">
        <f t="shared" si="13"/>
        <v>1615</v>
      </c>
      <c r="J23" s="1082">
        <f t="shared" si="13"/>
        <v>0</v>
      </c>
      <c r="K23" s="1082">
        <f t="shared" si="13"/>
        <v>0</v>
      </c>
      <c r="L23" s="1082">
        <f t="shared" si="13"/>
        <v>0</v>
      </c>
      <c r="M23" s="1082">
        <f t="shared" si="13"/>
        <v>1138</v>
      </c>
      <c r="N23" s="1082">
        <f t="shared" si="13"/>
        <v>393</v>
      </c>
      <c r="O23" s="1082">
        <f t="shared" si="13"/>
        <v>1531</v>
      </c>
      <c r="P23" s="1082">
        <f t="shared" ref="P23:R23" si="14">SUM(P20:P22)</f>
        <v>0</v>
      </c>
      <c r="Q23" s="1082">
        <f t="shared" si="14"/>
        <v>0</v>
      </c>
      <c r="R23" s="1082">
        <f t="shared" si="14"/>
        <v>0</v>
      </c>
      <c r="S23" s="1082">
        <f t="shared" si="13"/>
        <v>1374</v>
      </c>
      <c r="T23" s="1082">
        <f t="shared" si="13"/>
        <v>0</v>
      </c>
      <c r="U23" s="1082">
        <f t="shared" si="13"/>
        <v>1374</v>
      </c>
      <c r="V23" s="1082">
        <f t="shared" ref="V23:X23" si="15">SUM(V20:V22)</f>
        <v>0</v>
      </c>
      <c r="W23" s="1082">
        <f t="shared" si="15"/>
        <v>0</v>
      </c>
      <c r="X23" s="1082">
        <f t="shared" si="15"/>
        <v>0</v>
      </c>
    </row>
    <row r="24" spans="1:24" s="549" customFormat="1" ht="15" customHeight="1" x14ac:dyDescent="0.25">
      <c r="A24" s="547" t="s">
        <v>34</v>
      </c>
      <c r="B24" s="1345" t="s">
        <v>426</v>
      </c>
      <c r="C24" s="1346"/>
      <c r="D24" s="1082">
        <f>+D23+D19</f>
        <v>32600</v>
      </c>
      <c r="E24" s="1082">
        <f t="shared" ref="E24:X24" si="16">+E23+E19</f>
        <v>548</v>
      </c>
      <c r="F24" s="1082">
        <f t="shared" si="16"/>
        <v>33148</v>
      </c>
      <c r="G24" s="1082">
        <f t="shared" si="16"/>
        <v>15060</v>
      </c>
      <c r="H24" s="1082">
        <f t="shared" si="16"/>
        <v>291</v>
      </c>
      <c r="I24" s="1082">
        <f t="shared" si="16"/>
        <v>15351</v>
      </c>
      <c r="J24" s="1082">
        <f t="shared" si="16"/>
        <v>6960</v>
      </c>
      <c r="K24" s="1082">
        <f t="shared" si="16"/>
        <v>322</v>
      </c>
      <c r="L24" s="1082">
        <f t="shared" si="16"/>
        <v>7282</v>
      </c>
      <c r="M24" s="1082">
        <f t="shared" si="16"/>
        <v>2595</v>
      </c>
      <c r="N24" s="1082">
        <f t="shared" si="16"/>
        <v>0</v>
      </c>
      <c r="O24" s="1082">
        <f t="shared" si="16"/>
        <v>2595</v>
      </c>
      <c r="P24" s="1082">
        <f t="shared" si="16"/>
        <v>0</v>
      </c>
      <c r="Q24" s="1082">
        <f t="shared" si="16"/>
        <v>0</v>
      </c>
      <c r="R24" s="1082">
        <f t="shared" si="16"/>
        <v>0</v>
      </c>
      <c r="S24" s="1082">
        <f t="shared" si="16"/>
        <v>1563</v>
      </c>
      <c r="T24" s="1082">
        <f t="shared" si="16"/>
        <v>-60</v>
      </c>
      <c r="U24" s="1082">
        <f t="shared" si="16"/>
        <v>1503</v>
      </c>
      <c r="V24" s="1082">
        <f t="shared" si="16"/>
        <v>6422</v>
      </c>
      <c r="W24" s="1082">
        <f t="shared" si="16"/>
        <v>-5</v>
      </c>
      <c r="X24" s="1082">
        <f t="shared" si="16"/>
        <v>6417</v>
      </c>
    </row>
    <row r="25" spans="1:24" x14ac:dyDescent="0.25">
      <c r="A25" s="550"/>
      <c r="B25" s="1072"/>
      <c r="C25" s="1072"/>
      <c r="D25" s="843"/>
      <c r="E25" s="843"/>
      <c r="F25" s="844"/>
      <c r="G25" s="845"/>
      <c r="H25" s="843"/>
      <c r="I25" s="844"/>
      <c r="J25" s="845"/>
      <c r="K25" s="843"/>
      <c r="L25" s="844"/>
      <c r="M25" s="845"/>
      <c r="N25" s="843"/>
      <c r="O25" s="844"/>
      <c r="P25" s="843"/>
      <c r="Q25" s="843"/>
      <c r="R25" s="843"/>
      <c r="S25" s="845"/>
      <c r="T25" s="843"/>
      <c r="U25" s="844"/>
      <c r="V25" s="845"/>
      <c r="W25" s="843"/>
      <c r="X25" s="844"/>
    </row>
    <row r="26" spans="1:24" s="549" customFormat="1" ht="26.25" customHeight="1" x14ac:dyDescent="0.25">
      <c r="A26" s="547" t="s">
        <v>35</v>
      </c>
      <c r="B26" s="1345" t="s">
        <v>427</v>
      </c>
      <c r="C26" s="1346"/>
      <c r="D26" s="798">
        <f>+G26+J26+M26+S26+V26</f>
        <v>6383</v>
      </c>
      <c r="E26" s="798">
        <f>+H26+K26+N26+T26+W26</f>
        <v>66</v>
      </c>
      <c r="F26" s="137">
        <f>+I26+L26+O26+U26+X26</f>
        <v>6449</v>
      </c>
      <c r="G26" s="798">
        <f>SUM(G27:G31)</f>
        <v>2986</v>
      </c>
      <c r="H26" s="798">
        <f t="shared" ref="H26:X26" si="17">SUM(H27:H31)</f>
        <v>42</v>
      </c>
      <c r="I26" s="798">
        <f t="shared" si="17"/>
        <v>3028</v>
      </c>
      <c r="J26" s="798">
        <f t="shared" si="17"/>
        <v>1360</v>
      </c>
      <c r="K26" s="798">
        <f t="shared" si="17"/>
        <v>24</v>
      </c>
      <c r="L26" s="798">
        <f t="shared" si="17"/>
        <v>1384</v>
      </c>
      <c r="M26" s="798">
        <f t="shared" si="17"/>
        <v>471</v>
      </c>
      <c r="N26" s="798">
        <f t="shared" si="17"/>
        <v>0</v>
      </c>
      <c r="O26" s="798">
        <f t="shared" si="17"/>
        <v>471</v>
      </c>
      <c r="P26" s="798">
        <f t="shared" si="17"/>
        <v>0</v>
      </c>
      <c r="Q26" s="798">
        <f t="shared" si="17"/>
        <v>0</v>
      </c>
      <c r="R26" s="798">
        <f t="shared" si="17"/>
        <v>0</v>
      </c>
      <c r="S26" s="798">
        <f t="shared" si="17"/>
        <v>287</v>
      </c>
      <c r="T26" s="798">
        <f t="shared" si="17"/>
        <v>0</v>
      </c>
      <c r="U26" s="798">
        <f t="shared" si="17"/>
        <v>287</v>
      </c>
      <c r="V26" s="798">
        <f t="shared" si="17"/>
        <v>1279</v>
      </c>
      <c r="W26" s="798">
        <f t="shared" si="17"/>
        <v>0</v>
      </c>
      <c r="X26" s="798">
        <f t="shared" si="17"/>
        <v>1279</v>
      </c>
    </row>
    <row r="27" spans="1:24" ht="25.5" customHeight="1" x14ac:dyDescent="0.25">
      <c r="A27" s="551" t="s">
        <v>35</v>
      </c>
      <c r="B27" s="552"/>
      <c r="C27" s="553" t="s">
        <v>36</v>
      </c>
      <c r="D27" s="1080">
        <f t="shared" ref="D27:D31" si="18">+G27+J27+M27+S27+V27</f>
        <v>6305</v>
      </c>
      <c r="E27" s="1080">
        <f>+H27+K27+N27+T27</f>
        <v>66</v>
      </c>
      <c r="F27" s="1080">
        <f t="shared" ref="F27:F31" si="19">+I27+L27+O27+U27+X27</f>
        <v>6371</v>
      </c>
      <c r="G27" s="841">
        <v>2935</v>
      </c>
      <c r="H27" s="841">
        <f>14+14+14</f>
        <v>42</v>
      </c>
      <c r="I27" s="841">
        <f>+H27+G27</f>
        <v>2977</v>
      </c>
      <c r="J27" s="841">
        <v>1342</v>
      </c>
      <c r="K27" s="841">
        <f>8+8+8</f>
        <v>24</v>
      </c>
      <c r="L27" s="841">
        <f>+K27+J27</f>
        <v>1366</v>
      </c>
      <c r="M27" s="841">
        <v>471</v>
      </c>
      <c r="N27" s="841"/>
      <c r="O27" s="841">
        <f>+N27+M27</f>
        <v>471</v>
      </c>
      <c r="P27" s="841"/>
      <c r="Q27" s="841"/>
      <c r="R27" s="841"/>
      <c r="S27" s="841">
        <v>278</v>
      </c>
      <c r="T27" s="841">
        <v>0</v>
      </c>
      <c r="U27" s="841">
        <f>+T27+S27</f>
        <v>278</v>
      </c>
      <c r="V27" s="841">
        <v>1279</v>
      </c>
      <c r="W27" s="841"/>
      <c r="X27" s="841">
        <f>+W27+V27</f>
        <v>1279</v>
      </c>
    </row>
    <row r="28" spans="1:24" ht="25.5" customHeight="1" x14ac:dyDescent="0.25">
      <c r="A28" s="551" t="s">
        <v>35</v>
      </c>
      <c r="B28" s="552"/>
      <c r="C28" s="553" t="s">
        <v>37</v>
      </c>
      <c r="D28" s="1080">
        <f t="shared" si="18"/>
        <v>0</v>
      </c>
      <c r="E28" s="1080">
        <f t="shared" ref="E28:E31" si="20">+H28+K28+N28+T28</f>
        <v>0</v>
      </c>
      <c r="F28" s="1080">
        <f t="shared" si="19"/>
        <v>0</v>
      </c>
      <c r="G28" s="841"/>
      <c r="H28" s="841"/>
      <c r="I28" s="841">
        <f t="shared" ref="I28:I31" si="21">+H28+G28</f>
        <v>0</v>
      </c>
      <c r="J28" s="841"/>
      <c r="K28" s="841"/>
      <c r="L28" s="841">
        <f t="shared" ref="L28:L31" si="22">+K28+J28</f>
        <v>0</v>
      </c>
      <c r="M28" s="841"/>
      <c r="N28" s="841"/>
      <c r="O28" s="841">
        <f t="shared" ref="O28:O31" si="23">+N28+M28</f>
        <v>0</v>
      </c>
      <c r="P28" s="841"/>
      <c r="Q28" s="841"/>
      <c r="R28" s="841"/>
      <c r="S28" s="841"/>
      <c r="T28" s="841"/>
      <c r="U28" s="841">
        <f t="shared" ref="U28:U31" si="24">+T28+S28</f>
        <v>0</v>
      </c>
      <c r="V28" s="841"/>
      <c r="W28" s="841"/>
      <c r="X28" s="841">
        <f t="shared" ref="X28:X31" si="25">+W28+V28</f>
        <v>0</v>
      </c>
    </row>
    <row r="29" spans="1:24" ht="25.5" customHeight="1" x14ac:dyDescent="0.25">
      <c r="A29" s="551" t="s">
        <v>35</v>
      </c>
      <c r="B29" s="552"/>
      <c r="C29" s="553" t="s">
        <v>38</v>
      </c>
      <c r="D29" s="1080">
        <f t="shared" si="18"/>
        <v>10</v>
      </c>
      <c r="E29" s="1080">
        <f t="shared" si="20"/>
        <v>0</v>
      </c>
      <c r="F29" s="1080">
        <f t="shared" si="19"/>
        <v>10</v>
      </c>
      <c r="G29" s="841">
        <v>10</v>
      </c>
      <c r="H29" s="841"/>
      <c r="I29" s="841">
        <f t="shared" si="21"/>
        <v>10</v>
      </c>
      <c r="J29" s="841"/>
      <c r="K29" s="841"/>
      <c r="L29" s="841">
        <f t="shared" si="22"/>
        <v>0</v>
      </c>
      <c r="M29" s="841"/>
      <c r="N29" s="841"/>
      <c r="O29" s="841">
        <f t="shared" si="23"/>
        <v>0</v>
      </c>
      <c r="P29" s="841"/>
      <c r="Q29" s="841"/>
      <c r="R29" s="841"/>
      <c r="S29" s="841"/>
      <c r="T29" s="841"/>
      <c r="U29" s="841">
        <f t="shared" si="24"/>
        <v>0</v>
      </c>
      <c r="V29" s="841"/>
      <c r="W29" s="841"/>
      <c r="X29" s="841">
        <f t="shared" si="25"/>
        <v>0</v>
      </c>
    </row>
    <row r="30" spans="1:24" ht="25.5" customHeight="1" x14ac:dyDescent="0.25">
      <c r="A30" s="551" t="s">
        <v>35</v>
      </c>
      <c r="B30" s="552"/>
      <c r="C30" s="553" t="s">
        <v>428</v>
      </c>
      <c r="D30" s="1080">
        <f t="shared" si="18"/>
        <v>0</v>
      </c>
      <c r="E30" s="1080">
        <f t="shared" si="20"/>
        <v>0</v>
      </c>
      <c r="F30" s="1080">
        <f t="shared" si="19"/>
        <v>0</v>
      </c>
      <c r="G30" s="841"/>
      <c r="H30" s="841"/>
      <c r="I30" s="841">
        <f t="shared" si="21"/>
        <v>0</v>
      </c>
      <c r="J30" s="841"/>
      <c r="K30" s="841"/>
      <c r="L30" s="841">
        <f t="shared" si="22"/>
        <v>0</v>
      </c>
      <c r="M30" s="841"/>
      <c r="N30" s="841"/>
      <c r="O30" s="841">
        <f t="shared" si="23"/>
        <v>0</v>
      </c>
      <c r="P30" s="841"/>
      <c r="Q30" s="841"/>
      <c r="R30" s="841"/>
      <c r="S30" s="841"/>
      <c r="T30" s="841"/>
      <c r="U30" s="841">
        <f t="shared" si="24"/>
        <v>0</v>
      </c>
      <c r="V30" s="841"/>
      <c r="W30" s="841"/>
      <c r="X30" s="841">
        <f t="shared" si="25"/>
        <v>0</v>
      </c>
    </row>
    <row r="31" spans="1:24" ht="25.5" x14ac:dyDescent="0.25">
      <c r="A31" s="551" t="s">
        <v>35</v>
      </c>
      <c r="B31" s="552"/>
      <c r="C31" s="553" t="s">
        <v>40</v>
      </c>
      <c r="D31" s="1080">
        <f t="shared" si="18"/>
        <v>68</v>
      </c>
      <c r="E31" s="1080">
        <f t="shared" si="20"/>
        <v>0</v>
      </c>
      <c r="F31" s="1080">
        <f t="shared" si="19"/>
        <v>68</v>
      </c>
      <c r="G31" s="841">
        <v>41</v>
      </c>
      <c r="H31" s="841"/>
      <c r="I31" s="841">
        <f t="shared" si="21"/>
        <v>41</v>
      </c>
      <c r="J31" s="841">
        <v>18</v>
      </c>
      <c r="K31" s="841"/>
      <c r="L31" s="841">
        <f t="shared" si="22"/>
        <v>18</v>
      </c>
      <c r="M31" s="841"/>
      <c r="N31" s="841"/>
      <c r="O31" s="841">
        <f t="shared" si="23"/>
        <v>0</v>
      </c>
      <c r="P31" s="841"/>
      <c r="Q31" s="841"/>
      <c r="R31" s="841"/>
      <c r="S31" s="841">
        <v>9</v>
      </c>
      <c r="T31" s="841"/>
      <c r="U31" s="841">
        <f t="shared" si="24"/>
        <v>9</v>
      </c>
      <c r="V31" s="841"/>
      <c r="W31" s="841"/>
      <c r="X31" s="841">
        <f t="shared" si="25"/>
        <v>0</v>
      </c>
    </row>
    <row r="32" spans="1:24" ht="9.75" customHeight="1" x14ac:dyDescent="0.25">
      <c r="A32" s="554"/>
      <c r="B32" s="555"/>
      <c r="C32" s="556"/>
      <c r="D32" s="846"/>
      <c r="E32" s="846"/>
      <c r="F32" s="846"/>
      <c r="G32" s="846"/>
      <c r="H32" s="846"/>
      <c r="I32" s="846"/>
      <c r="J32" s="846"/>
      <c r="K32" s="846"/>
      <c r="L32" s="846"/>
      <c r="M32" s="846"/>
      <c r="N32" s="846"/>
      <c r="O32" s="846"/>
      <c r="P32" s="846"/>
      <c r="Q32" s="846"/>
      <c r="R32" s="846"/>
      <c r="S32" s="846"/>
      <c r="T32" s="846"/>
      <c r="U32" s="846"/>
      <c r="V32" s="846"/>
      <c r="W32" s="846"/>
      <c r="X32" s="846"/>
    </row>
    <row r="33" spans="1:24" ht="9" customHeight="1" x14ac:dyDescent="0.25">
      <c r="A33" s="1083"/>
      <c r="B33" s="1084"/>
      <c r="C33" s="1085"/>
      <c r="D33" s="848"/>
      <c r="E33" s="848"/>
      <c r="F33" s="848"/>
      <c r="G33" s="848"/>
      <c r="H33" s="848"/>
      <c r="I33" s="848"/>
      <c r="J33" s="848"/>
      <c r="K33" s="848"/>
      <c r="L33" s="848"/>
      <c r="M33" s="848"/>
      <c r="N33" s="848"/>
      <c r="O33" s="848"/>
      <c r="P33" s="848"/>
      <c r="Q33" s="848"/>
      <c r="R33" s="848"/>
      <c r="S33" s="848"/>
      <c r="T33" s="848"/>
      <c r="U33" s="848"/>
      <c r="V33" s="848"/>
      <c r="W33" s="848"/>
      <c r="X33" s="848"/>
    </row>
    <row r="34" spans="1:24" ht="15" customHeight="1" x14ac:dyDescent="0.25">
      <c r="A34" s="546" t="s">
        <v>42</v>
      </c>
      <c r="B34" s="1343" t="s">
        <v>41</v>
      </c>
      <c r="C34" s="1344"/>
      <c r="D34" s="1080">
        <f>+G34+J34+M34+S34+V34+P34</f>
        <v>1563</v>
      </c>
      <c r="E34" s="1080">
        <f>+H34+K34+N34+T34+Q34</f>
        <v>-873</v>
      </c>
      <c r="F34" s="1080">
        <f>+I34+L34+O34+U34+X34+R34</f>
        <v>690</v>
      </c>
      <c r="G34" s="125">
        <v>346</v>
      </c>
      <c r="H34" s="125"/>
      <c r="I34" s="841">
        <f>+H34+G34</f>
        <v>346</v>
      </c>
      <c r="J34" s="841">
        <v>325</v>
      </c>
      <c r="K34" s="841">
        <v>-325</v>
      </c>
      <c r="L34" s="841">
        <f>+K34+J34</f>
        <v>0</v>
      </c>
      <c r="M34" s="841"/>
      <c r="N34" s="841"/>
      <c r="O34" s="841">
        <f>+N34+M34</f>
        <v>0</v>
      </c>
      <c r="P34" s="841">
        <v>782</v>
      </c>
      <c r="Q34" s="841">
        <f>-17-396-135</f>
        <v>-548</v>
      </c>
      <c r="R34" s="841">
        <f>+Q34+P34</f>
        <v>234</v>
      </c>
      <c r="S34" s="841">
        <v>110</v>
      </c>
      <c r="T34" s="841"/>
      <c r="U34" s="841">
        <f>+T34+S34</f>
        <v>110</v>
      </c>
      <c r="V34" s="841"/>
      <c r="W34" s="841"/>
      <c r="X34" s="841">
        <f>+W34+V34</f>
        <v>0</v>
      </c>
    </row>
    <row r="35" spans="1:24" ht="15" customHeight="1" x14ac:dyDescent="0.25">
      <c r="A35" s="546" t="s">
        <v>44</v>
      </c>
      <c r="B35" s="1343" t="s">
        <v>43</v>
      </c>
      <c r="C35" s="1344"/>
      <c r="D35" s="1080">
        <f t="shared" ref="D35:D36" si="26">+G35+J35+M35+S35+V35</f>
        <v>720</v>
      </c>
      <c r="E35" s="1080">
        <f>+H35+K35+N35+T35+Q35</f>
        <v>281</v>
      </c>
      <c r="F35" s="1080">
        <f t="shared" ref="F35:F37" si="27">+I35+L35+O35+U35+X35+R35</f>
        <v>1001</v>
      </c>
      <c r="G35" s="125">
        <v>424</v>
      </c>
      <c r="H35" s="125">
        <v>309</v>
      </c>
      <c r="I35" s="841">
        <f t="shared" ref="I35:I36" si="28">+H35+G35</f>
        <v>733</v>
      </c>
      <c r="J35" s="841">
        <v>93</v>
      </c>
      <c r="K35" s="841">
        <v>-28</v>
      </c>
      <c r="L35" s="841">
        <f t="shared" ref="L35:L36" si="29">+K35+J35</f>
        <v>65</v>
      </c>
      <c r="M35" s="841"/>
      <c r="N35" s="841"/>
      <c r="O35" s="841">
        <f t="shared" ref="O35:O36" si="30">+N35+M35</f>
        <v>0</v>
      </c>
      <c r="P35" s="841"/>
      <c r="Q35" s="841"/>
      <c r="R35" s="841"/>
      <c r="S35" s="841">
        <v>203</v>
      </c>
      <c r="T35" s="841"/>
      <c r="U35" s="841">
        <f t="shared" ref="U35:U36" si="31">+T35+S35</f>
        <v>203</v>
      </c>
      <c r="V35" s="841"/>
      <c r="W35" s="841"/>
      <c r="X35" s="841">
        <f t="shared" ref="X35:X36" si="32">+W35+V35</f>
        <v>0</v>
      </c>
    </row>
    <row r="36" spans="1:24" ht="15" customHeight="1" x14ac:dyDescent="0.25">
      <c r="A36" s="546" t="s">
        <v>46</v>
      </c>
      <c r="B36" s="1343" t="s">
        <v>45</v>
      </c>
      <c r="C36" s="1344"/>
      <c r="D36" s="1080">
        <f t="shared" si="26"/>
        <v>0</v>
      </c>
      <c r="E36" s="1080">
        <f t="shared" ref="E36" si="33">+H36+K36+N36+T36+Q36</f>
        <v>0</v>
      </c>
      <c r="F36" s="1080">
        <f t="shared" si="27"/>
        <v>0</v>
      </c>
      <c r="G36" s="125"/>
      <c r="H36" s="125"/>
      <c r="I36" s="841">
        <f t="shared" si="28"/>
        <v>0</v>
      </c>
      <c r="J36" s="841"/>
      <c r="K36" s="841"/>
      <c r="L36" s="841">
        <f t="shared" si="29"/>
        <v>0</v>
      </c>
      <c r="M36" s="841"/>
      <c r="N36" s="841"/>
      <c r="O36" s="841">
        <f t="shared" si="30"/>
        <v>0</v>
      </c>
      <c r="P36" s="841"/>
      <c r="Q36" s="841"/>
      <c r="R36" s="841"/>
      <c r="S36" s="841"/>
      <c r="T36" s="841"/>
      <c r="U36" s="841">
        <f t="shared" si="31"/>
        <v>0</v>
      </c>
      <c r="V36" s="841"/>
      <c r="W36" s="841"/>
      <c r="X36" s="841">
        <f t="shared" si="32"/>
        <v>0</v>
      </c>
    </row>
    <row r="37" spans="1:24" s="549" customFormat="1" ht="15" customHeight="1" x14ac:dyDescent="0.25">
      <c r="A37" s="547" t="s">
        <v>47</v>
      </c>
      <c r="B37" s="1345" t="s">
        <v>429</v>
      </c>
      <c r="C37" s="1346"/>
      <c r="D37" s="1082">
        <f t="shared" ref="D37" si="34">+G37+J37+M37+S37+V37+P37</f>
        <v>2283</v>
      </c>
      <c r="E37" s="1082">
        <f>+H37+K37+N37+T37+Q37</f>
        <v>-592</v>
      </c>
      <c r="F37" s="1082">
        <f t="shared" si="27"/>
        <v>1691</v>
      </c>
      <c r="G37" s="137">
        <f t="shared" ref="G37:U37" si="35">SUM(G34:G36)</f>
        <v>770</v>
      </c>
      <c r="H37" s="137">
        <f t="shared" si="35"/>
        <v>309</v>
      </c>
      <c r="I37" s="798">
        <f t="shared" si="35"/>
        <v>1079</v>
      </c>
      <c r="J37" s="798">
        <f t="shared" si="35"/>
        <v>418</v>
      </c>
      <c r="K37" s="798">
        <f t="shared" si="35"/>
        <v>-353</v>
      </c>
      <c r="L37" s="798">
        <f t="shared" si="35"/>
        <v>65</v>
      </c>
      <c r="M37" s="798">
        <f t="shared" si="35"/>
        <v>0</v>
      </c>
      <c r="N37" s="798">
        <f t="shared" si="35"/>
        <v>0</v>
      </c>
      <c r="O37" s="798">
        <f t="shared" si="35"/>
        <v>0</v>
      </c>
      <c r="P37" s="798">
        <f t="shared" si="35"/>
        <v>782</v>
      </c>
      <c r="Q37" s="798">
        <f t="shared" si="35"/>
        <v>-548</v>
      </c>
      <c r="R37" s="798">
        <f t="shared" si="35"/>
        <v>234</v>
      </c>
      <c r="S37" s="798">
        <f t="shared" si="35"/>
        <v>313</v>
      </c>
      <c r="T37" s="798">
        <f t="shared" si="35"/>
        <v>0</v>
      </c>
      <c r="U37" s="798">
        <f t="shared" si="35"/>
        <v>313</v>
      </c>
      <c r="V37" s="798">
        <f t="shared" ref="V37:X37" si="36">SUM(V34:V36)</f>
        <v>0</v>
      </c>
      <c r="W37" s="798">
        <f t="shared" si="36"/>
        <v>0</v>
      </c>
      <c r="X37" s="798">
        <f t="shared" si="36"/>
        <v>0</v>
      </c>
    </row>
    <row r="38" spans="1:24" ht="15" customHeight="1" x14ac:dyDescent="0.25">
      <c r="A38" s="546" t="s">
        <v>49</v>
      </c>
      <c r="B38" s="1343" t="s">
        <v>48</v>
      </c>
      <c r="C38" s="1344"/>
      <c r="D38" s="1080">
        <f t="shared" ref="D38:D39" si="37">+G38+J38+M38+S38+V38</f>
        <v>458</v>
      </c>
      <c r="E38" s="1080">
        <f t="shared" ref="E38:E39" si="38">+H38+K38+N38+T38</f>
        <v>28</v>
      </c>
      <c r="F38" s="1080">
        <f t="shared" ref="F38:F39" si="39">+I38+L38+O38+U38+X38</f>
        <v>486</v>
      </c>
      <c r="G38" s="125">
        <v>150</v>
      </c>
      <c r="H38" s="125"/>
      <c r="I38" s="841">
        <f>+H38+G38</f>
        <v>150</v>
      </c>
      <c r="J38" s="841">
        <v>74</v>
      </c>
      <c r="K38" s="841">
        <v>28</v>
      </c>
      <c r="L38" s="841">
        <f>+K38+J38</f>
        <v>102</v>
      </c>
      <c r="M38" s="841"/>
      <c r="N38" s="841"/>
      <c r="O38" s="841">
        <f>+N38+M38</f>
        <v>0</v>
      </c>
      <c r="P38" s="841"/>
      <c r="Q38" s="841"/>
      <c r="R38" s="841"/>
      <c r="S38" s="841">
        <v>234</v>
      </c>
      <c r="T38" s="841"/>
      <c r="U38" s="841">
        <f>+T38+S38</f>
        <v>234</v>
      </c>
      <c r="V38" s="841"/>
      <c r="W38" s="841"/>
      <c r="X38" s="841">
        <f>+W38+V38</f>
        <v>0</v>
      </c>
    </row>
    <row r="39" spans="1:24" ht="15" customHeight="1" x14ac:dyDescent="0.25">
      <c r="A39" s="546" t="s">
        <v>51</v>
      </c>
      <c r="B39" s="1343" t="s">
        <v>50</v>
      </c>
      <c r="C39" s="1344"/>
      <c r="D39" s="1080">
        <f t="shared" si="37"/>
        <v>328</v>
      </c>
      <c r="E39" s="1080">
        <f t="shared" si="38"/>
        <v>-21</v>
      </c>
      <c r="F39" s="1080">
        <f t="shared" si="39"/>
        <v>307</v>
      </c>
      <c r="G39" s="125">
        <v>180</v>
      </c>
      <c r="H39" s="125"/>
      <c r="I39" s="841">
        <f>+H39+G39</f>
        <v>180</v>
      </c>
      <c r="J39" s="841">
        <v>74</v>
      </c>
      <c r="K39" s="841">
        <v>-21</v>
      </c>
      <c r="L39" s="841">
        <f>+K39+J39</f>
        <v>53</v>
      </c>
      <c r="M39" s="841"/>
      <c r="N39" s="841"/>
      <c r="O39" s="841">
        <f>+N39+M39</f>
        <v>0</v>
      </c>
      <c r="P39" s="841"/>
      <c r="Q39" s="841"/>
      <c r="R39" s="841"/>
      <c r="S39" s="841">
        <v>74</v>
      </c>
      <c r="T39" s="841"/>
      <c r="U39" s="841">
        <f>+T39+S39</f>
        <v>74</v>
      </c>
      <c r="V39" s="841"/>
      <c r="W39" s="841"/>
      <c r="X39" s="841">
        <f>+W39+V39</f>
        <v>0</v>
      </c>
    </row>
    <row r="40" spans="1:24" s="549" customFormat="1" ht="15" customHeight="1" x14ac:dyDescent="0.25">
      <c r="A40" s="547" t="s">
        <v>52</v>
      </c>
      <c r="B40" s="1345" t="s">
        <v>430</v>
      </c>
      <c r="C40" s="1346"/>
      <c r="D40" s="137">
        <f t="shared" ref="D40:F49" si="40">+G40+J40+M40+S40</f>
        <v>786</v>
      </c>
      <c r="E40" s="137">
        <f t="shared" ref="E40:U40" si="41">SUM(E38:E39)</f>
        <v>7</v>
      </c>
      <c r="F40" s="137">
        <f t="shared" si="41"/>
        <v>793</v>
      </c>
      <c r="G40" s="137">
        <f t="shared" si="41"/>
        <v>330</v>
      </c>
      <c r="H40" s="137">
        <f t="shared" si="41"/>
        <v>0</v>
      </c>
      <c r="I40" s="798">
        <f t="shared" si="41"/>
        <v>330</v>
      </c>
      <c r="J40" s="798">
        <f t="shared" si="41"/>
        <v>148</v>
      </c>
      <c r="K40" s="798">
        <f t="shared" si="41"/>
        <v>7</v>
      </c>
      <c r="L40" s="798">
        <f t="shared" si="41"/>
        <v>155</v>
      </c>
      <c r="M40" s="798">
        <f t="shared" si="41"/>
        <v>0</v>
      </c>
      <c r="N40" s="798">
        <f t="shared" si="41"/>
        <v>0</v>
      </c>
      <c r="O40" s="798">
        <f t="shared" si="41"/>
        <v>0</v>
      </c>
      <c r="P40" s="798">
        <f t="shared" si="41"/>
        <v>0</v>
      </c>
      <c r="Q40" s="798">
        <f t="shared" si="41"/>
        <v>0</v>
      </c>
      <c r="R40" s="798">
        <f t="shared" si="41"/>
        <v>0</v>
      </c>
      <c r="S40" s="798">
        <f t="shared" si="41"/>
        <v>308</v>
      </c>
      <c r="T40" s="798">
        <f t="shared" si="41"/>
        <v>0</v>
      </c>
      <c r="U40" s="798">
        <f t="shared" si="41"/>
        <v>308</v>
      </c>
      <c r="V40" s="798">
        <f t="shared" ref="V40:X40" si="42">SUM(V38:V39)</f>
        <v>0</v>
      </c>
      <c r="W40" s="798">
        <f t="shared" si="42"/>
        <v>0</v>
      </c>
      <c r="X40" s="798">
        <f t="shared" si="42"/>
        <v>0</v>
      </c>
    </row>
    <row r="41" spans="1:24" ht="15" customHeight="1" x14ac:dyDescent="0.25">
      <c r="A41" s="546" t="s">
        <v>54</v>
      </c>
      <c r="B41" s="1343" t="s">
        <v>53</v>
      </c>
      <c r="C41" s="1344"/>
      <c r="D41" s="1080">
        <f t="shared" ref="D41:D45" si="43">+G41+J41+M41+S41+V41</f>
        <v>0</v>
      </c>
      <c r="E41" s="1080">
        <f t="shared" ref="E41:E45" si="44">+H41+K41+N41+T41</f>
        <v>0</v>
      </c>
      <c r="F41" s="1080">
        <f t="shared" ref="F41:F45" si="45">+I41+L41+O41+U41+X41</f>
        <v>0</v>
      </c>
      <c r="G41" s="125"/>
      <c r="H41" s="125"/>
      <c r="I41" s="841">
        <f>+H41+G41</f>
        <v>0</v>
      </c>
      <c r="J41" s="841"/>
      <c r="K41" s="841"/>
      <c r="L41" s="841">
        <f>+K41+J41</f>
        <v>0</v>
      </c>
      <c r="M41" s="841"/>
      <c r="N41" s="841"/>
      <c r="O41" s="841">
        <f>+N41+M41</f>
        <v>0</v>
      </c>
      <c r="P41" s="841"/>
      <c r="Q41" s="841"/>
      <c r="R41" s="841"/>
      <c r="S41" s="841"/>
      <c r="T41" s="841"/>
      <c r="U41" s="841">
        <f>+T41+S41</f>
        <v>0</v>
      </c>
      <c r="V41" s="841"/>
      <c r="W41" s="841"/>
      <c r="X41" s="841">
        <f>+W41+V41</f>
        <v>0</v>
      </c>
    </row>
    <row r="42" spans="1:24" ht="15" customHeight="1" x14ac:dyDescent="0.25">
      <c r="A42" s="546" t="s">
        <v>56</v>
      </c>
      <c r="B42" s="1343" t="s">
        <v>55</v>
      </c>
      <c r="C42" s="1344"/>
      <c r="D42" s="1080">
        <f t="shared" si="43"/>
        <v>0</v>
      </c>
      <c r="E42" s="1080">
        <f t="shared" si="44"/>
        <v>0</v>
      </c>
      <c r="F42" s="1080">
        <f t="shared" si="45"/>
        <v>0</v>
      </c>
      <c r="G42" s="125"/>
      <c r="H42" s="125"/>
      <c r="I42" s="841">
        <f t="shared" ref="I42:I49" si="46">+H42+G42</f>
        <v>0</v>
      </c>
      <c r="J42" s="841"/>
      <c r="K42" s="841"/>
      <c r="L42" s="841">
        <f t="shared" ref="L42:L49" si="47">+K42+J42</f>
        <v>0</v>
      </c>
      <c r="M42" s="841"/>
      <c r="N42" s="841"/>
      <c r="O42" s="841">
        <f t="shared" ref="O42:O49" si="48">+N42+M42</f>
        <v>0</v>
      </c>
      <c r="P42" s="841"/>
      <c r="Q42" s="841"/>
      <c r="R42" s="841"/>
      <c r="S42" s="841"/>
      <c r="T42" s="841"/>
      <c r="U42" s="841">
        <f t="shared" ref="U42:U49" si="49">+T42+S42</f>
        <v>0</v>
      </c>
      <c r="V42" s="841"/>
      <c r="W42" s="841"/>
      <c r="X42" s="841">
        <f t="shared" ref="X42:X49" si="50">+W42+V42</f>
        <v>0</v>
      </c>
    </row>
    <row r="43" spans="1:24" ht="15" customHeight="1" x14ac:dyDescent="0.25">
      <c r="A43" s="546" t="s">
        <v>57</v>
      </c>
      <c r="B43" s="1343" t="s">
        <v>431</v>
      </c>
      <c r="C43" s="1344"/>
      <c r="D43" s="1080">
        <f t="shared" si="43"/>
        <v>1082</v>
      </c>
      <c r="E43" s="1080">
        <f t="shared" si="44"/>
        <v>0</v>
      </c>
      <c r="F43" s="1080">
        <f t="shared" si="45"/>
        <v>1082</v>
      </c>
      <c r="G43" s="125">
        <v>1082</v>
      </c>
      <c r="H43" s="125"/>
      <c r="I43" s="841">
        <f t="shared" si="46"/>
        <v>1082</v>
      </c>
      <c r="J43" s="841"/>
      <c r="K43" s="841"/>
      <c r="L43" s="841">
        <f t="shared" si="47"/>
        <v>0</v>
      </c>
      <c r="M43" s="841"/>
      <c r="N43" s="841"/>
      <c r="O43" s="841">
        <f t="shared" si="48"/>
        <v>0</v>
      </c>
      <c r="P43" s="841"/>
      <c r="Q43" s="841"/>
      <c r="R43" s="841"/>
      <c r="S43" s="841"/>
      <c r="T43" s="841"/>
      <c r="U43" s="841">
        <f t="shared" si="49"/>
        <v>0</v>
      </c>
      <c r="V43" s="841"/>
      <c r="W43" s="841"/>
      <c r="X43" s="841">
        <f t="shared" si="50"/>
        <v>0</v>
      </c>
    </row>
    <row r="44" spans="1:24" ht="15" customHeight="1" x14ac:dyDescent="0.25">
      <c r="A44" s="546" t="s">
        <v>59</v>
      </c>
      <c r="B44" s="1343" t="s">
        <v>58</v>
      </c>
      <c r="C44" s="1344"/>
      <c r="D44" s="1080">
        <f t="shared" si="43"/>
        <v>447</v>
      </c>
      <c r="E44" s="1080">
        <f t="shared" si="44"/>
        <v>0</v>
      </c>
      <c r="F44" s="1080">
        <f t="shared" si="45"/>
        <v>447</v>
      </c>
      <c r="G44" s="125">
        <v>400</v>
      </c>
      <c r="H44" s="125"/>
      <c r="I44" s="841">
        <f t="shared" si="46"/>
        <v>400</v>
      </c>
      <c r="J44" s="841"/>
      <c r="K44" s="841"/>
      <c r="L44" s="841">
        <f t="shared" si="47"/>
        <v>0</v>
      </c>
      <c r="M44" s="841"/>
      <c r="N44" s="841"/>
      <c r="O44" s="841">
        <f t="shared" si="48"/>
        <v>0</v>
      </c>
      <c r="P44" s="841"/>
      <c r="Q44" s="841"/>
      <c r="R44" s="841"/>
      <c r="S44" s="841">
        <v>47</v>
      </c>
      <c r="T44" s="841"/>
      <c r="U44" s="841">
        <f t="shared" si="49"/>
        <v>47</v>
      </c>
      <c r="V44" s="841"/>
      <c r="W44" s="841"/>
      <c r="X44" s="841">
        <f t="shared" si="50"/>
        <v>0</v>
      </c>
    </row>
    <row r="45" spans="1:24" ht="15" customHeight="1" x14ac:dyDescent="0.25">
      <c r="A45" s="546" t="s">
        <v>60</v>
      </c>
      <c r="B45" s="1343" t="s">
        <v>166</v>
      </c>
      <c r="C45" s="1344"/>
      <c r="D45" s="1080">
        <f t="shared" si="43"/>
        <v>35</v>
      </c>
      <c r="E45" s="1080">
        <f t="shared" si="44"/>
        <v>30</v>
      </c>
      <c r="F45" s="1080">
        <f t="shared" si="45"/>
        <v>65</v>
      </c>
      <c r="G45" s="841">
        <v>35</v>
      </c>
      <c r="H45" s="841">
        <v>30</v>
      </c>
      <c r="I45" s="841">
        <f t="shared" si="46"/>
        <v>65</v>
      </c>
      <c r="J45" s="841"/>
      <c r="K45" s="841"/>
      <c r="L45" s="841">
        <f t="shared" si="47"/>
        <v>0</v>
      </c>
      <c r="M45" s="841"/>
      <c r="N45" s="841"/>
      <c r="O45" s="841">
        <f t="shared" si="48"/>
        <v>0</v>
      </c>
      <c r="P45" s="841"/>
      <c r="Q45" s="841"/>
      <c r="R45" s="841"/>
      <c r="S45" s="841"/>
      <c r="T45" s="841"/>
      <c r="U45" s="841">
        <f t="shared" si="49"/>
        <v>0</v>
      </c>
      <c r="V45" s="841"/>
      <c r="W45" s="841"/>
      <c r="X45" s="841">
        <f t="shared" si="50"/>
        <v>0</v>
      </c>
    </row>
    <row r="46" spans="1:24" ht="25.5" customHeight="1" x14ac:dyDescent="0.25">
      <c r="A46" s="551" t="s">
        <v>60</v>
      </c>
      <c r="B46" s="552"/>
      <c r="C46" s="553" t="s">
        <v>61</v>
      </c>
      <c r="D46" s="841">
        <f t="shared" si="40"/>
        <v>0</v>
      </c>
      <c r="E46" s="841">
        <f t="shared" si="40"/>
        <v>0</v>
      </c>
      <c r="F46" s="841">
        <f t="shared" si="40"/>
        <v>0</v>
      </c>
      <c r="G46" s="841"/>
      <c r="H46" s="841"/>
      <c r="I46" s="841">
        <f t="shared" si="46"/>
        <v>0</v>
      </c>
      <c r="J46" s="841"/>
      <c r="K46" s="841"/>
      <c r="L46" s="841">
        <f t="shared" si="47"/>
        <v>0</v>
      </c>
      <c r="M46" s="841"/>
      <c r="N46" s="841"/>
      <c r="O46" s="841">
        <f t="shared" si="48"/>
        <v>0</v>
      </c>
      <c r="P46" s="841"/>
      <c r="Q46" s="841"/>
      <c r="R46" s="841"/>
      <c r="S46" s="841"/>
      <c r="T46" s="841"/>
      <c r="U46" s="841">
        <f t="shared" si="49"/>
        <v>0</v>
      </c>
      <c r="V46" s="841"/>
      <c r="W46" s="841"/>
      <c r="X46" s="841">
        <f t="shared" si="50"/>
        <v>0</v>
      </c>
    </row>
    <row r="47" spans="1:24" ht="25.5" customHeight="1" x14ac:dyDescent="0.25">
      <c r="A47" s="551" t="s">
        <v>60</v>
      </c>
      <c r="B47" s="552"/>
      <c r="C47" s="553" t="s">
        <v>168</v>
      </c>
      <c r="D47" s="841">
        <f t="shared" si="40"/>
        <v>0</v>
      </c>
      <c r="E47" s="841">
        <f t="shared" si="40"/>
        <v>0</v>
      </c>
      <c r="F47" s="841">
        <f t="shared" si="40"/>
        <v>0</v>
      </c>
      <c r="G47" s="841"/>
      <c r="H47" s="841"/>
      <c r="I47" s="841">
        <f t="shared" si="46"/>
        <v>0</v>
      </c>
      <c r="J47" s="841"/>
      <c r="K47" s="841"/>
      <c r="L47" s="841">
        <f t="shared" si="47"/>
        <v>0</v>
      </c>
      <c r="M47" s="841"/>
      <c r="N47" s="841"/>
      <c r="O47" s="841">
        <f t="shared" si="48"/>
        <v>0</v>
      </c>
      <c r="P47" s="841"/>
      <c r="Q47" s="841"/>
      <c r="R47" s="841"/>
      <c r="S47" s="841"/>
      <c r="T47" s="841"/>
      <c r="U47" s="841">
        <f t="shared" si="49"/>
        <v>0</v>
      </c>
      <c r="V47" s="841"/>
      <c r="W47" s="841"/>
      <c r="X47" s="841">
        <f t="shared" si="50"/>
        <v>0</v>
      </c>
    </row>
    <row r="48" spans="1:24" ht="22.5" customHeight="1" x14ac:dyDescent="0.25">
      <c r="A48" s="546" t="s">
        <v>63</v>
      </c>
      <c r="B48" s="1343" t="s">
        <v>432</v>
      </c>
      <c r="C48" s="1344"/>
      <c r="D48" s="1080">
        <f t="shared" ref="D48:D49" si="51">+G48+J48+M48+S48+V48</f>
        <v>636</v>
      </c>
      <c r="E48" s="1080">
        <f t="shared" si="40"/>
        <v>0</v>
      </c>
      <c r="F48" s="1080">
        <f t="shared" ref="F48:F49" si="52">+I48+L48+O48+U48+X48</f>
        <v>636</v>
      </c>
      <c r="G48" s="841">
        <v>50</v>
      </c>
      <c r="H48" s="841"/>
      <c r="I48" s="841">
        <f t="shared" si="46"/>
        <v>50</v>
      </c>
      <c r="J48" s="841"/>
      <c r="K48" s="841"/>
      <c r="L48" s="841">
        <f t="shared" si="47"/>
        <v>0</v>
      </c>
      <c r="M48" s="841"/>
      <c r="N48" s="841"/>
      <c r="O48" s="841">
        <f t="shared" si="48"/>
        <v>0</v>
      </c>
      <c r="P48" s="841"/>
      <c r="Q48" s="841"/>
      <c r="R48" s="841"/>
      <c r="S48" s="841"/>
      <c r="T48" s="841"/>
      <c r="U48" s="841">
        <f t="shared" si="49"/>
        <v>0</v>
      </c>
      <c r="V48" s="841">
        <v>586</v>
      </c>
      <c r="W48" s="841"/>
      <c r="X48" s="841">
        <f t="shared" si="50"/>
        <v>586</v>
      </c>
    </row>
    <row r="49" spans="1:24" ht="15" customHeight="1" x14ac:dyDescent="0.25">
      <c r="A49" s="546" t="s">
        <v>65</v>
      </c>
      <c r="B49" s="1343" t="s">
        <v>433</v>
      </c>
      <c r="C49" s="1344"/>
      <c r="D49" s="1080">
        <f t="shared" si="51"/>
        <v>16287</v>
      </c>
      <c r="E49" s="1080">
        <f t="shared" si="40"/>
        <v>340</v>
      </c>
      <c r="F49" s="1080">
        <f t="shared" si="52"/>
        <v>16627</v>
      </c>
      <c r="G49" s="841">
        <v>12474</v>
      </c>
      <c r="H49" s="841">
        <f>-180-34</f>
        <v>-214</v>
      </c>
      <c r="I49" s="841">
        <f t="shared" si="46"/>
        <v>12260</v>
      </c>
      <c r="J49" s="841"/>
      <c r="K49" s="841">
        <f>325+80</f>
        <v>405</v>
      </c>
      <c r="L49" s="841">
        <f t="shared" si="47"/>
        <v>405</v>
      </c>
      <c r="M49" s="841">
        <v>1234</v>
      </c>
      <c r="N49" s="841">
        <v>154</v>
      </c>
      <c r="O49" s="841">
        <f t="shared" si="48"/>
        <v>1388</v>
      </c>
      <c r="P49" s="841"/>
      <c r="Q49" s="841">
        <v>2</v>
      </c>
      <c r="R49" s="841">
        <f>+Q49+P49</f>
        <v>2</v>
      </c>
      <c r="S49" s="841">
        <v>1792</v>
      </c>
      <c r="T49" s="841">
        <v>-5</v>
      </c>
      <c r="U49" s="841">
        <f t="shared" si="49"/>
        <v>1787</v>
      </c>
      <c r="V49" s="841">
        <v>787</v>
      </c>
      <c r="W49" s="841"/>
      <c r="X49" s="841">
        <f t="shared" si="50"/>
        <v>787</v>
      </c>
    </row>
    <row r="50" spans="1:24" s="549" customFormat="1" ht="15" customHeight="1" x14ac:dyDescent="0.25">
      <c r="A50" s="547" t="s">
        <v>66</v>
      </c>
      <c r="B50" s="1345" t="s">
        <v>434</v>
      </c>
      <c r="C50" s="1346"/>
      <c r="D50" s="798">
        <f>+G50+J50+M50+S50+V50</f>
        <v>18487</v>
      </c>
      <c r="E50" s="798">
        <f>SUM(E41:E49)</f>
        <v>370</v>
      </c>
      <c r="F50" s="798">
        <f>SUM(F41:F49)</f>
        <v>18857</v>
      </c>
      <c r="G50" s="798">
        <f t="shared" ref="G50:X50" si="53">SUM(G41:G49)</f>
        <v>14041</v>
      </c>
      <c r="H50" s="798">
        <f t="shared" si="53"/>
        <v>-184</v>
      </c>
      <c r="I50" s="798">
        <f t="shared" si="53"/>
        <v>13857</v>
      </c>
      <c r="J50" s="798">
        <f>SUM(J41:J49)</f>
        <v>0</v>
      </c>
      <c r="K50" s="798">
        <f t="shared" si="53"/>
        <v>405</v>
      </c>
      <c r="L50" s="798">
        <f t="shared" si="53"/>
        <v>405</v>
      </c>
      <c r="M50" s="798">
        <f t="shared" si="53"/>
        <v>1234</v>
      </c>
      <c r="N50" s="798">
        <f t="shared" si="53"/>
        <v>154</v>
      </c>
      <c r="O50" s="798">
        <f t="shared" si="53"/>
        <v>1388</v>
      </c>
      <c r="P50" s="798">
        <f t="shared" si="53"/>
        <v>0</v>
      </c>
      <c r="Q50" s="798">
        <f t="shared" si="53"/>
        <v>2</v>
      </c>
      <c r="R50" s="798">
        <f t="shared" si="53"/>
        <v>2</v>
      </c>
      <c r="S50" s="798">
        <f t="shared" si="53"/>
        <v>1839</v>
      </c>
      <c r="T50" s="798">
        <f t="shared" si="53"/>
        <v>-5</v>
      </c>
      <c r="U50" s="798">
        <f t="shared" si="53"/>
        <v>1834</v>
      </c>
      <c r="V50" s="798">
        <f t="shared" si="53"/>
        <v>1373</v>
      </c>
      <c r="W50" s="798">
        <f t="shared" si="53"/>
        <v>0</v>
      </c>
      <c r="X50" s="798">
        <f t="shared" si="53"/>
        <v>1373</v>
      </c>
    </row>
    <row r="51" spans="1:24" ht="15" customHeight="1" x14ac:dyDescent="0.25">
      <c r="A51" s="546" t="s">
        <v>68</v>
      </c>
      <c r="B51" s="1343" t="s">
        <v>67</v>
      </c>
      <c r="C51" s="1344"/>
      <c r="D51" s="1080">
        <f t="shared" ref="D51:D52" si="54">+G51+J51+M51+S51+V51</f>
        <v>203</v>
      </c>
      <c r="E51" s="1080">
        <f>+H51+K51+N51+T51+W51</f>
        <v>5</v>
      </c>
      <c r="F51" s="1080">
        <f t="shared" ref="F51:F52" si="55">+I51+L51+O51+U51+X51</f>
        <v>208</v>
      </c>
      <c r="G51" s="841">
        <v>150</v>
      </c>
      <c r="H51" s="841"/>
      <c r="I51" s="841">
        <f>+H51+G51</f>
        <v>150</v>
      </c>
      <c r="J51" s="841">
        <v>25</v>
      </c>
      <c r="K51" s="841"/>
      <c r="L51" s="841">
        <f>+K51+J51</f>
        <v>25</v>
      </c>
      <c r="M51" s="841"/>
      <c r="N51" s="841"/>
      <c r="O51" s="841">
        <f>+N51+M51</f>
        <v>0</v>
      </c>
      <c r="P51" s="841"/>
      <c r="Q51" s="841"/>
      <c r="R51" s="841"/>
      <c r="S51" s="841">
        <v>25</v>
      </c>
      <c r="T51" s="841"/>
      <c r="U51" s="841">
        <f>+T51+S51</f>
        <v>25</v>
      </c>
      <c r="V51" s="841">
        <v>3</v>
      </c>
      <c r="W51" s="841">
        <v>5</v>
      </c>
      <c r="X51" s="841">
        <f>+W51+V51</f>
        <v>8</v>
      </c>
    </row>
    <row r="52" spans="1:24" ht="15" customHeight="1" x14ac:dyDescent="0.25">
      <c r="A52" s="546" t="s">
        <v>70</v>
      </c>
      <c r="B52" s="1343" t="s">
        <v>69</v>
      </c>
      <c r="C52" s="1344"/>
      <c r="D52" s="1080">
        <f t="shared" si="54"/>
        <v>430</v>
      </c>
      <c r="E52" s="1080">
        <f t="shared" ref="E52" si="56">+H52+K52+N52+T52</f>
        <v>0</v>
      </c>
      <c r="F52" s="1080">
        <f t="shared" si="55"/>
        <v>430</v>
      </c>
      <c r="G52" s="841">
        <v>176</v>
      </c>
      <c r="H52" s="841"/>
      <c r="I52" s="841">
        <f>+H52+G52</f>
        <v>176</v>
      </c>
      <c r="J52" s="841"/>
      <c r="K52" s="841"/>
      <c r="L52" s="841">
        <f>+K52+J52</f>
        <v>0</v>
      </c>
      <c r="M52" s="841"/>
      <c r="N52" s="841"/>
      <c r="O52" s="841">
        <f>+N52+M52</f>
        <v>0</v>
      </c>
      <c r="P52" s="841"/>
      <c r="Q52" s="841"/>
      <c r="R52" s="841"/>
      <c r="S52" s="841"/>
      <c r="T52" s="841"/>
      <c r="U52" s="841">
        <f>+T52+S52</f>
        <v>0</v>
      </c>
      <c r="V52" s="841">
        <v>254</v>
      </c>
      <c r="W52" s="841"/>
      <c r="X52" s="841">
        <f>+W52+V52</f>
        <v>254</v>
      </c>
    </row>
    <row r="53" spans="1:24" s="549" customFormat="1" ht="30.75" customHeight="1" x14ac:dyDescent="0.25">
      <c r="A53" s="547" t="s">
        <v>71</v>
      </c>
      <c r="B53" s="1345" t="s">
        <v>155</v>
      </c>
      <c r="C53" s="1346"/>
      <c r="D53" s="798">
        <f>+G53+J53+M53+S53+V53</f>
        <v>633</v>
      </c>
      <c r="E53" s="798">
        <f t="shared" ref="E53:U53" si="57">SUM(E51:E52)</f>
        <v>5</v>
      </c>
      <c r="F53" s="798">
        <f>SUM(F51:F52)</f>
        <v>638</v>
      </c>
      <c r="G53" s="798">
        <f t="shared" si="57"/>
        <v>326</v>
      </c>
      <c r="H53" s="798">
        <f t="shared" si="57"/>
        <v>0</v>
      </c>
      <c r="I53" s="798">
        <f t="shared" si="57"/>
        <v>326</v>
      </c>
      <c r="J53" s="798">
        <f t="shared" si="57"/>
        <v>25</v>
      </c>
      <c r="K53" s="798">
        <f t="shared" si="57"/>
        <v>0</v>
      </c>
      <c r="L53" s="798">
        <f t="shared" si="57"/>
        <v>25</v>
      </c>
      <c r="M53" s="798">
        <f t="shared" si="57"/>
        <v>0</v>
      </c>
      <c r="N53" s="798">
        <f t="shared" si="57"/>
        <v>0</v>
      </c>
      <c r="O53" s="798">
        <f t="shared" si="57"/>
        <v>0</v>
      </c>
      <c r="P53" s="798">
        <f t="shared" si="57"/>
        <v>0</v>
      </c>
      <c r="Q53" s="798">
        <f t="shared" si="57"/>
        <v>0</v>
      </c>
      <c r="R53" s="798">
        <f t="shared" si="57"/>
        <v>0</v>
      </c>
      <c r="S53" s="798">
        <f t="shared" si="57"/>
        <v>25</v>
      </c>
      <c r="T53" s="798">
        <f t="shared" si="57"/>
        <v>0</v>
      </c>
      <c r="U53" s="798">
        <f t="shared" si="57"/>
        <v>25</v>
      </c>
      <c r="V53" s="798">
        <f t="shared" ref="V53:X53" si="58">SUM(V51:V52)</f>
        <v>257</v>
      </c>
      <c r="W53" s="798">
        <f t="shared" si="58"/>
        <v>5</v>
      </c>
      <c r="X53" s="798">
        <f t="shared" si="58"/>
        <v>262</v>
      </c>
    </row>
    <row r="54" spans="1:24" ht="36.75" customHeight="1" x14ac:dyDescent="0.25">
      <c r="A54" s="546" t="s">
        <v>73</v>
      </c>
      <c r="B54" s="1343" t="s">
        <v>72</v>
      </c>
      <c r="C54" s="1344"/>
      <c r="D54" s="1080">
        <f t="shared" ref="D54:D58" si="59">+G54+J54+M54+S54+V54</f>
        <v>4475</v>
      </c>
      <c r="E54" s="1080">
        <f>+H54+K54+N54+Q54+T54+W54</f>
        <v>-403</v>
      </c>
      <c r="F54" s="1080">
        <f>+I54+L54+O54+U54+X54+R54</f>
        <v>4113</v>
      </c>
      <c r="G54" s="841">
        <v>2849</v>
      </c>
      <c r="H54" s="841">
        <v>-129</v>
      </c>
      <c r="I54" s="841">
        <f>+H54+G54</f>
        <v>2720</v>
      </c>
      <c r="J54" s="841">
        <v>146</v>
      </c>
      <c r="K54" s="841">
        <v>-98</v>
      </c>
      <c r="L54" s="841">
        <f>+K54+J54</f>
        <v>48</v>
      </c>
      <c r="M54" s="841">
        <v>289</v>
      </c>
      <c r="N54" s="841">
        <v>-153</v>
      </c>
      <c r="O54" s="841">
        <f>+N54+M54</f>
        <v>136</v>
      </c>
      <c r="P54" s="841">
        <v>41</v>
      </c>
      <c r="Q54" s="841">
        <f>-1-15-7</f>
        <v>-23</v>
      </c>
      <c r="R54" s="841">
        <f t="shared" ref="R54:R55" si="60">+Q54+P54</f>
        <v>18</v>
      </c>
      <c r="S54" s="841">
        <v>820</v>
      </c>
      <c r="T54" s="841"/>
      <c r="U54" s="841">
        <f>+T54+S54</f>
        <v>820</v>
      </c>
      <c r="V54" s="841">
        <v>371</v>
      </c>
      <c r="W54" s="841"/>
      <c r="X54" s="841">
        <f>+W54+V54</f>
        <v>371</v>
      </c>
    </row>
    <row r="55" spans="1:24" ht="15" customHeight="1" x14ac:dyDescent="0.25">
      <c r="A55" s="546" t="s">
        <v>75</v>
      </c>
      <c r="B55" s="1343" t="s">
        <v>435</v>
      </c>
      <c r="C55" s="1344"/>
      <c r="D55" s="1080">
        <f t="shared" si="59"/>
        <v>446</v>
      </c>
      <c r="E55" s="1080">
        <f>+H55+K55+N55+T55+Q55</f>
        <v>0</v>
      </c>
      <c r="F55" s="1080">
        <f t="shared" ref="F55:F58" si="61">+I55+L55+O55+U55+X55+R55</f>
        <v>514</v>
      </c>
      <c r="G55" s="841">
        <v>176</v>
      </c>
      <c r="H55" s="841"/>
      <c r="I55" s="841">
        <f t="shared" ref="I55:I58" si="62">+H55+G55</f>
        <v>176</v>
      </c>
      <c r="J55" s="841">
        <v>270</v>
      </c>
      <c r="K55" s="841"/>
      <c r="L55" s="841">
        <f t="shared" ref="L55:L58" si="63">+K55+J55</f>
        <v>270</v>
      </c>
      <c r="M55" s="841"/>
      <c r="N55" s="841"/>
      <c r="O55" s="841">
        <f t="shared" ref="O55:O58" si="64">+N55+M55</f>
        <v>0</v>
      </c>
      <c r="P55" s="841">
        <v>68</v>
      </c>
      <c r="Q55" s="841">
        <v>-68</v>
      </c>
      <c r="R55" s="841">
        <f t="shared" si="60"/>
        <v>0</v>
      </c>
      <c r="S55" s="841">
        <v>0</v>
      </c>
      <c r="T55" s="841">
        <v>68</v>
      </c>
      <c r="U55" s="841">
        <f t="shared" ref="U55:U58" si="65">+T55+S55</f>
        <v>68</v>
      </c>
      <c r="V55" s="841"/>
      <c r="W55" s="841"/>
      <c r="X55" s="841">
        <f t="shared" ref="X55:X58" si="66">+W55+V55</f>
        <v>0</v>
      </c>
    </row>
    <row r="56" spans="1:24" ht="15" customHeight="1" x14ac:dyDescent="0.25">
      <c r="A56" s="546" t="s">
        <v>76</v>
      </c>
      <c r="B56" s="1343" t="s">
        <v>436</v>
      </c>
      <c r="C56" s="1344"/>
      <c r="D56" s="1080">
        <f t="shared" si="59"/>
        <v>0</v>
      </c>
      <c r="E56" s="1080">
        <f t="shared" ref="E56:E57" si="67">+H56+K56+N56+T56</f>
        <v>0</v>
      </c>
      <c r="F56" s="1080">
        <f t="shared" si="61"/>
        <v>0</v>
      </c>
      <c r="G56" s="841"/>
      <c r="H56" s="841"/>
      <c r="I56" s="841">
        <f t="shared" si="62"/>
        <v>0</v>
      </c>
      <c r="J56" s="841"/>
      <c r="K56" s="841"/>
      <c r="L56" s="841">
        <f t="shared" si="63"/>
        <v>0</v>
      </c>
      <c r="M56" s="841"/>
      <c r="N56" s="841"/>
      <c r="O56" s="841">
        <f t="shared" si="64"/>
        <v>0</v>
      </c>
      <c r="P56" s="841"/>
      <c r="Q56" s="841"/>
      <c r="R56" s="841"/>
      <c r="S56" s="841"/>
      <c r="T56" s="841"/>
      <c r="U56" s="841">
        <f t="shared" si="65"/>
        <v>0</v>
      </c>
      <c r="V56" s="841"/>
      <c r="W56" s="841"/>
      <c r="X56" s="841">
        <f t="shared" si="66"/>
        <v>0</v>
      </c>
    </row>
    <row r="57" spans="1:24" ht="15" customHeight="1" x14ac:dyDescent="0.25">
      <c r="A57" s="546" t="s">
        <v>77</v>
      </c>
      <c r="B57" s="1343" t="s">
        <v>437</v>
      </c>
      <c r="C57" s="1344"/>
      <c r="D57" s="1080">
        <f t="shared" si="59"/>
        <v>0</v>
      </c>
      <c r="E57" s="1080">
        <f t="shared" si="67"/>
        <v>0</v>
      </c>
      <c r="F57" s="1080">
        <f t="shared" si="61"/>
        <v>0</v>
      </c>
      <c r="G57" s="841"/>
      <c r="H57" s="841"/>
      <c r="I57" s="841">
        <f t="shared" si="62"/>
        <v>0</v>
      </c>
      <c r="J57" s="841"/>
      <c r="K57" s="841"/>
      <c r="L57" s="841">
        <f t="shared" si="63"/>
        <v>0</v>
      </c>
      <c r="M57" s="841"/>
      <c r="N57" s="841"/>
      <c r="O57" s="841">
        <f t="shared" si="64"/>
        <v>0</v>
      </c>
      <c r="P57" s="841"/>
      <c r="Q57" s="841"/>
      <c r="R57" s="841"/>
      <c r="S57" s="841"/>
      <c r="T57" s="841"/>
      <c r="U57" s="841">
        <f t="shared" si="65"/>
        <v>0</v>
      </c>
      <c r="V57" s="841"/>
      <c r="W57" s="841"/>
      <c r="X57" s="841">
        <f t="shared" si="66"/>
        <v>0</v>
      </c>
    </row>
    <row r="58" spans="1:24" ht="15" customHeight="1" x14ac:dyDescent="0.25">
      <c r="A58" s="546" t="s">
        <v>79</v>
      </c>
      <c r="B58" s="1343" t="s">
        <v>78</v>
      </c>
      <c r="C58" s="1344"/>
      <c r="D58" s="1080">
        <f t="shared" si="59"/>
        <v>3671</v>
      </c>
      <c r="E58" s="1080">
        <f>+H58+K58+N58+T58+W58</f>
        <v>2</v>
      </c>
      <c r="F58" s="1080">
        <f t="shared" si="61"/>
        <v>3673</v>
      </c>
      <c r="G58" s="841">
        <v>250</v>
      </c>
      <c r="H58" s="841"/>
      <c r="I58" s="841">
        <f t="shared" si="62"/>
        <v>250</v>
      </c>
      <c r="J58" s="841"/>
      <c r="K58" s="841"/>
      <c r="L58" s="841">
        <f t="shared" si="63"/>
        <v>0</v>
      </c>
      <c r="M58" s="841"/>
      <c r="N58" s="841"/>
      <c r="O58" s="841">
        <f t="shared" si="64"/>
        <v>0</v>
      </c>
      <c r="P58" s="841"/>
      <c r="Q58" s="841"/>
      <c r="R58" s="841"/>
      <c r="S58" s="841">
        <v>25</v>
      </c>
      <c r="T58" s="841">
        <v>2</v>
      </c>
      <c r="U58" s="841">
        <f t="shared" si="65"/>
        <v>27</v>
      </c>
      <c r="V58" s="841">
        <v>3396</v>
      </c>
      <c r="W58" s="841"/>
      <c r="X58" s="841">
        <f t="shared" si="66"/>
        <v>3396</v>
      </c>
    </row>
    <row r="59" spans="1:24" ht="28.5" customHeight="1" x14ac:dyDescent="0.25">
      <c r="A59" s="547" t="s">
        <v>80</v>
      </c>
      <c r="B59" s="1345" t="s">
        <v>152</v>
      </c>
      <c r="C59" s="1346"/>
      <c r="D59" s="798">
        <f>+G59+J59+M59+S59+P59+V59</f>
        <v>8701</v>
      </c>
      <c r="E59" s="798">
        <f>SUM(E54:E58)</f>
        <v>-401</v>
      </c>
      <c r="F59" s="798">
        <f t="shared" ref="F59:X59" si="68">SUM(F54:F58)</f>
        <v>8300</v>
      </c>
      <c r="G59" s="798">
        <f t="shared" si="68"/>
        <v>3275</v>
      </c>
      <c r="H59" s="798">
        <f t="shared" si="68"/>
        <v>-129</v>
      </c>
      <c r="I59" s="798">
        <f t="shared" si="68"/>
        <v>3146</v>
      </c>
      <c r="J59" s="798">
        <f t="shared" si="68"/>
        <v>416</v>
      </c>
      <c r="K59" s="798">
        <f t="shared" si="68"/>
        <v>-98</v>
      </c>
      <c r="L59" s="798">
        <f t="shared" si="68"/>
        <v>318</v>
      </c>
      <c r="M59" s="798">
        <f t="shared" si="68"/>
        <v>289</v>
      </c>
      <c r="N59" s="798">
        <f t="shared" si="68"/>
        <v>-153</v>
      </c>
      <c r="O59" s="798">
        <f t="shared" si="68"/>
        <v>136</v>
      </c>
      <c r="P59" s="798">
        <f t="shared" si="68"/>
        <v>109</v>
      </c>
      <c r="Q59" s="798">
        <f t="shared" si="68"/>
        <v>-91</v>
      </c>
      <c r="R59" s="798">
        <f t="shared" si="68"/>
        <v>18</v>
      </c>
      <c r="S59" s="798">
        <f t="shared" si="68"/>
        <v>845</v>
      </c>
      <c r="T59" s="798">
        <f t="shared" si="68"/>
        <v>70</v>
      </c>
      <c r="U59" s="798">
        <f t="shared" si="68"/>
        <v>915</v>
      </c>
      <c r="V59" s="798">
        <f t="shared" si="68"/>
        <v>3767</v>
      </c>
      <c r="W59" s="798">
        <f t="shared" si="68"/>
        <v>0</v>
      </c>
      <c r="X59" s="798">
        <f t="shared" si="68"/>
        <v>3767</v>
      </c>
    </row>
    <row r="60" spans="1:24" ht="15" customHeight="1" x14ac:dyDescent="0.25">
      <c r="A60" s="547" t="s">
        <v>81</v>
      </c>
      <c r="B60" s="1345" t="s">
        <v>343</v>
      </c>
      <c r="C60" s="1346"/>
      <c r="D60" s="798">
        <f>+G60+J60+M60+S60+V60+P60</f>
        <v>30890</v>
      </c>
      <c r="E60" s="798">
        <f>+E59+E53+E50+E40+E37</f>
        <v>-611</v>
      </c>
      <c r="F60" s="798">
        <f>+F59+F53+F50+F40+F37</f>
        <v>30279</v>
      </c>
      <c r="G60" s="798">
        <f>+G59+G53+G50+G40+G37</f>
        <v>18742</v>
      </c>
      <c r="H60" s="798">
        <f>+H59+H53+H50+H40+H37</f>
        <v>-4</v>
      </c>
      <c r="I60" s="798">
        <f t="shared" ref="I60:X60" si="69">+I59+I53+I50+I40+I37</f>
        <v>18738</v>
      </c>
      <c r="J60" s="798">
        <f t="shared" si="69"/>
        <v>1007</v>
      </c>
      <c r="K60" s="798">
        <f t="shared" si="69"/>
        <v>-39</v>
      </c>
      <c r="L60" s="798">
        <f t="shared" si="69"/>
        <v>968</v>
      </c>
      <c r="M60" s="798">
        <f t="shared" si="69"/>
        <v>1523</v>
      </c>
      <c r="N60" s="798">
        <f t="shared" si="69"/>
        <v>1</v>
      </c>
      <c r="O60" s="798">
        <f t="shared" si="69"/>
        <v>1524</v>
      </c>
      <c r="P60" s="798">
        <f t="shared" si="69"/>
        <v>891</v>
      </c>
      <c r="Q60" s="798">
        <f t="shared" si="69"/>
        <v>-637</v>
      </c>
      <c r="R60" s="798">
        <f t="shared" si="69"/>
        <v>254</v>
      </c>
      <c r="S60" s="798">
        <f t="shared" si="69"/>
        <v>3330</v>
      </c>
      <c r="T60" s="798">
        <f t="shared" si="69"/>
        <v>65</v>
      </c>
      <c r="U60" s="798">
        <f t="shared" si="69"/>
        <v>3395</v>
      </c>
      <c r="V60" s="798">
        <f t="shared" si="69"/>
        <v>5397</v>
      </c>
      <c r="W60" s="798">
        <f t="shared" si="69"/>
        <v>5</v>
      </c>
      <c r="X60" s="798">
        <f t="shared" si="69"/>
        <v>5402</v>
      </c>
    </row>
    <row r="61" spans="1:24" ht="15" customHeight="1" x14ac:dyDescent="0.25">
      <c r="A61" s="550"/>
      <c r="B61" s="692"/>
      <c r="C61" s="692"/>
      <c r="D61" s="852"/>
      <c r="E61" s="798"/>
      <c r="F61" s="798"/>
      <c r="G61" s="851"/>
      <c r="H61" s="852"/>
      <c r="I61" s="798"/>
      <c r="J61" s="851"/>
      <c r="K61" s="852"/>
      <c r="L61" s="853"/>
      <c r="M61" s="851"/>
      <c r="N61" s="852"/>
      <c r="O61" s="853"/>
      <c r="P61" s="852"/>
      <c r="Q61" s="852"/>
      <c r="R61" s="852"/>
      <c r="S61" s="851"/>
      <c r="T61" s="852"/>
      <c r="U61" s="853"/>
      <c r="V61" s="851"/>
      <c r="W61" s="852"/>
      <c r="X61" s="853"/>
    </row>
    <row r="62" spans="1:24" ht="31.5" customHeight="1" x14ac:dyDescent="0.25">
      <c r="A62" s="768" t="s">
        <v>101</v>
      </c>
      <c r="B62" s="1327" t="s">
        <v>778</v>
      </c>
      <c r="C62" s="1166"/>
      <c r="D62" s="1080">
        <f t="shared" ref="D62:D63" si="70">+G62+J62+M62+S62+V62</f>
        <v>8840</v>
      </c>
      <c r="E62" s="1080">
        <f t="shared" ref="E62:E63" si="71">+H62+K62+N62+T62</f>
        <v>0</v>
      </c>
      <c r="F62" s="1080">
        <f t="shared" ref="F62" si="72">+I62+L62+O62+U62+X62</f>
        <v>8840</v>
      </c>
      <c r="G62" s="841">
        <v>8840</v>
      </c>
      <c r="H62" s="841"/>
      <c r="I62" s="854">
        <f>+H62+G62</f>
        <v>8840</v>
      </c>
      <c r="J62" s="841"/>
      <c r="K62" s="841"/>
      <c r="L62" s="841"/>
      <c r="M62" s="841"/>
      <c r="N62" s="841"/>
      <c r="O62" s="841"/>
      <c r="P62" s="841"/>
      <c r="Q62" s="841"/>
      <c r="R62" s="841"/>
      <c r="S62" s="841"/>
      <c r="T62" s="841"/>
      <c r="U62" s="841"/>
      <c r="V62" s="841"/>
      <c r="W62" s="841"/>
      <c r="X62" s="841"/>
    </row>
    <row r="63" spans="1:24" ht="24" customHeight="1" x14ac:dyDescent="0.25">
      <c r="A63" s="546" t="s">
        <v>107</v>
      </c>
      <c r="B63" s="1343" t="s">
        <v>164</v>
      </c>
      <c r="C63" s="1344"/>
      <c r="D63" s="1080">
        <f t="shared" si="70"/>
        <v>12851</v>
      </c>
      <c r="E63" s="1080">
        <f t="shared" si="71"/>
        <v>0</v>
      </c>
      <c r="F63" s="1080">
        <f>+I63+L63+O63+U63+X63</f>
        <v>12851</v>
      </c>
      <c r="G63" s="854">
        <v>9566</v>
      </c>
      <c r="H63" s="854"/>
      <c r="I63" s="854">
        <f>+H63+G63</f>
        <v>9566</v>
      </c>
      <c r="J63" s="854"/>
      <c r="K63" s="854"/>
      <c r="L63" s="854">
        <f>+K63+J63</f>
        <v>0</v>
      </c>
      <c r="M63" s="854"/>
      <c r="N63" s="854"/>
      <c r="O63" s="854"/>
      <c r="P63" s="854"/>
      <c r="Q63" s="854"/>
      <c r="R63" s="854"/>
      <c r="S63" s="854">
        <v>3285</v>
      </c>
      <c r="T63" s="1080"/>
      <c r="U63" s="1080">
        <f>+T63+S63</f>
        <v>3285</v>
      </c>
      <c r="V63" s="854"/>
      <c r="W63" s="1080"/>
      <c r="X63" s="1080">
        <f>+W63+V63</f>
        <v>0</v>
      </c>
    </row>
    <row r="64" spans="1:24" ht="38.25" customHeight="1" x14ac:dyDescent="0.25">
      <c r="A64" s="557" t="s">
        <v>107</v>
      </c>
      <c r="B64" s="552"/>
      <c r="C64" s="558" t="s">
        <v>104</v>
      </c>
      <c r="D64" s="854">
        <f>(((+G64+J64)+M64)+S64+W64)</f>
        <v>12851</v>
      </c>
      <c r="E64" s="854">
        <f>(((+H64+K64)+N64)+T64)</f>
        <v>0</v>
      </c>
      <c r="F64" s="854">
        <f>(((+I64+L64)+O64)+U64+X64)</f>
        <v>12851</v>
      </c>
      <c r="G64" s="854">
        <v>9566</v>
      </c>
      <c r="H64" s="854"/>
      <c r="I64" s="854">
        <f>+H64+G64</f>
        <v>9566</v>
      </c>
      <c r="J64" s="854"/>
      <c r="K64" s="854"/>
      <c r="L64" s="854">
        <f>+K64+J64</f>
        <v>0</v>
      </c>
      <c r="M64" s="854"/>
      <c r="N64" s="854"/>
      <c r="O64" s="854"/>
      <c r="P64" s="854"/>
      <c r="Q64" s="854"/>
      <c r="R64" s="854"/>
      <c r="S64" s="854">
        <v>3285</v>
      </c>
      <c r="T64" s="1080"/>
      <c r="U64" s="1080">
        <f>+T64+S64</f>
        <v>3285</v>
      </c>
      <c r="V64" s="854"/>
      <c r="W64" s="1080"/>
      <c r="X64" s="1080">
        <f>+W64+V64</f>
        <v>0</v>
      </c>
    </row>
    <row r="65" spans="1:24" ht="15" customHeight="1" x14ac:dyDescent="0.25">
      <c r="A65" s="547" t="s">
        <v>108</v>
      </c>
      <c r="B65" s="1345" t="s">
        <v>163</v>
      </c>
      <c r="C65" s="1346"/>
      <c r="D65" s="798">
        <f>+G65+S65</f>
        <v>21691</v>
      </c>
      <c r="E65" s="798">
        <f>+E62</f>
        <v>0</v>
      </c>
      <c r="F65" s="798">
        <f>+F63+F62</f>
        <v>21691</v>
      </c>
      <c r="G65" s="798">
        <f>+G63+G62</f>
        <v>18406</v>
      </c>
      <c r="H65" s="798">
        <f t="shared" ref="H65:U65" si="73">+H63</f>
        <v>0</v>
      </c>
      <c r="I65" s="798">
        <f>+I63+I62</f>
        <v>18406</v>
      </c>
      <c r="J65" s="798">
        <f t="shared" si="73"/>
        <v>0</v>
      </c>
      <c r="K65" s="798">
        <f t="shared" si="73"/>
        <v>0</v>
      </c>
      <c r="L65" s="798">
        <f t="shared" si="73"/>
        <v>0</v>
      </c>
      <c r="M65" s="798">
        <f t="shared" si="73"/>
        <v>0</v>
      </c>
      <c r="N65" s="798">
        <f t="shared" si="73"/>
        <v>0</v>
      </c>
      <c r="O65" s="798">
        <f t="shared" si="73"/>
        <v>0</v>
      </c>
      <c r="P65" s="798">
        <f>+P63</f>
        <v>0</v>
      </c>
      <c r="Q65" s="798">
        <f t="shared" si="73"/>
        <v>0</v>
      </c>
      <c r="R65" s="798">
        <f t="shared" si="73"/>
        <v>0</v>
      </c>
      <c r="S65" s="798">
        <f>+S63</f>
        <v>3285</v>
      </c>
      <c r="T65" s="798">
        <f t="shared" si="73"/>
        <v>0</v>
      </c>
      <c r="U65" s="798">
        <f t="shared" si="73"/>
        <v>3285</v>
      </c>
      <c r="V65" s="798">
        <f>+V63</f>
        <v>0</v>
      </c>
      <c r="W65" s="798">
        <f t="shared" ref="W65:X65" si="74">+W63</f>
        <v>0</v>
      </c>
      <c r="X65" s="798">
        <f t="shared" si="74"/>
        <v>0</v>
      </c>
    </row>
    <row r="66" spans="1:24" ht="27.75" customHeight="1" x14ac:dyDescent="0.25">
      <c r="A66" s="559"/>
      <c r="B66" s="560"/>
      <c r="C66" s="560"/>
      <c r="D66" s="847"/>
      <c r="E66" s="847"/>
      <c r="F66" s="847"/>
      <c r="G66" s="847"/>
      <c r="H66" s="847"/>
      <c r="I66" s="847"/>
      <c r="J66" s="847"/>
      <c r="K66" s="847"/>
      <c r="L66" s="847"/>
      <c r="M66" s="847"/>
      <c r="N66" s="847"/>
      <c r="O66" s="847"/>
      <c r="P66" s="847"/>
      <c r="Q66" s="847"/>
      <c r="R66" s="847"/>
      <c r="S66" s="847"/>
      <c r="T66" s="847"/>
      <c r="U66" s="847"/>
      <c r="V66" s="847"/>
      <c r="W66" s="847"/>
      <c r="X66" s="847"/>
    </row>
    <row r="67" spans="1:24" ht="21.75" customHeight="1" x14ac:dyDescent="0.25">
      <c r="A67" s="561"/>
      <c r="B67" s="562"/>
      <c r="C67" s="562"/>
      <c r="D67" s="848"/>
      <c r="E67" s="848"/>
      <c r="F67" s="848"/>
      <c r="G67" s="848"/>
      <c r="H67" s="848"/>
      <c r="I67" s="848"/>
      <c r="J67" s="848"/>
      <c r="K67" s="848"/>
      <c r="L67" s="848"/>
      <c r="M67" s="848"/>
      <c r="N67" s="848"/>
      <c r="O67" s="848"/>
      <c r="P67" s="848"/>
      <c r="Q67" s="848"/>
      <c r="R67" s="848"/>
      <c r="S67" s="848"/>
      <c r="T67" s="848"/>
      <c r="U67" s="848"/>
      <c r="V67" s="848"/>
      <c r="W67" s="848"/>
      <c r="X67" s="848"/>
    </row>
    <row r="68" spans="1:24" ht="27.75" customHeight="1" x14ac:dyDescent="0.25">
      <c r="A68" s="546" t="s">
        <v>110</v>
      </c>
      <c r="B68" s="1343" t="s">
        <v>109</v>
      </c>
      <c r="C68" s="1344"/>
      <c r="D68" s="1080">
        <f t="shared" ref="D68:D74" si="75">+G68+J68+M68+S68+V68</f>
        <v>0</v>
      </c>
      <c r="E68" s="1080">
        <f t="shared" ref="E68:E69" si="76">+H68+K68+N68+T68</f>
        <v>0</v>
      </c>
      <c r="F68" s="1080">
        <f t="shared" ref="F68:F69" si="77">+I68+L68+O68+U68+X68</f>
        <v>0</v>
      </c>
      <c r="G68" s="841"/>
      <c r="H68" s="841"/>
      <c r="I68" s="854">
        <f t="shared" ref="I68:I75" si="78">+H68+G68</f>
        <v>0</v>
      </c>
      <c r="J68" s="841"/>
      <c r="K68" s="841"/>
      <c r="L68" s="841"/>
      <c r="M68" s="841"/>
      <c r="N68" s="841"/>
      <c r="O68" s="841"/>
      <c r="P68" s="841"/>
      <c r="Q68" s="841"/>
      <c r="R68" s="841"/>
      <c r="S68" s="841"/>
      <c r="T68" s="841"/>
      <c r="U68" s="841"/>
      <c r="V68" s="841"/>
      <c r="W68" s="841"/>
      <c r="X68" s="841"/>
    </row>
    <row r="69" spans="1:24" ht="15" customHeight="1" x14ac:dyDescent="0.25">
      <c r="A69" s="546" t="s">
        <v>111</v>
      </c>
      <c r="B69" s="1343" t="s">
        <v>438</v>
      </c>
      <c r="C69" s="1344"/>
      <c r="D69" s="1080">
        <f t="shared" si="75"/>
        <v>0</v>
      </c>
      <c r="E69" s="1080">
        <f t="shared" si="76"/>
        <v>0</v>
      </c>
      <c r="F69" s="1080">
        <f t="shared" si="77"/>
        <v>0</v>
      </c>
      <c r="G69" s="841"/>
      <c r="H69" s="841"/>
      <c r="I69" s="854">
        <f t="shared" si="78"/>
        <v>0</v>
      </c>
      <c r="J69" s="841"/>
      <c r="K69" s="841"/>
      <c r="L69" s="841"/>
      <c r="M69" s="841"/>
      <c r="N69" s="841"/>
      <c r="O69" s="841"/>
      <c r="P69" s="841"/>
      <c r="Q69" s="841"/>
      <c r="R69" s="841"/>
      <c r="S69" s="841"/>
      <c r="T69" s="841"/>
      <c r="U69" s="841"/>
      <c r="V69" s="841"/>
      <c r="W69" s="841"/>
      <c r="X69" s="841"/>
    </row>
    <row r="70" spans="1:24" ht="25.5" customHeight="1" x14ac:dyDescent="0.25">
      <c r="A70" s="551" t="s">
        <v>111</v>
      </c>
      <c r="B70" s="552"/>
      <c r="C70" s="558" t="s">
        <v>112</v>
      </c>
      <c r="D70" s="1080">
        <f t="shared" si="75"/>
        <v>0</v>
      </c>
      <c r="E70" s="841">
        <f>+H70+K70+N70+T70+W70</f>
        <v>0</v>
      </c>
      <c r="F70" s="841">
        <f>+I70+L70+O70+U70+X70</f>
        <v>0</v>
      </c>
      <c r="G70" s="841"/>
      <c r="H70" s="841"/>
      <c r="I70" s="854">
        <f t="shared" si="78"/>
        <v>0</v>
      </c>
      <c r="J70" s="841"/>
      <c r="K70" s="841"/>
      <c r="L70" s="841"/>
      <c r="M70" s="841"/>
      <c r="N70" s="841"/>
      <c r="O70" s="841"/>
      <c r="P70" s="841"/>
      <c r="Q70" s="841"/>
      <c r="R70" s="841"/>
      <c r="S70" s="841"/>
      <c r="T70" s="841"/>
      <c r="U70" s="841"/>
      <c r="V70" s="841"/>
      <c r="W70" s="841"/>
      <c r="X70" s="841"/>
    </row>
    <row r="71" spans="1:24" ht="30.75" customHeight="1" x14ac:dyDescent="0.25">
      <c r="A71" s="546" t="s">
        <v>114</v>
      </c>
      <c r="B71" s="1343" t="s">
        <v>113</v>
      </c>
      <c r="C71" s="1344"/>
      <c r="D71" s="1080">
        <f t="shared" si="75"/>
        <v>0</v>
      </c>
      <c r="E71" s="1080">
        <f t="shared" ref="E71:E74" si="79">+H71+K71+N71+T71</f>
        <v>0</v>
      </c>
      <c r="F71" s="1080">
        <f t="shared" ref="F71:F74" si="80">+I71+L71+O71+U71+X71</f>
        <v>0</v>
      </c>
      <c r="G71" s="841"/>
      <c r="H71" s="841"/>
      <c r="I71" s="854">
        <f t="shared" si="78"/>
        <v>0</v>
      </c>
      <c r="J71" s="841"/>
      <c r="K71" s="841"/>
      <c r="L71" s="841"/>
      <c r="M71" s="841"/>
      <c r="N71" s="841"/>
      <c r="O71" s="841"/>
      <c r="P71" s="841"/>
      <c r="Q71" s="841"/>
      <c r="R71" s="841"/>
      <c r="S71" s="841"/>
      <c r="T71" s="841"/>
      <c r="U71" s="841"/>
      <c r="V71" s="841"/>
      <c r="W71" s="841"/>
      <c r="X71" s="841"/>
    </row>
    <row r="72" spans="1:24" ht="28.5" customHeight="1" x14ac:dyDescent="0.25">
      <c r="A72" s="546" t="s">
        <v>116</v>
      </c>
      <c r="B72" s="1343" t="s">
        <v>115</v>
      </c>
      <c r="C72" s="1344"/>
      <c r="D72" s="1080">
        <f>+G72+J72+M72+S72+V72+P72</f>
        <v>151</v>
      </c>
      <c r="E72" s="1080">
        <f>+H72+K72+N72+T72+Q72</f>
        <v>576</v>
      </c>
      <c r="F72" s="1080">
        <f>+I72+L72+O72+U72+X72+R72</f>
        <v>727</v>
      </c>
      <c r="G72" s="841">
        <v>108</v>
      </c>
      <c r="H72" s="841"/>
      <c r="I72" s="854">
        <f>+H72+G72</f>
        <v>108</v>
      </c>
      <c r="J72" s="841">
        <v>6</v>
      </c>
      <c r="K72" s="841">
        <v>32</v>
      </c>
      <c r="L72" s="854">
        <f t="shared" ref="L72:L75" si="81">+K72+J72</f>
        <v>38</v>
      </c>
      <c r="M72" s="841"/>
      <c r="N72" s="841"/>
      <c r="O72" s="841"/>
      <c r="P72" s="841">
        <v>16</v>
      </c>
      <c r="Q72" s="841">
        <f>4+17+396-170-10+307</f>
        <v>544</v>
      </c>
      <c r="R72" s="841">
        <f>+Q72+P72</f>
        <v>560</v>
      </c>
      <c r="S72" s="841">
        <v>21</v>
      </c>
      <c r="T72" s="841">
        <v>0</v>
      </c>
      <c r="U72" s="841">
        <f>+T72+S72</f>
        <v>21</v>
      </c>
      <c r="V72" s="841"/>
      <c r="W72" s="841"/>
      <c r="X72" s="841"/>
    </row>
    <row r="73" spans="1:24" ht="15" customHeight="1" x14ac:dyDescent="0.25">
      <c r="A73" s="546" t="s">
        <v>118</v>
      </c>
      <c r="B73" s="1343" t="s">
        <v>117</v>
      </c>
      <c r="C73" s="1344"/>
      <c r="D73" s="1080">
        <f t="shared" si="75"/>
        <v>0</v>
      </c>
      <c r="E73" s="1080">
        <f t="shared" si="79"/>
        <v>0</v>
      </c>
      <c r="F73" s="1080">
        <f t="shared" si="80"/>
        <v>0</v>
      </c>
      <c r="G73" s="841"/>
      <c r="H73" s="841"/>
      <c r="I73" s="854">
        <f t="shared" si="78"/>
        <v>0</v>
      </c>
      <c r="J73" s="841"/>
      <c r="K73" s="841"/>
      <c r="L73" s="854">
        <f t="shared" si="81"/>
        <v>0</v>
      </c>
      <c r="M73" s="841"/>
      <c r="N73" s="841"/>
      <c r="O73" s="841"/>
      <c r="P73" s="841"/>
      <c r="Q73" s="841"/>
      <c r="R73" s="841">
        <f t="shared" ref="R73:R75" si="82">+Q73+P73</f>
        <v>0</v>
      </c>
      <c r="S73" s="841"/>
      <c r="T73" s="841"/>
      <c r="U73" s="841"/>
      <c r="V73" s="841"/>
      <c r="W73" s="841"/>
      <c r="X73" s="841"/>
    </row>
    <row r="74" spans="1:24" ht="27.75" customHeight="1" x14ac:dyDescent="0.25">
      <c r="A74" s="546" t="s">
        <v>120</v>
      </c>
      <c r="B74" s="1343" t="s">
        <v>119</v>
      </c>
      <c r="C74" s="1344"/>
      <c r="D74" s="1080">
        <f t="shared" si="75"/>
        <v>0</v>
      </c>
      <c r="E74" s="1080">
        <f t="shared" si="79"/>
        <v>0</v>
      </c>
      <c r="F74" s="1080">
        <f t="shared" si="80"/>
        <v>0</v>
      </c>
      <c r="G74" s="841"/>
      <c r="H74" s="841"/>
      <c r="I74" s="854">
        <f t="shared" si="78"/>
        <v>0</v>
      </c>
      <c r="J74" s="841"/>
      <c r="K74" s="841"/>
      <c r="L74" s="854">
        <f t="shared" si="81"/>
        <v>0</v>
      </c>
      <c r="M74" s="841"/>
      <c r="N74" s="841"/>
      <c r="O74" s="841"/>
      <c r="P74" s="841"/>
      <c r="Q74" s="841"/>
      <c r="R74" s="841">
        <f t="shared" si="82"/>
        <v>0</v>
      </c>
      <c r="S74" s="841"/>
      <c r="T74" s="841"/>
      <c r="U74" s="841"/>
      <c r="V74" s="841"/>
      <c r="W74" s="841"/>
      <c r="X74" s="841"/>
    </row>
    <row r="75" spans="1:24" ht="36.75" customHeight="1" x14ac:dyDescent="0.25">
      <c r="A75" s="546" t="s">
        <v>122</v>
      </c>
      <c r="B75" s="1343" t="s">
        <v>121</v>
      </c>
      <c r="C75" s="1344"/>
      <c r="D75" s="1080">
        <f>+G75+J75+P75+S75</f>
        <v>37</v>
      </c>
      <c r="E75" s="1080">
        <f>+H75+K75+N75+T75+Q75</f>
        <v>34</v>
      </c>
      <c r="F75" s="1080">
        <f>+I75+L75+O75+U75+X75+R75</f>
        <v>71</v>
      </c>
      <c r="G75" s="841">
        <v>30</v>
      </c>
      <c r="H75" s="841"/>
      <c r="I75" s="854">
        <f t="shared" si="78"/>
        <v>30</v>
      </c>
      <c r="J75" s="841">
        <v>1</v>
      </c>
      <c r="K75" s="841">
        <v>8</v>
      </c>
      <c r="L75" s="854">
        <f t="shared" si="81"/>
        <v>9</v>
      </c>
      <c r="M75" s="841"/>
      <c r="N75" s="841"/>
      <c r="O75" s="841"/>
      <c r="P75" s="841">
        <v>1</v>
      </c>
      <c r="Q75" s="841">
        <f>-4+1+13+6+10</f>
        <v>26</v>
      </c>
      <c r="R75" s="841">
        <f t="shared" si="82"/>
        <v>27</v>
      </c>
      <c r="S75" s="841">
        <v>5</v>
      </c>
      <c r="T75" s="841">
        <v>0</v>
      </c>
      <c r="U75" s="841">
        <f>+T75+S75</f>
        <v>5</v>
      </c>
      <c r="V75" s="841"/>
      <c r="W75" s="841"/>
      <c r="X75" s="841"/>
    </row>
    <row r="76" spans="1:24" ht="15" customHeight="1" x14ac:dyDescent="0.25">
      <c r="A76" s="547" t="s">
        <v>123</v>
      </c>
      <c r="B76" s="1345" t="s">
        <v>161</v>
      </c>
      <c r="C76" s="1346"/>
      <c r="D76" s="798">
        <f>SUM(D68:D75)</f>
        <v>188</v>
      </c>
      <c r="E76" s="798">
        <f t="shared" ref="E76:X76" si="83">SUM(E68:E75)</f>
        <v>610</v>
      </c>
      <c r="F76" s="798">
        <f t="shared" si="83"/>
        <v>798</v>
      </c>
      <c r="G76" s="798">
        <f t="shared" si="83"/>
        <v>138</v>
      </c>
      <c r="H76" s="798">
        <f t="shared" si="83"/>
        <v>0</v>
      </c>
      <c r="I76" s="798">
        <f t="shared" si="83"/>
        <v>138</v>
      </c>
      <c r="J76" s="798">
        <f t="shared" si="83"/>
        <v>7</v>
      </c>
      <c r="K76" s="798">
        <f t="shared" si="83"/>
        <v>40</v>
      </c>
      <c r="L76" s="798">
        <f t="shared" si="83"/>
        <v>47</v>
      </c>
      <c r="M76" s="798">
        <f t="shared" si="83"/>
        <v>0</v>
      </c>
      <c r="N76" s="798">
        <f t="shared" si="83"/>
        <v>0</v>
      </c>
      <c r="O76" s="798">
        <f t="shared" si="83"/>
        <v>0</v>
      </c>
      <c r="P76" s="798">
        <f t="shared" si="83"/>
        <v>17</v>
      </c>
      <c r="Q76" s="798">
        <f t="shared" si="83"/>
        <v>570</v>
      </c>
      <c r="R76" s="798">
        <f t="shared" si="83"/>
        <v>587</v>
      </c>
      <c r="S76" s="798">
        <f t="shared" si="83"/>
        <v>26</v>
      </c>
      <c r="T76" s="798">
        <f t="shared" si="83"/>
        <v>0</v>
      </c>
      <c r="U76" s="798">
        <f t="shared" si="83"/>
        <v>26</v>
      </c>
      <c r="V76" s="798">
        <f t="shared" si="83"/>
        <v>0</v>
      </c>
      <c r="W76" s="798">
        <f t="shared" si="83"/>
        <v>0</v>
      </c>
      <c r="X76" s="798">
        <f t="shared" si="83"/>
        <v>0</v>
      </c>
    </row>
    <row r="77" spans="1:24" s="1086" customFormat="1" x14ac:dyDescent="0.25">
      <c r="A77" s="550"/>
      <c r="B77" s="1072"/>
      <c r="C77" s="1072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</row>
    <row r="78" spans="1:24" ht="15" hidden="1" customHeight="1" x14ac:dyDescent="0.25">
      <c r="A78" s="546" t="s">
        <v>125</v>
      </c>
      <c r="B78" s="1343" t="s">
        <v>124</v>
      </c>
      <c r="C78" s="1344"/>
      <c r="D78" s="841">
        <f>(((+G78+J78)+M78)+S78)</f>
        <v>0</v>
      </c>
      <c r="E78" s="841"/>
      <c r="F78" s="841"/>
      <c r="G78" s="841"/>
      <c r="H78" s="841"/>
      <c r="I78" s="841"/>
      <c r="J78" s="841"/>
      <c r="K78" s="841"/>
      <c r="L78" s="841"/>
      <c r="M78" s="841"/>
      <c r="N78" s="841"/>
      <c r="O78" s="841"/>
      <c r="P78" s="841"/>
      <c r="Q78" s="841"/>
      <c r="R78" s="841"/>
      <c r="S78" s="841"/>
      <c r="T78" s="841"/>
      <c r="U78" s="841"/>
      <c r="V78" s="841"/>
      <c r="W78" s="841"/>
      <c r="X78" s="841"/>
    </row>
    <row r="79" spans="1:24" ht="15" hidden="1" customHeight="1" x14ac:dyDescent="0.25">
      <c r="A79" s="546" t="s">
        <v>127</v>
      </c>
      <c r="B79" s="1343" t="s">
        <v>126</v>
      </c>
      <c r="C79" s="1344"/>
      <c r="D79" s="841">
        <f t="shared" ref="D79:D81" si="84">(((+G79+J79)+M79)+S79)</f>
        <v>0</v>
      </c>
      <c r="E79" s="841"/>
      <c r="F79" s="841"/>
      <c r="G79" s="841"/>
      <c r="H79" s="841"/>
      <c r="I79" s="841"/>
      <c r="J79" s="841"/>
      <c r="K79" s="841"/>
      <c r="L79" s="841"/>
      <c r="M79" s="841"/>
      <c r="N79" s="841"/>
      <c r="O79" s="841"/>
      <c r="P79" s="841"/>
      <c r="Q79" s="841"/>
      <c r="R79" s="841"/>
      <c r="S79" s="841"/>
      <c r="T79" s="841"/>
      <c r="U79" s="841"/>
      <c r="V79" s="841"/>
      <c r="W79" s="841"/>
      <c r="X79" s="841"/>
    </row>
    <row r="80" spans="1:24" ht="15" hidden="1" customHeight="1" x14ac:dyDescent="0.25">
      <c r="A80" s="546" t="s">
        <v>129</v>
      </c>
      <c r="B80" s="1343" t="s">
        <v>439</v>
      </c>
      <c r="C80" s="1344"/>
      <c r="D80" s="841">
        <f t="shared" si="84"/>
        <v>0</v>
      </c>
      <c r="E80" s="841"/>
      <c r="F80" s="841"/>
      <c r="G80" s="841"/>
      <c r="H80" s="841"/>
      <c r="I80" s="841"/>
      <c r="J80" s="841"/>
      <c r="K80" s="841"/>
      <c r="L80" s="841"/>
      <c r="M80" s="841"/>
      <c r="N80" s="841"/>
      <c r="O80" s="841"/>
      <c r="P80" s="841"/>
      <c r="Q80" s="841"/>
      <c r="R80" s="841"/>
      <c r="S80" s="841"/>
      <c r="T80" s="841"/>
      <c r="U80" s="841"/>
      <c r="V80" s="841"/>
      <c r="W80" s="841"/>
      <c r="X80" s="841"/>
    </row>
    <row r="81" spans="1:24" ht="23.25" hidden="1" customHeight="1" x14ac:dyDescent="0.25">
      <c r="A81" s="546" t="s">
        <v>131</v>
      </c>
      <c r="B81" s="1343" t="s">
        <v>130</v>
      </c>
      <c r="C81" s="1344"/>
      <c r="D81" s="841">
        <f t="shared" si="84"/>
        <v>0</v>
      </c>
      <c r="E81" s="841"/>
      <c r="F81" s="841"/>
      <c r="G81" s="841"/>
      <c r="H81" s="841"/>
      <c r="I81" s="841"/>
      <c r="J81" s="841"/>
      <c r="K81" s="841"/>
      <c r="L81" s="841"/>
      <c r="M81" s="841"/>
      <c r="N81" s="841"/>
      <c r="O81" s="841"/>
      <c r="P81" s="841"/>
      <c r="Q81" s="841"/>
      <c r="R81" s="841"/>
      <c r="S81" s="841"/>
      <c r="T81" s="841"/>
      <c r="U81" s="841"/>
      <c r="V81" s="841"/>
      <c r="W81" s="841"/>
      <c r="X81" s="841"/>
    </row>
    <row r="82" spans="1:24" ht="15" customHeight="1" x14ac:dyDescent="0.25">
      <c r="A82" s="547" t="s">
        <v>132</v>
      </c>
      <c r="B82" s="1345" t="s">
        <v>314</v>
      </c>
      <c r="C82" s="1346"/>
      <c r="D82" s="798">
        <f t="shared" ref="D82:U82" si="85">SUM(D78:D81)</f>
        <v>0</v>
      </c>
      <c r="E82" s="798">
        <f t="shared" si="85"/>
        <v>0</v>
      </c>
      <c r="F82" s="798">
        <f t="shared" si="85"/>
        <v>0</v>
      </c>
      <c r="G82" s="798">
        <f t="shared" si="85"/>
        <v>0</v>
      </c>
      <c r="H82" s="798">
        <f t="shared" si="85"/>
        <v>0</v>
      </c>
      <c r="I82" s="798">
        <f t="shared" si="85"/>
        <v>0</v>
      </c>
      <c r="J82" s="798">
        <f t="shared" si="85"/>
        <v>0</v>
      </c>
      <c r="K82" s="798">
        <f t="shared" si="85"/>
        <v>0</v>
      </c>
      <c r="L82" s="798">
        <f t="shared" si="85"/>
        <v>0</v>
      </c>
      <c r="M82" s="798">
        <f t="shared" si="85"/>
        <v>0</v>
      </c>
      <c r="N82" s="798">
        <f t="shared" si="85"/>
        <v>0</v>
      </c>
      <c r="O82" s="798">
        <f t="shared" si="85"/>
        <v>0</v>
      </c>
      <c r="P82" s="798">
        <f t="shared" ref="P82:R82" si="86">SUM(P78:P81)</f>
        <v>0</v>
      </c>
      <c r="Q82" s="798">
        <f t="shared" si="86"/>
        <v>0</v>
      </c>
      <c r="R82" s="798">
        <f t="shared" si="86"/>
        <v>0</v>
      </c>
      <c r="S82" s="798">
        <f t="shared" si="85"/>
        <v>0</v>
      </c>
      <c r="T82" s="798">
        <f t="shared" si="85"/>
        <v>0</v>
      </c>
      <c r="U82" s="798">
        <f t="shared" si="85"/>
        <v>0</v>
      </c>
      <c r="V82" s="798">
        <f t="shared" ref="V82:X82" si="87">SUM(V78:V81)</f>
        <v>0</v>
      </c>
      <c r="W82" s="798">
        <f t="shared" si="87"/>
        <v>0</v>
      </c>
      <c r="X82" s="798">
        <f t="shared" si="87"/>
        <v>0</v>
      </c>
    </row>
    <row r="83" spans="1:24" s="1086" customFormat="1" x14ac:dyDescent="0.25">
      <c r="A83" s="550"/>
      <c r="B83" s="1072"/>
      <c r="C83" s="1072"/>
      <c r="D83" s="843"/>
      <c r="E83" s="843"/>
      <c r="F83" s="843"/>
      <c r="G83" s="843"/>
      <c r="H83" s="843"/>
      <c r="I83" s="843"/>
      <c r="J83" s="843"/>
      <c r="K83" s="843"/>
      <c r="L83" s="843"/>
      <c r="M83" s="843"/>
      <c r="N83" s="843"/>
      <c r="O83" s="843"/>
      <c r="P83" s="843"/>
      <c r="Q83" s="843"/>
      <c r="R83" s="843"/>
      <c r="S83" s="843"/>
      <c r="T83" s="843"/>
      <c r="U83" s="843"/>
      <c r="V83" s="843"/>
      <c r="W83" s="843"/>
      <c r="X83" s="843"/>
    </row>
    <row r="84" spans="1:24" ht="15" customHeight="1" x14ac:dyDescent="0.25">
      <c r="A84" s="547" t="s">
        <v>134</v>
      </c>
      <c r="B84" s="1345" t="s">
        <v>158</v>
      </c>
      <c r="C84" s="1346"/>
      <c r="D84" s="841"/>
      <c r="E84" s="841"/>
      <c r="F84" s="841"/>
      <c r="G84" s="841"/>
      <c r="H84" s="841"/>
      <c r="I84" s="841"/>
      <c r="J84" s="841"/>
      <c r="K84" s="841"/>
      <c r="L84" s="841"/>
      <c r="M84" s="841"/>
      <c r="N84" s="841"/>
      <c r="O84" s="841"/>
      <c r="P84" s="841"/>
      <c r="Q84" s="841"/>
      <c r="R84" s="841"/>
      <c r="S84" s="841"/>
      <c r="T84" s="841"/>
      <c r="U84" s="841"/>
      <c r="V84" s="841"/>
      <c r="W84" s="841"/>
      <c r="X84" s="841"/>
    </row>
    <row r="85" spans="1:24" s="1086" customFormat="1" ht="15.75" thickBot="1" x14ac:dyDescent="0.3">
      <c r="A85" s="550"/>
      <c r="B85" s="1072"/>
      <c r="C85" s="1072"/>
      <c r="D85" s="843"/>
      <c r="E85" s="843"/>
      <c r="F85" s="843"/>
      <c r="G85" s="843"/>
      <c r="H85" s="843"/>
      <c r="I85" s="843"/>
      <c r="J85" s="843"/>
      <c r="K85" s="843"/>
      <c r="L85" s="843"/>
      <c r="M85" s="843"/>
      <c r="N85" s="843"/>
      <c r="O85" s="843"/>
      <c r="P85" s="843"/>
      <c r="Q85" s="843"/>
      <c r="R85" s="843"/>
      <c r="S85" s="843"/>
      <c r="T85" s="843"/>
      <c r="U85" s="843"/>
      <c r="V85" s="843"/>
      <c r="W85" s="843"/>
      <c r="X85" s="843"/>
    </row>
    <row r="86" spans="1:24" ht="15.75" customHeight="1" thickBot="1" x14ac:dyDescent="0.3">
      <c r="A86" s="1087" t="s">
        <v>135</v>
      </c>
      <c r="B86" s="1333" t="s">
        <v>440</v>
      </c>
      <c r="C86" s="1334"/>
      <c r="D86" s="1088">
        <f>+D84+D82+D76+D65+D60+D26+D24</f>
        <v>91752</v>
      </c>
      <c r="E86" s="1088">
        <f>+E84+E82+E76+E65+E60+E26+E24</f>
        <v>613</v>
      </c>
      <c r="F86" s="1088">
        <f>+F76+F65+F60+F26+F24</f>
        <v>92365</v>
      </c>
      <c r="G86" s="1088">
        <f>+G84+G82+G76+G65+G60+G26+G24</f>
        <v>55332</v>
      </c>
      <c r="H86" s="1088">
        <f t="shared" ref="H86:X86" si="88">+H84+H82+H76+H65+H60+H26+H24</f>
        <v>329</v>
      </c>
      <c r="I86" s="1088">
        <f t="shared" si="88"/>
        <v>55661</v>
      </c>
      <c r="J86" s="1088">
        <f t="shared" si="88"/>
        <v>9334</v>
      </c>
      <c r="K86" s="1088">
        <f t="shared" si="88"/>
        <v>347</v>
      </c>
      <c r="L86" s="1088">
        <f t="shared" si="88"/>
        <v>9681</v>
      </c>
      <c r="M86" s="1088">
        <f t="shared" si="88"/>
        <v>4589</v>
      </c>
      <c r="N86" s="1088">
        <f t="shared" si="88"/>
        <v>1</v>
      </c>
      <c r="O86" s="1088">
        <f t="shared" si="88"/>
        <v>4590</v>
      </c>
      <c r="P86" s="1088">
        <f t="shared" si="88"/>
        <v>908</v>
      </c>
      <c r="Q86" s="1088">
        <f t="shared" si="88"/>
        <v>-67</v>
      </c>
      <c r="R86" s="1088">
        <f t="shared" si="88"/>
        <v>841</v>
      </c>
      <c r="S86" s="1088">
        <f t="shared" si="88"/>
        <v>8491</v>
      </c>
      <c r="T86" s="1088">
        <f t="shared" si="88"/>
        <v>5</v>
      </c>
      <c r="U86" s="1088">
        <f t="shared" si="88"/>
        <v>8496</v>
      </c>
      <c r="V86" s="1088">
        <f t="shared" si="88"/>
        <v>13098</v>
      </c>
      <c r="W86" s="1088">
        <f t="shared" si="88"/>
        <v>0</v>
      </c>
      <c r="X86" s="1088">
        <f t="shared" si="88"/>
        <v>13098</v>
      </c>
    </row>
    <row r="87" spans="1:24" x14ac:dyDescent="0.25">
      <c r="F87" s="570">
        <v>92365</v>
      </c>
    </row>
    <row r="89" spans="1:24" x14ac:dyDescent="0.25">
      <c r="E89" s="1089"/>
    </row>
  </sheetData>
  <mergeCells count="79">
    <mergeCell ref="A2:A4"/>
    <mergeCell ref="D2:F3"/>
    <mergeCell ref="B2:C4"/>
    <mergeCell ref="G2:I2"/>
    <mergeCell ref="J2:L2"/>
    <mergeCell ref="G3:I3"/>
    <mergeCell ref="B55:C55"/>
    <mergeCell ref="B56:C56"/>
    <mergeCell ref="B45:C45"/>
    <mergeCell ref="B6:C6"/>
    <mergeCell ref="B7:C7"/>
    <mergeCell ref="B8:C8"/>
    <mergeCell ref="B34:C34"/>
    <mergeCell ref="B39:C39"/>
    <mergeCell ref="B35:C35"/>
    <mergeCell ref="B36:C36"/>
    <mergeCell ref="B37:C37"/>
    <mergeCell ref="B38:C38"/>
    <mergeCell ref="B22:C22"/>
    <mergeCell ref="B26:C26"/>
    <mergeCell ref="B21:C21"/>
    <mergeCell ref="B23:C23"/>
    <mergeCell ref="B74:C74"/>
    <mergeCell ref="B72:C72"/>
    <mergeCell ref="B81:C81"/>
    <mergeCell ref="B63:C63"/>
    <mergeCell ref="B57:C57"/>
    <mergeCell ref="B65:C65"/>
    <mergeCell ref="B68:C68"/>
    <mergeCell ref="B78:C78"/>
    <mergeCell ref="B71:C71"/>
    <mergeCell ref="B54:C54"/>
    <mergeCell ref="B52:C52"/>
    <mergeCell ref="B51:C51"/>
    <mergeCell ref="B86:C86"/>
    <mergeCell ref="B58:C58"/>
    <mergeCell ref="B59:C59"/>
    <mergeCell ref="B76:C76"/>
    <mergeCell ref="B69:C69"/>
    <mergeCell ref="B60:C60"/>
    <mergeCell ref="B62:C62"/>
    <mergeCell ref="B84:C84"/>
    <mergeCell ref="B79:C79"/>
    <mergeCell ref="B80:C80"/>
    <mergeCell ref="B82:C82"/>
    <mergeCell ref="B73:C73"/>
    <mergeCell ref="B75:C75"/>
    <mergeCell ref="B44:C44"/>
    <mergeCell ref="B48:C48"/>
    <mergeCell ref="B49:C49"/>
    <mergeCell ref="B50:C50"/>
    <mergeCell ref="B53:C53"/>
    <mergeCell ref="B42:C42"/>
    <mergeCell ref="B43:C43"/>
    <mergeCell ref="B5:C5"/>
    <mergeCell ref="B17:C17"/>
    <mergeCell ref="B18:C18"/>
    <mergeCell ref="B19:C19"/>
    <mergeCell ref="B12:C12"/>
    <mergeCell ref="B13:C13"/>
    <mergeCell ref="B10:C10"/>
    <mergeCell ref="B11:C11"/>
    <mergeCell ref="B9:C9"/>
    <mergeCell ref="B40:C40"/>
    <mergeCell ref="B20:C20"/>
    <mergeCell ref="B16:C16"/>
    <mergeCell ref="B14:C14"/>
    <mergeCell ref="B15:C15"/>
    <mergeCell ref="V2:X2"/>
    <mergeCell ref="V3:X3"/>
    <mergeCell ref="S2:U2"/>
    <mergeCell ref="S3:U3"/>
    <mergeCell ref="B41:C41"/>
    <mergeCell ref="M2:O2"/>
    <mergeCell ref="P2:R2"/>
    <mergeCell ref="J3:L3"/>
    <mergeCell ref="M3:O3"/>
    <mergeCell ref="P3:R3"/>
    <mergeCell ref="B24:C24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4" orientation="landscape" cellComments="asDisplayed" r:id="rId1"/>
  <headerFooter>
    <oddHeader>&amp;C&amp;"Times New Roman,Félkövér"&amp;12Martonvásár Város Önkormányzatának kiadásai 2019.
Brunszvik-Beehtoven Kulturális Központ&amp;R&amp;"Times New Roman,Félkövér"&amp;12 6.c melléklet</oddHeader>
  </headerFooter>
  <rowBreaks count="2" manualBreakCount="2">
    <brk id="31" max="16383" man="1"/>
    <brk id="6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57" zoomScaleNormal="100" workbookViewId="0">
      <selection activeCell="D70" sqref="D70:D71"/>
    </sheetView>
  </sheetViews>
  <sheetFormatPr defaultColWidth="9.140625" defaultRowHeight="12.75" x14ac:dyDescent="0.25"/>
  <cols>
    <col min="1" max="1" width="6.85546875" style="142" customWidth="1"/>
    <col min="2" max="2" width="50.140625" style="142" customWidth="1"/>
    <col min="3" max="3" width="13" style="142" customWidth="1"/>
    <col min="4" max="4" width="11" style="144" customWidth="1"/>
    <col min="5" max="5" width="14.7109375" style="144" customWidth="1"/>
    <col min="6" max="16384" width="9.140625" style="142"/>
  </cols>
  <sheetData>
    <row r="1" spans="1:6" ht="14.25" customHeight="1" thickBot="1" x14ac:dyDescent="0.25">
      <c r="B1" s="143"/>
      <c r="D1" s="1362" t="s">
        <v>391</v>
      </c>
      <c r="E1" s="1362"/>
      <c r="F1" s="60"/>
    </row>
    <row r="2" spans="1:6" s="143" customFormat="1" ht="51.75" thickBot="1" x14ac:dyDescent="0.3">
      <c r="A2" s="496" t="s">
        <v>348</v>
      </c>
      <c r="B2" s="497" t="s">
        <v>349</v>
      </c>
      <c r="C2" s="497" t="s">
        <v>952</v>
      </c>
      <c r="D2" s="497" t="s">
        <v>727</v>
      </c>
      <c r="E2" s="497" t="s">
        <v>953</v>
      </c>
    </row>
    <row r="3" spans="1:6" ht="12.75" customHeight="1" x14ac:dyDescent="0.25">
      <c r="A3" s="482">
        <v>1</v>
      </c>
      <c r="B3" s="494"/>
      <c r="C3" s="495"/>
      <c r="D3" s="495"/>
      <c r="E3" s="495"/>
    </row>
    <row r="4" spans="1:6" s="145" customFormat="1" ht="12.75" customHeight="1" x14ac:dyDescent="0.25">
      <c r="A4" s="471">
        <v>2</v>
      </c>
      <c r="B4" s="140" t="s">
        <v>423</v>
      </c>
      <c r="C4" s="141"/>
      <c r="D4" s="141"/>
      <c r="E4" s="141"/>
    </row>
    <row r="5" spans="1:6" s="145" customFormat="1" ht="12.75" customHeight="1" x14ac:dyDescent="0.25">
      <c r="A5" s="471">
        <v>3</v>
      </c>
      <c r="B5" s="140"/>
      <c r="C5" s="141"/>
      <c r="D5" s="141"/>
      <c r="E5" s="141"/>
    </row>
    <row r="6" spans="1:6" s="145" customFormat="1" ht="12.75" customHeight="1" x14ac:dyDescent="0.25">
      <c r="A6" s="471">
        <v>4</v>
      </c>
      <c r="B6" s="100" t="s">
        <v>720</v>
      </c>
      <c r="C6" s="99">
        <v>347058</v>
      </c>
      <c r="D6" s="99">
        <v>350</v>
      </c>
      <c r="E6" s="99">
        <f>C6+D6</f>
        <v>347408</v>
      </c>
    </row>
    <row r="7" spans="1:6" s="145" customFormat="1" ht="12.75" customHeight="1" x14ac:dyDescent="0.25">
      <c r="A7" s="471">
        <v>5</v>
      </c>
      <c r="B7" s="100" t="s">
        <v>721</v>
      </c>
      <c r="C7" s="99">
        <v>110626</v>
      </c>
      <c r="D7" s="99">
        <v>-42</v>
      </c>
      <c r="E7" s="99">
        <f t="shared" ref="E7:E14" si="0">C7+D7</f>
        <v>110584</v>
      </c>
    </row>
    <row r="8" spans="1:6" s="145" customFormat="1" ht="12.75" customHeight="1" x14ac:dyDescent="0.25">
      <c r="A8" s="471">
        <v>6</v>
      </c>
      <c r="B8" s="100" t="s">
        <v>839</v>
      </c>
      <c r="C8" s="99">
        <v>6429</v>
      </c>
      <c r="D8" s="99"/>
      <c r="E8" s="99">
        <f t="shared" si="0"/>
        <v>6429</v>
      </c>
    </row>
    <row r="9" spans="1:6" s="145" customFormat="1" ht="12.75" customHeight="1" x14ac:dyDescent="0.25">
      <c r="A9" s="471">
        <v>7</v>
      </c>
      <c r="B9" s="100" t="s">
        <v>840</v>
      </c>
      <c r="C9" s="99">
        <v>34345</v>
      </c>
      <c r="D9" s="99">
        <v>114</v>
      </c>
      <c r="E9" s="99">
        <f t="shared" si="0"/>
        <v>34459</v>
      </c>
    </row>
    <row r="10" spans="1:6" s="145" customFormat="1" ht="12.75" customHeight="1" x14ac:dyDescent="0.25">
      <c r="A10" s="471">
        <v>8</v>
      </c>
      <c r="B10" s="100" t="s">
        <v>841</v>
      </c>
      <c r="C10" s="99">
        <v>28976</v>
      </c>
      <c r="D10" s="99">
        <v>373</v>
      </c>
      <c r="E10" s="99">
        <f t="shared" si="0"/>
        <v>29349</v>
      </c>
    </row>
    <row r="11" spans="1:6" s="145" customFormat="1" ht="12.75" customHeight="1" x14ac:dyDescent="0.25">
      <c r="A11" s="471">
        <v>9</v>
      </c>
      <c r="B11" s="100" t="s">
        <v>842</v>
      </c>
      <c r="C11" s="99">
        <v>131544</v>
      </c>
      <c r="D11" s="99">
        <v>54957</v>
      </c>
      <c r="E11" s="99">
        <f t="shared" si="0"/>
        <v>186501</v>
      </c>
    </row>
    <row r="12" spans="1:6" ht="12.75" customHeight="1" x14ac:dyDescent="0.25">
      <c r="A12" s="471">
        <v>10</v>
      </c>
      <c r="B12" s="98" t="s">
        <v>807</v>
      </c>
      <c r="C12" s="99">
        <v>57401</v>
      </c>
      <c r="D12" s="103"/>
      <c r="E12" s="99">
        <f t="shared" si="0"/>
        <v>57401</v>
      </c>
    </row>
    <row r="13" spans="1:6" ht="12.75" customHeight="1" x14ac:dyDescent="0.25">
      <c r="A13" s="471">
        <v>11</v>
      </c>
      <c r="B13" s="98" t="s">
        <v>843</v>
      </c>
      <c r="C13" s="99">
        <v>408</v>
      </c>
      <c r="D13" s="103"/>
      <c r="E13" s="99">
        <f t="shared" si="0"/>
        <v>408</v>
      </c>
    </row>
    <row r="14" spans="1:6" ht="12.75" customHeight="1" x14ac:dyDescent="0.25">
      <c r="A14" s="471"/>
      <c r="B14" s="98" t="s">
        <v>867</v>
      </c>
      <c r="C14" s="99">
        <v>91672</v>
      </c>
      <c r="D14" s="103"/>
      <c r="E14" s="99">
        <f t="shared" si="0"/>
        <v>91672</v>
      </c>
    </row>
    <row r="15" spans="1:6" ht="12.75" customHeight="1" x14ac:dyDescent="0.25">
      <c r="A15" s="471"/>
      <c r="B15" s="98"/>
      <c r="C15" s="99"/>
      <c r="D15" s="103"/>
      <c r="E15" s="103"/>
    </row>
    <row r="16" spans="1:6" s="145" customFormat="1" ht="12.75" customHeight="1" x14ac:dyDescent="0.25">
      <c r="A16" s="471">
        <v>12</v>
      </c>
      <c r="B16" s="146" t="s">
        <v>350</v>
      </c>
      <c r="C16" s="600">
        <f>SUM(C6:C14)</f>
        <v>808459</v>
      </c>
      <c r="D16" s="600">
        <f t="shared" ref="D16:E16" si="1">SUM(D6:D14)</f>
        <v>55752</v>
      </c>
      <c r="E16" s="600">
        <f t="shared" si="1"/>
        <v>864211</v>
      </c>
    </row>
    <row r="17" spans="1:5" s="145" customFormat="1" ht="12.75" customHeight="1" x14ac:dyDescent="0.25">
      <c r="A17" s="471">
        <v>13</v>
      </c>
      <c r="B17" s="487"/>
      <c r="C17" s="141"/>
      <c r="D17" s="141"/>
      <c r="E17" s="141"/>
    </row>
    <row r="18" spans="1:5" ht="12.75" customHeight="1" x14ac:dyDescent="0.25">
      <c r="A18" s="471">
        <v>13</v>
      </c>
      <c r="B18" s="105" t="s">
        <v>422</v>
      </c>
      <c r="C18" s="141">
        <f>+C16+C4</f>
        <v>808459</v>
      </c>
      <c r="D18" s="141">
        <f t="shared" ref="D18:E18" si="2">+D16+D4</f>
        <v>55752</v>
      </c>
      <c r="E18" s="141">
        <f t="shared" si="2"/>
        <v>864211</v>
      </c>
    </row>
    <row r="19" spans="1:5" ht="12.75" customHeight="1" x14ac:dyDescent="0.25">
      <c r="A19" s="471">
        <v>14</v>
      </c>
      <c r="B19" s="105"/>
      <c r="C19" s="99"/>
      <c r="D19" s="104"/>
      <c r="E19" s="104"/>
    </row>
    <row r="20" spans="1:5" ht="12.75" customHeight="1" x14ac:dyDescent="0.25">
      <c r="A20" s="471">
        <v>15</v>
      </c>
      <c r="B20" s="140" t="s">
        <v>354</v>
      </c>
      <c r="C20" s="99"/>
      <c r="D20" s="104"/>
      <c r="E20" s="104"/>
    </row>
    <row r="21" spans="1:5" ht="12.75" customHeight="1" x14ac:dyDescent="0.25">
      <c r="A21" s="471"/>
      <c r="B21" s="100" t="s">
        <v>844</v>
      </c>
      <c r="C21" s="99">
        <v>1944</v>
      </c>
      <c r="D21" s="104"/>
      <c r="E21" s="783">
        <f>C21+D21</f>
        <v>1944</v>
      </c>
    </row>
    <row r="22" spans="1:5" ht="12.75" customHeight="1" x14ac:dyDescent="0.25">
      <c r="A22" s="471"/>
      <c r="B22" s="100" t="s">
        <v>868</v>
      </c>
      <c r="C22" s="99">
        <v>162</v>
      </c>
      <c r="D22" s="783"/>
      <c r="E22" s="783">
        <f>C22+D22</f>
        <v>162</v>
      </c>
    </row>
    <row r="23" spans="1:5" ht="12.75" customHeight="1" x14ac:dyDescent="0.25">
      <c r="A23" s="471">
        <v>16</v>
      </c>
      <c r="B23" s="147"/>
      <c r="C23" s="102"/>
      <c r="D23" s="103"/>
      <c r="E23" s="103"/>
    </row>
    <row r="24" spans="1:5" ht="12.75" customHeight="1" thickBot="1" x14ac:dyDescent="0.3">
      <c r="A24" s="481">
        <v>17</v>
      </c>
      <c r="B24" s="491" t="s">
        <v>355</v>
      </c>
      <c r="C24" s="800">
        <f>SUM(C21:C23)</f>
        <v>2106</v>
      </c>
      <c r="D24" s="800">
        <f t="shared" ref="D24:E24" si="3">SUM(D21:D23)</f>
        <v>0</v>
      </c>
      <c r="E24" s="800">
        <f t="shared" si="3"/>
        <v>2106</v>
      </c>
    </row>
    <row r="25" spans="1:5" ht="12.75" customHeight="1" thickBot="1" x14ac:dyDescent="0.3">
      <c r="A25" s="483">
        <v>18</v>
      </c>
      <c r="B25" s="801"/>
      <c r="C25" s="802"/>
      <c r="D25" s="803"/>
      <c r="E25" s="804"/>
    </row>
    <row r="26" spans="1:5" ht="25.5" customHeight="1" x14ac:dyDescent="0.25">
      <c r="A26" s="498">
        <v>19</v>
      </c>
      <c r="B26" s="499" t="s">
        <v>659</v>
      </c>
      <c r="C26" s="500"/>
      <c r="D26" s="501"/>
      <c r="E26" s="501"/>
    </row>
    <row r="27" spans="1:5" ht="12" customHeight="1" x14ac:dyDescent="0.25">
      <c r="A27" s="471">
        <v>20</v>
      </c>
      <c r="B27" s="140"/>
      <c r="C27" s="99"/>
      <c r="D27" s="104"/>
      <c r="E27" s="104"/>
    </row>
    <row r="28" spans="1:5" ht="12" customHeight="1" x14ac:dyDescent="0.25">
      <c r="A28" s="471">
        <v>21</v>
      </c>
      <c r="B28" s="140" t="s">
        <v>660</v>
      </c>
      <c r="C28" s="600">
        <f>SUM(C29:C31)</f>
        <v>0</v>
      </c>
      <c r="D28" s="104"/>
      <c r="E28" s="104"/>
    </row>
    <row r="29" spans="1:5" ht="12" customHeight="1" x14ac:dyDescent="0.25">
      <c r="A29" s="471">
        <v>22</v>
      </c>
      <c r="B29" s="101" t="s">
        <v>661</v>
      </c>
      <c r="C29" s="99"/>
      <c r="D29" s="104"/>
      <c r="E29" s="104"/>
    </row>
    <row r="30" spans="1:5" ht="12" hidden="1" customHeight="1" x14ac:dyDescent="0.25">
      <c r="A30" s="471">
        <v>23</v>
      </c>
      <c r="B30" s="101" t="s">
        <v>662</v>
      </c>
      <c r="C30" s="99"/>
      <c r="D30" s="104"/>
      <c r="E30" s="104"/>
    </row>
    <row r="31" spans="1:5" ht="12" hidden="1" customHeight="1" x14ac:dyDescent="0.25">
      <c r="A31" s="471">
        <v>24</v>
      </c>
      <c r="B31" s="101" t="s">
        <v>663</v>
      </c>
      <c r="C31" s="99"/>
      <c r="D31" s="104"/>
      <c r="E31" s="104"/>
    </row>
    <row r="32" spans="1:5" ht="12" customHeight="1" x14ac:dyDescent="0.25">
      <c r="A32" s="471">
        <v>25</v>
      </c>
      <c r="B32" s="105"/>
      <c r="C32" s="99"/>
      <c r="D32" s="104"/>
      <c r="E32" s="104"/>
    </row>
    <row r="33" spans="1:5" ht="12" customHeight="1" x14ac:dyDescent="0.25">
      <c r="A33" s="471">
        <v>26</v>
      </c>
      <c r="B33" s="140" t="s">
        <v>664</v>
      </c>
      <c r="C33" s="600">
        <f>SUM(C34:C36)</f>
        <v>164590</v>
      </c>
      <c r="D33" s="600">
        <f t="shared" ref="D33:E33" si="4">SUM(D34:D36)</f>
        <v>-3090</v>
      </c>
      <c r="E33" s="600">
        <f t="shared" si="4"/>
        <v>161500</v>
      </c>
    </row>
    <row r="34" spans="1:5" ht="12.75" customHeight="1" x14ac:dyDescent="0.25">
      <c r="A34" s="471">
        <v>27</v>
      </c>
      <c r="B34" s="101" t="s">
        <v>661</v>
      </c>
      <c r="C34" s="99">
        <v>164590</v>
      </c>
      <c r="D34" s="783">
        <v>-3090</v>
      </c>
      <c r="E34" s="783">
        <f>C34+D34</f>
        <v>161500</v>
      </c>
    </row>
    <row r="35" spans="1:5" ht="12.75" hidden="1" customHeight="1" x14ac:dyDescent="0.25">
      <c r="A35" s="471">
        <v>28</v>
      </c>
      <c r="B35" s="101" t="s">
        <v>662</v>
      </c>
      <c r="C35" s="99"/>
      <c r="D35" s="104"/>
      <c r="E35" s="104"/>
    </row>
    <row r="36" spans="1:5" ht="12.75" hidden="1" customHeight="1" x14ac:dyDescent="0.25">
      <c r="A36" s="471">
        <v>29</v>
      </c>
      <c r="B36" s="101" t="s">
        <v>663</v>
      </c>
      <c r="C36" s="102"/>
      <c r="D36" s="103"/>
      <c r="E36" s="103"/>
    </row>
    <row r="37" spans="1:5" ht="12.75" customHeight="1" x14ac:dyDescent="0.25">
      <c r="A37" s="471">
        <v>30</v>
      </c>
      <c r="B37" s="100"/>
      <c r="C37" s="102"/>
      <c r="D37" s="103"/>
      <c r="E37" s="103"/>
    </row>
    <row r="38" spans="1:5" ht="12.75" customHeight="1" x14ac:dyDescent="0.25">
      <c r="A38" s="471">
        <v>31</v>
      </c>
      <c r="B38" s="140" t="s">
        <v>675</v>
      </c>
      <c r="C38" s="601">
        <f>SUM(C39:C42)</f>
        <v>102427</v>
      </c>
      <c r="D38" s="601">
        <f t="shared" ref="D38:E38" si="5">SUM(D39:D42)</f>
        <v>0</v>
      </c>
      <c r="E38" s="601">
        <f t="shared" si="5"/>
        <v>102427</v>
      </c>
    </row>
    <row r="39" spans="1:5" ht="12.75" hidden="1" customHeight="1" x14ac:dyDescent="0.25">
      <c r="A39" s="471">
        <v>32</v>
      </c>
      <c r="B39" s="101" t="s">
        <v>665</v>
      </c>
      <c r="C39" s="102"/>
      <c r="D39" s="103"/>
      <c r="E39" s="103"/>
    </row>
    <row r="40" spans="1:5" ht="12.75" customHeight="1" x14ac:dyDescent="0.25">
      <c r="A40" s="471">
        <v>33</v>
      </c>
      <c r="B40" s="101" t="s">
        <v>661</v>
      </c>
      <c r="C40" s="102">
        <v>102427</v>
      </c>
      <c r="D40" s="103"/>
      <c r="E40" s="783">
        <f>C40+D40</f>
        <v>102427</v>
      </c>
    </row>
    <row r="41" spans="1:5" ht="12.75" hidden="1" customHeight="1" x14ac:dyDescent="0.25">
      <c r="A41" s="471">
        <v>34</v>
      </c>
      <c r="B41" s="101" t="s">
        <v>662</v>
      </c>
      <c r="C41" s="102"/>
      <c r="D41" s="103"/>
      <c r="E41" s="103"/>
    </row>
    <row r="42" spans="1:5" ht="12.75" hidden="1" customHeight="1" x14ac:dyDescent="0.25">
      <c r="A42" s="471">
        <v>35</v>
      </c>
      <c r="B42" s="101" t="s">
        <v>663</v>
      </c>
      <c r="C42" s="102"/>
      <c r="D42" s="103"/>
      <c r="E42" s="103"/>
    </row>
    <row r="43" spans="1:5" ht="12.75" customHeight="1" x14ac:dyDescent="0.25">
      <c r="A43" s="471">
        <v>36</v>
      </c>
      <c r="B43" s="105"/>
      <c r="C43" s="102"/>
      <c r="D43" s="103"/>
      <c r="E43" s="103"/>
    </row>
    <row r="44" spans="1:5" ht="12.75" customHeight="1" x14ac:dyDescent="0.25">
      <c r="A44" s="471">
        <v>37</v>
      </c>
      <c r="B44" s="140" t="s">
        <v>676</v>
      </c>
      <c r="C44" s="601">
        <f>SUM(C45:C47)</f>
        <v>4135</v>
      </c>
      <c r="D44" s="601">
        <f t="shared" ref="D44:E44" si="6">SUM(D45:D47)</f>
        <v>0</v>
      </c>
      <c r="E44" s="601">
        <f t="shared" si="6"/>
        <v>4135</v>
      </c>
    </row>
    <row r="45" spans="1:5" ht="12.75" customHeight="1" x14ac:dyDescent="0.25">
      <c r="A45" s="471">
        <v>38</v>
      </c>
      <c r="B45" s="101" t="s">
        <v>661</v>
      </c>
      <c r="C45" s="102">
        <v>4135</v>
      </c>
      <c r="D45" s="103"/>
      <c r="E45" s="783">
        <f>C45+D45</f>
        <v>4135</v>
      </c>
    </row>
    <row r="46" spans="1:5" ht="12.75" hidden="1" customHeight="1" x14ac:dyDescent="0.25">
      <c r="A46" s="471">
        <v>39</v>
      </c>
      <c r="B46" s="101" t="s">
        <v>662</v>
      </c>
      <c r="C46" s="102"/>
      <c r="D46" s="103"/>
      <c r="E46" s="103"/>
    </row>
    <row r="47" spans="1:5" ht="12.75" hidden="1" customHeight="1" x14ac:dyDescent="0.25">
      <c r="A47" s="471">
        <v>40</v>
      </c>
      <c r="B47" s="101" t="s">
        <v>663</v>
      </c>
      <c r="C47" s="102"/>
      <c r="D47" s="103"/>
      <c r="E47" s="103"/>
    </row>
    <row r="48" spans="1:5" ht="12.75" customHeight="1" x14ac:dyDescent="0.25">
      <c r="A48" s="471">
        <v>41</v>
      </c>
      <c r="B48" s="484"/>
      <c r="C48" s="102"/>
      <c r="D48" s="103"/>
      <c r="E48" s="103"/>
    </row>
    <row r="49" spans="1:5" ht="25.5" customHeight="1" thickBot="1" x14ac:dyDescent="0.3">
      <c r="A49" s="481">
        <v>42</v>
      </c>
      <c r="B49" s="491" t="s">
        <v>671</v>
      </c>
      <c r="C49" s="785">
        <f>+C44+C38+C33+C28</f>
        <v>271152</v>
      </c>
      <c r="D49" s="785">
        <f t="shared" ref="D49:E49" si="7">+D44+D38+D33+D28</f>
        <v>-3090</v>
      </c>
      <c r="E49" s="785">
        <f t="shared" si="7"/>
        <v>268062</v>
      </c>
    </row>
    <row r="50" spans="1:5" ht="12.75" customHeight="1" thickBot="1" x14ac:dyDescent="0.3">
      <c r="A50" s="483">
        <v>43</v>
      </c>
      <c r="B50" s="805"/>
      <c r="C50" s="806"/>
      <c r="D50" s="807"/>
      <c r="E50" s="808"/>
    </row>
    <row r="51" spans="1:5" ht="32.25" customHeight="1" x14ac:dyDescent="0.25">
      <c r="A51" s="809">
        <v>44</v>
      </c>
      <c r="B51" s="499" t="s">
        <v>948</v>
      </c>
      <c r="C51" s="495"/>
      <c r="D51" s="602"/>
      <c r="E51" s="602"/>
    </row>
    <row r="52" spans="1:5" ht="12.75" customHeight="1" x14ac:dyDescent="0.25">
      <c r="A52" s="810">
        <v>45</v>
      </c>
      <c r="B52" s="100" t="s">
        <v>661</v>
      </c>
      <c r="C52" s="102">
        <v>371975</v>
      </c>
      <c r="D52" s="103">
        <v>-120915</v>
      </c>
      <c r="E52" s="103">
        <f>C52+D52</f>
        <v>251060</v>
      </c>
    </row>
    <row r="53" spans="1:5" ht="12.75" hidden="1" customHeight="1" x14ac:dyDescent="0.25">
      <c r="A53" s="810">
        <v>46</v>
      </c>
      <c r="B53" s="100" t="s">
        <v>663</v>
      </c>
      <c r="C53" s="102"/>
      <c r="D53" s="103"/>
      <c r="E53" s="103"/>
    </row>
    <row r="54" spans="1:5" ht="12.75" customHeight="1" x14ac:dyDescent="0.25">
      <c r="A54" s="810">
        <v>47</v>
      </c>
      <c r="B54" s="100"/>
      <c r="C54" s="102"/>
      <c r="D54" s="103"/>
      <c r="E54" s="103"/>
    </row>
    <row r="55" spans="1:5" s="145" customFormat="1" ht="27.75" customHeight="1" x14ac:dyDescent="0.25">
      <c r="A55" s="811">
        <v>48</v>
      </c>
      <c r="B55" s="491" t="s">
        <v>949</v>
      </c>
      <c r="C55" s="812">
        <f>+C53+C52</f>
        <v>371975</v>
      </c>
      <c r="D55" s="812">
        <f t="shared" ref="D55:E55" si="8">+D53+D52</f>
        <v>-120915</v>
      </c>
      <c r="E55" s="812">
        <f t="shared" si="8"/>
        <v>251060</v>
      </c>
    </row>
    <row r="56" spans="1:5" ht="12.75" customHeight="1" thickBot="1" x14ac:dyDescent="0.3">
      <c r="A56" s="813">
        <v>49</v>
      </c>
      <c r="B56" s="814"/>
      <c r="C56" s="815"/>
      <c r="D56" s="816"/>
      <c r="E56" s="816"/>
    </row>
    <row r="57" spans="1:5" ht="12.75" customHeight="1" thickBot="1" x14ac:dyDescent="0.3">
      <c r="A57" s="483">
        <v>50</v>
      </c>
      <c r="B57" s="805"/>
      <c r="C57" s="806"/>
      <c r="D57" s="807"/>
      <c r="E57" s="808"/>
    </row>
    <row r="58" spans="1:5" ht="12.75" customHeight="1" x14ac:dyDescent="0.25">
      <c r="A58" s="482">
        <v>51</v>
      </c>
      <c r="B58" s="817" t="s">
        <v>351</v>
      </c>
      <c r="C58" s="818">
        <f>SUM(C59:C77)</f>
        <v>33450</v>
      </c>
      <c r="D58" s="818">
        <f>SUM(D59:D77)</f>
        <v>17746</v>
      </c>
      <c r="E58" s="818">
        <f>SUM(E59:E77)</f>
        <v>51196</v>
      </c>
    </row>
    <row r="59" spans="1:5" ht="12.75" customHeight="1" x14ac:dyDescent="0.25">
      <c r="A59" s="471">
        <v>52</v>
      </c>
      <c r="B59" s="101" t="s">
        <v>845</v>
      </c>
      <c r="C59" s="102">
        <v>12000</v>
      </c>
      <c r="D59" s="102"/>
      <c r="E59" s="102">
        <f>C59+D59</f>
        <v>12000</v>
      </c>
    </row>
    <row r="60" spans="1:5" ht="12.75" customHeight="1" x14ac:dyDescent="0.25">
      <c r="A60" s="471">
        <v>53</v>
      </c>
      <c r="B60" s="101" t="s">
        <v>869</v>
      </c>
      <c r="C60" s="102">
        <v>11250</v>
      </c>
      <c r="D60" s="102"/>
      <c r="E60" s="102">
        <f>C60+D60</f>
        <v>11250</v>
      </c>
    </row>
    <row r="61" spans="1:5" ht="12.75" customHeight="1" x14ac:dyDescent="0.25">
      <c r="A61" s="471">
        <v>54</v>
      </c>
      <c r="B61" s="101" t="s">
        <v>870</v>
      </c>
      <c r="C61" s="142">
        <v>1388</v>
      </c>
      <c r="D61" s="102"/>
      <c r="E61" s="102">
        <f t="shared" ref="E61:E77" si="9">C61+D61</f>
        <v>1388</v>
      </c>
    </row>
    <row r="62" spans="1:5" ht="12.75" customHeight="1" x14ac:dyDescent="0.25">
      <c r="A62" s="471">
        <v>55</v>
      </c>
      <c r="B62" s="101" t="s">
        <v>871</v>
      </c>
      <c r="C62" s="102">
        <v>1229</v>
      </c>
      <c r="D62" s="102"/>
      <c r="E62" s="102">
        <f t="shared" si="9"/>
        <v>1229</v>
      </c>
    </row>
    <row r="63" spans="1:5" ht="12.75" customHeight="1" x14ac:dyDescent="0.25">
      <c r="A63" s="471"/>
      <c r="B63" s="101" t="s">
        <v>872</v>
      </c>
      <c r="C63" s="102">
        <v>1365</v>
      </c>
      <c r="D63" s="102">
        <f>302+6795</f>
        <v>7097</v>
      </c>
      <c r="E63" s="102">
        <f t="shared" si="9"/>
        <v>8462</v>
      </c>
    </row>
    <row r="64" spans="1:5" ht="12.75" customHeight="1" x14ac:dyDescent="0.25">
      <c r="A64" s="471"/>
      <c r="B64" s="101" t="s">
        <v>909</v>
      </c>
      <c r="C64" s="102">
        <v>1905</v>
      </c>
      <c r="D64" s="102"/>
      <c r="E64" s="102">
        <f t="shared" si="9"/>
        <v>1905</v>
      </c>
    </row>
    <row r="65" spans="1:5" ht="12.75" customHeight="1" x14ac:dyDescent="0.25">
      <c r="A65" s="471"/>
      <c r="B65" s="101" t="s">
        <v>910</v>
      </c>
      <c r="C65" s="102">
        <v>125</v>
      </c>
      <c r="D65" s="102">
        <v>110</v>
      </c>
      <c r="E65" s="102">
        <f t="shared" si="9"/>
        <v>235</v>
      </c>
    </row>
    <row r="66" spans="1:5" ht="12.75" customHeight="1" x14ac:dyDescent="0.25">
      <c r="A66" s="471"/>
      <c r="B66" s="101" t="s">
        <v>911</v>
      </c>
      <c r="C66" s="102">
        <v>1725</v>
      </c>
      <c r="D66" s="102"/>
      <c r="E66" s="102">
        <f t="shared" ref="E66" si="10">C66+D66</f>
        <v>1725</v>
      </c>
    </row>
    <row r="67" spans="1:5" ht="12.75" customHeight="1" x14ac:dyDescent="0.25">
      <c r="A67" s="471"/>
      <c r="B67" s="101" t="s">
        <v>904</v>
      </c>
      <c r="C67" s="102">
        <v>2130</v>
      </c>
      <c r="D67" s="102">
        <v>376</v>
      </c>
      <c r="E67" s="102">
        <f t="shared" si="9"/>
        <v>2506</v>
      </c>
    </row>
    <row r="68" spans="1:5" ht="12.75" customHeight="1" x14ac:dyDescent="0.25">
      <c r="A68" s="471"/>
      <c r="B68" s="101" t="s">
        <v>947</v>
      </c>
      <c r="C68" s="102">
        <v>168</v>
      </c>
      <c r="D68" s="102"/>
      <c r="E68" s="102">
        <f t="shared" si="9"/>
        <v>168</v>
      </c>
    </row>
    <row r="69" spans="1:5" ht="12.75" customHeight="1" x14ac:dyDescent="0.25">
      <c r="A69" s="471"/>
      <c r="B69" s="101" t="s">
        <v>946</v>
      </c>
      <c r="C69" s="102">
        <v>165</v>
      </c>
      <c r="D69" s="102"/>
      <c r="E69" s="102">
        <f t="shared" ref="E69:E76" si="11">C69+D69</f>
        <v>165</v>
      </c>
    </row>
    <row r="70" spans="1:5" ht="12.75" customHeight="1" x14ac:dyDescent="0.25">
      <c r="A70" s="471"/>
      <c r="B70" s="101" t="s">
        <v>1089</v>
      </c>
      <c r="C70" s="102"/>
      <c r="D70" s="102">
        <v>762</v>
      </c>
      <c r="E70" s="102">
        <f t="shared" si="11"/>
        <v>762</v>
      </c>
    </row>
    <row r="71" spans="1:5" ht="12.75" customHeight="1" x14ac:dyDescent="0.25">
      <c r="A71" s="471"/>
      <c r="B71" s="101" t="s">
        <v>1088</v>
      </c>
      <c r="C71" s="102"/>
      <c r="D71" s="102">
        <v>301</v>
      </c>
      <c r="E71" s="102">
        <f t="shared" si="11"/>
        <v>301</v>
      </c>
    </row>
    <row r="72" spans="1:5" ht="12.75" customHeight="1" x14ac:dyDescent="0.25">
      <c r="A72" s="471"/>
      <c r="B72" s="101" t="s">
        <v>1094</v>
      </c>
      <c r="C72" s="102"/>
      <c r="D72" s="102">
        <v>593</v>
      </c>
      <c r="E72" s="102">
        <f t="shared" si="11"/>
        <v>593</v>
      </c>
    </row>
    <row r="73" spans="1:5" ht="12.75" customHeight="1" x14ac:dyDescent="0.25">
      <c r="A73" s="471"/>
      <c r="B73" s="101" t="s">
        <v>1090</v>
      </c>
      <c r="C73" s="102"/>
      <c r="D73" s="102">
        <v>2794</v>
      </c>
      <c r="E73" s="102">
        <f t="shared" ref="E73" si="12">C73+D73</f>
        <v>2794</v>
      </c>
    </row>
    <row r="74" spans="1:5" ht="12.75" customHeight="1" x14ac:dyDescent="0.25">
      <c r="A74" s="471"/>
      <c r="B74" s="101" t="s">
        <v>1093</v>
      </c>
      <c r="C74" s="102"/>
      <c r="D74" s="102">
        <v>5286</v>
      </c>
      <c r="E74" s="102">
        <f t="shared" si="11"/>
        <v>5286</v>
      </c>
    </row>
    <row r="75" spans="1:5" ht="12.75" customHeight="1" x14ac:dyDescent="0.25">
      <c r="A75" s="471"/>
      <c r="B75" s="101" t="s">
        <v>1091</v>
      </c>
      <c r="C75" s="102"/>
      <c r="D75" s="102">
        <v>96</v>
      </c>
      <c r="E75" s="102">
        <f t="shared" si="11"/>
        <v>96</v>
      </c>
    </row>
    <row r="76" spans="1:5" ht="12.75" customHeight="1" x14ac:dyDescent="0.25">
      <c r="A76" s="471"/>
      <c r="B76" s="101" t="s">
        <v>1092</v>
      </c>
      <c r="C76" s="102"/>
      <c r="D76" s="102">
        <v>200</v>
      </c>
      <c r="E76" s="102">
        <f t="shared" si="11"/>
        <v>200</v>
      </c>
    </row>
    <row r="77" spans="1:5" ht="12.75" customHeight="1" x14ac:dyDescent="0.25">
      <c r="A77" s="471"/>
      <c r="B77" s="101" t="s">
        <v>1095</v>
      </c>
      <c r="C77" s="102"/>
      <c r="D77" s="102">
        <v>131</v>
      </c>
      <c r="E77" s="102">
        <f t="shared" si="9"/>
        <v>131</v>
      </c>
    </row>
    <row r="78" spans="1:5" ht="12.75" customHeight="1" x14ac:dyDescent="0.25">
      <c r="A78" s="471">
        <v>56</v>
      </c>
      <c r="B78" s="146" t="s">
        <v>352</v>
      </c>
      <c r="C78" s="104">
        <f>C79</f>
        <v>1000</v>
      </c>
      <c r="D78" s="104">
        <f>D79</f>
        <v>0</v>
      </c>
      <c r="E78" s="104">
        <f>E79</f>
        <v>1000</v>
      </c>
    </row>
    <row r="79" spans="1:5" ht="12.75" customHeight="1" x14ac:dyDescent="0.25">
      <c r="A79" s="471">
        <v>57</v>
      </c>
      <c r="B79" s="101" t="s">
        <v>873</v>
      </c>
      <c r="C79" s="102">
        <v>1000</v>
      </c>
      <c r="D79" s="103"/>
      <c r="E79" s="103">
        <f>C79+D79</f>
        <v>1000</v>
      </c>
    </row>
    <row r="80" spans="1:5" s="145" customFormat="1" ht="12.75" customHeight="1" thickBot="1" x14ac:dyDescent="0.3">
      <c r="A80" s="502">
        <v>58</v>
      </c>
      <c r="B80" s="503" t="s">
        <v>353</v>
      </c>
      <c r="C80" s="504">
        <f>+C78+C58</f>
        <v>34450</v>
      </c>
      <c r="D80" s="504">
        <f>+D78+D58</f>
        <v>17746</v>
      </c>
      <c r="E80" s="504">
        <f>+E78+E58</f>
        <v>52196</v>
      </c>
    </row>
    <row r="81" spans="1:5" s="145" customFormat="1" ht="12.75" customHeight="1" thickBot="1" x14ac:dyDescent="0.3">
      <c r="A81" s="506">
        <v>59</v>
      </c>
      <c r="B81" s="485"/>
      <c r="C81" s="486"/>
      <c r="D81" s="486"/>
      <c r="E81" s="486"/>
    </row>
    <row r="82" spans="1:5" ht="12.75" customHeight="1" x14ac:dyDescent="0.25">
      <c r="A82" s="498">
        <v>60</v>
      </c>
      <c r="B82" s="508" t="s">
        <v>569</v>
      </c>
      <c r="C82" s="500"/>
      <c r="D82" s="501"/>
      <c r="E82" s="501"/>
    </row>
    <row r="83" spans="1:5" ht="12.75" customHeight="1" x14ac:dyDescent="0.25">
      <c r="A83" s="471">
        <v>61</v>
      </c>
      <c r="B83" s="604" t="s">
        <v>718</v>
      </c>
      <c r="C83" s="102">
        <v>1300</v>
      </c>
      <c r="D83" s="103">
        <v>844</v>
      </c>
      <c r="E83" s="103">
        <f>C83+D83</f>
        <v>2144</v>
      </c>
    </row>
    <row r="84" spans="1:5" ht="12.75" customHeight="1" x14ac:dyDescent="0.25">
      <c r="A84" s="471">
        <v>62</v>
      </c>
      <c r="B84" s="604" t="s">
        <v>719</v>
      </c>
      <c r="C84" s="102">
        <v>188</v>
      </c>
      <c r="D84" s="103">
        <v>610</v>
      </c>
      <c r="E84" s="103">
        <f t="shared" ref="E84:E85" si="13">C84+D84</f>
        <v>798</v>
      </c>
    </row>
    <row r="85" spans="1:5" ht="12.75" customHeight="1" x14ac:dyDescent="0.25">
      <c r="A85" s="471">
        <v>63</v>
      </c>
      <c r="B85" s="604" t="s">
        <v>726</v>
      </c>
      <c r="C85" s="102">
        <v>4379</v>
      </c>
      <c r="D85" s="103">
        <v>-122</v>
      </c>
      <c r="E85" s="103">
        <f t="shared" si="13"/>
        <v>4257</v>
      </c>
    </row>
    <row r="86" spans="1:5" ht="12.75" customHeight="1" x14ac:dyDescent="0.25">
      <c r="A86" s="471">
        <v>64</v>
      </c>
      <c r="B86" s="605"/>
      <c r="C86" s="102"/>
      <c r="D86" s="103"/>
      <c r="E86" s="103"/>
    </row>
    <row r="87" spans="1:5" s="145" customFormat="1" ht="12.75" customHeight="1" thickBot="1" x14ac:dyDescent="0.3">
      <c r="A87" s="502">
        <v>65</v>
      </c>
      <c r="B87" s="503" t="s">
        <v>356</v>
      </c>
      <c r="C87" s="504">
        <f>SUM(C83:C86)</f>
        <v>5867</v>
      </c>
      <c r="D87" s="504">
        <f>SUM(D83:D86)</f>
        <v>1332</v>
      </c>
      <c r="E87" s="504">
        <f>SUM(E83:E86)</f>
        <v>7199</v>
      </c>
    </row>
    <row r="88" spans="1:5" s="145" customFormat="1" ht="13.5" customHeight="1" thickBot="1" x14ac:dyDescent="0.3">
      <c r="A88" s="483">
        <v>66</v>
      </c>
      <c r="B88" s="492" t="s">
        <v>357</v>
      </c>
      <c r="C88" s="493">
        <f>+C87++C55+C80+C49+C18+C24</f>
        <v>1494009</v>
      </c>
      <c r="D88" s="493">
        <f>+D87++D55+D80+D49+D18+D24</f>
        <v>-49175</v>
      </c>
      <c r="E88" s="493">
        <f>+E87++E55+E80+E49+E18+E24</f>
        <v>1444834</v>
      </c>
    </row>
    <row r="89" spans="1:5" ht="13.5" customHeight="1" x14ac:dyDescent="0.25">
      <c r="B89" s="106"/>
      <c r="C89" s="148"/>
      <c r="D89" s="149"/>
      <c r="E89" s="149"/>
    </row>
  </sheetData>
  <mergeCells count="1">
    <mergeCell ref="D1:E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&amp;C&amp;"Times New Roman,Félkövér"&amp;12Martonvásár Város Önkormányzat beruházási (felhalmozási) célú 
kiadásai előirányzata feladatonként    &amp;R&amp;"Times New Roman,Félkövér"&amp;10 7.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opLeftCell="A22" zoomScaleNormal="100" workbookViewId="0">
      <selection activeCell="D7" sqref="D7"/>
    </sheetView>
  </sheetViews>
  <sheetFormatPr defaultColWidth="53.140625" defaultRowHeight="15" x14ac:dyDescent="0.25"/>
  <cols>
    <col min="1" max="1" width="5.5703125" style="87" customWidth="1"/>
    <col min="2" max="2" width="53.140625" style="88" customWidth="1"/>
    <col min="3" max="3" width="13.7109375" style="87" customWidth="1"/>
    <col min="4" max="4" width="13.42578125" style="87" customWidth="1"/>
    <col min="5" max="5" width="13.28515625" style="87" customWidth="1"/>
    <col min="6" max="16384" width="53.140625" style="87"/>
  </cols>
  <sheetData>
    <row r="1" spans="1:5" ht="12.75" customHeight="1" x14ac:dyDescent="0.25"/>
    <row r="2" spans="1:5" ht="12.75" customHeight="1" thickBot="1" x14ac:dyDescent="0.25">
      <c r="D2" s="1363" t="s">
        <v>391</v>
      </c>
      <c r="E2" s="1363"/>
    </row>
    <row r="3" spans="1:5" s="89" customFormat="1" ht="39.75" customHeight="1" thickBot="1" x14ac:dyDescent="0.3">
      <c r="A3" s="511" t="s">
        <v>680</v>
      </c>
      <c r="B3" s="512" t="s">
        <v>666</v>
      </c>
      <c r="C3" s="890" t="s">
        <v>912</v>
      </c>
      <c r="D3" s="890" t="s">
        <v>727</v>
      </c>
      <c r="E3" s="890" t="s">
        <v>950</v>
      </c>
    </row>
    <row r="4" spans="1:5" s="90" customFormat="1" ht="12.75" customHeight="1" x14ac:dyDescent="0.25">
      <c r="A4" s="498" t="s">
        <v>308</v>
      </c>
      <c r="B4" s="513"/>
      <c r="C4" s="507"/>
      <c r="D4" s="507"/>
      <c r="E4" s="824"/>
    </row>
    <row r="5" spans="1:5" s="90" customFormat="1" ht="12.75" customHeight="1" x14ac:dyDescent="0.25">
      <c r="A5" s="471" t="s">
        <v>401</v>
      </c>
      <c r="B5" s="509" t="s">
        <v>667</v>
      </c>
      <c r="C5" s="141"/>
      <c r="D5" s="141"/>
      <c r="E5" s="819"/>
    </row>
    <row r="6" spans="1:5" s="90" customFormat="1" ht="12.75" customHeight="1" x14ac:dyDescent="0.25">
      <c r="A6" s="471" t="s">
        <v>457</v>
      </c>
      <c r="B6" s="100" t="s">
        <v>840</v>
      </c>
      <c r="C6" s="99">
        <v>16772</v>
      </c>
      <c r="D6" s="99">
        <v>-125</v>
      </c>
      <c r="E6" s="834">
        <f>C6+D6</f>
        <v>16647</v>
      </c>
    </row>
    <row r="7" spans="1:5" s="90" customFormat="1" ht="12.75" customHeight="1" x14ac:dyDescent="0.25">
      <c r="A7" s="471" t="s">
        <v>458</v>
      </c>
      <c r="B7" s="100" t="s">
        <v>841</v>
      </c>
      <c r="C7" s="99">
        <v>18291</v>
      </c>
      <c r="D7" s="99"/>
      <c r="E7" s="834">
        <f>C7+D7</f>
        <v>18291</v>
      </c>
    </row>
    <row r="8" spans="1:5" ht="13.5" customHeight="1" x14ac:dyDescent="0.25">
      <c r="A8" s="471" t="s">
        <v>459</v>
      </c>
      <c r="B8" s="510"/>
      <c r="C8" s="99"/>
      <c r="D8" s="103"/>
      <c r="E8" s="820"/>
    </row>
    <row r="9" spans="1:5" ht="12.75" customHeight="1" x14ac:dyDescent="0.25">
      <c r="A9" s="471" t="s">
        <v>460</v>
      </c>
      <c r="B9" s="510" t="s">
        <v>350</v>
      </c>
      <c r="C9" s="141">
        <f>SUM(C6:C8)</f>
        <v>35063</v>
      </c>
      <c r="D9" s="141">
        <f t="shared" ref="D9:E9" si="0">SUM(D6:D8)</f>
        <v>-125</v>
      </c>
      <c r="E9" s="141">
        <f t="shared" si="0"/>
        <v>34938</v>
      </c>
    </row>
    <row r="10" spans="1:5" ht="12.75" customHeight="1" x14ac:dyDescent="0.25">
      <c r="A10" s="471" t="s">
        <v>461</v>
      </c>
      <c r="B10" s="487"/>
      <c r="C10" s="141"/>
      <c r="D10" s="141"/>
      <c r="E10" s="819"/>
    </row>
    <row r="11" spans="1:5" ht="12.75" customHeight="1" thickBot="1" x14ac:dyDescent="0.3">
      <c r="A11" s="502" t="s">
        <v>462</v>
      </c>
      <c r="B11" s="503" t="s">
        <v>358</v>
      </c>
      <c r="C11" s="514"/>
      <c r="D11" s="505"/>
      <c r="E11" s="825"/>
    </row>
    <row r="12" spans="1:5" ht="12.75" customHeight="1" x14ac:dyDescent="0.25">
      <c r="A12" s="498" t="s">
        <v>463</v>
      </c>
      <c r="B12" s="517"/>
      <c r="C12" s="500"/>
      <c r="D12" s="787"/>
      <c r="E12" s="827">
        <f>+D12+C12</f>
        <v>0</v>
      </c>
    </row>
    <row r="13" spans="1:5" ht="12.75" customHeight="1" x14ac:dyDescent="0.25">
      <c r="A13" s="471" t="s">
        <v>464</v>
      </c>
      <c r="B13" s="509" t="s">
        <v>354</v>
      </c>
      <c r="C13" s="104">
        <f>C14</f>
        <v>19568</v>
      </c>
      <c r="D13" s="104">
        <f t="shared" ref="D13:E13" si="1">D14</f>
        <v>0</v>
      </c>
      <c r="E13" s="104">
        <f t="shared" si="1"/>
        <v>19568</v>
      </c>
    </row>
    <row r="14" spans="1:5" ht="12.75" customHeight="1" x14ac:dyDescent="0.25">
      <c r="A14" s="471" t="s">
        <v>817</v>
      </c>
      <c r="B14" s="147" t="s">
        <v>846</v>
      </c>
      <c r="C14" s="102">
        <v>19568</v>
      </c>
      <c r="D14" s="103"/>
      <c r="E14" s="834">
        <f>C14+D14</f>
        <v>19568</v>
      </c>
    </row>
    <row r="15" spans="1:5" ht="12.75" customHeight="1" x14ac:dyDescent="0.25">
      <c r="A15" s="481" t="s">
        <v>818</v>
      </c>
      <c r="B15" s="835"/>
      <c r="C15" s="815"/>
      <c r="D15" s="816"/>
      <c r="E15" s="836"/>
    </row>
    <row r="16" spans="1:5" ht="12.75" customHeight="1" thickBot="1" x14ac:dyDescent="0.3">
      <c r="A16" s="502" t="s">
        <v>819</v>
      </c>
      <c r="B16" s="503" t="s">
        <v>355</v>
      </c>
      <c r="C16" s="504">
        <f>+C13</f>
        <v>19568</v>
      </c>
      <c r="D16" s="504">
        <f>+D13</f>
        <v>0</v>
      </c>
      <c r="E16" s="828">
        <f>+E13</f>
        <v>19568</v>
      </c>
    </row>
    <row r="17" spans="1:5" ht="12.75" customHeight="1" thickBot="1" x14ac:dyDescent="0.3">
      <c r="A17" s="506" t="s">
        <v>820</v>
      </c>
      <c r="B17" s="485"/>
      <c r="C17" s="480"/>
      <c r="D17" s="486"/>
      <c r="E17" s="829"/>
    </row>
    <row r="18" spans="1:5" s="142" customFormat="1" ht="25.5" customHeight="1" x14ac:dyDescent="0.25">
      <c r="A18" s="498" t="s">
        <v>821</v>
      </c>
      <c r="B18" s="508" t="s">
        <v>670</v>
      </c>
      <c r="C18" s="500"/>
      <c r="D18" s="501"/>
      <c r="E18" s="784"/>
    </row>
    <row r="19" spans="1:5" ht="12.75" customHeight="1" x14ac:dyDescent="0.25">
      <c r="A19" s="471" t="s">
        <v>822</v>
      </c>
      <c r="B19" s="105"/>
      <c r="C19" s="99"/>
      <c r="D19" s="104"/>
      <c r="E19" s="821"/>
    </row>
    <row r="20" spans="1:5" ht="12.75" customHeight="1" x14ac:dyDescent="0.25">
      <c r="A20" s="482" t="s">
        <v>823</v>
      </c>
      <c r="B20" s="826" t="s">
        <v>664</v>
      </c>
      <c r="C20" s="823"/>
      <c r="D20" s="830"/>
      <c r="E20" s="831"/>
    </row>
    <row r="21" spans="1:5" ht="12.75" customHeight="1" x14ac:dyDescent="0.25">
      <c r="A21" s="471" t="s">
        <v>824</v>
      </c>
      <c r="B21" s="100" t="s">
        <v>668</v>
      </c>
      <c r="C21" s="99">
        <v>1144</v>
      </c>
      <c r="D21" s="783"/>
      <c r="E21" s="822">
        <f>+D21+C21</f>
        <v>1144</v>
      </c>
    </row>
    <row r="22" spans="1:5" ht="12.75" customHeight="1" x14ac:dyDescent="0.25">
      <c r="A22" s="471" t="s">
        <v>825</v>
      </c>
      <c r="B22" s="100" t="s">
        <v>677</v>
      </c>
      <c r="C22" s="99"/>
      <c r="D22" s="104"/>
      <c r="E22" s="822">
        <f t="shared" ref="E22:E41" si="2">+D22+C22</f>
        <v>0</v>
      </c>
    </row>
    <row r="23" spans="1:5" s="142" customFormat="1" ht="25.5" customHeight="1" thickBot="1" x14ac:dyDescent="0.3">
      <c r="A23" s="502" t="s">
        <v>826</v>
      </c>
      <c r="B23" s="503" t="s">
        <v>674</v>
      </c>
      <c r="C23" s="504">
        <f>SUM(C21:C22)</f>
        <v>1144</v>
      </c>
      <c r="D23" s="504">
        <f>SUM(D21:D22)</f>
        <v>0</v>
      </c>
      <c r="E23" s="825">
        <f t="shared" si="2"/>
        <v>1144</v>
      </c>
    </row>
    <row r="24" spans="1:5" s="142" customFormat="1" ht="12.75" x14ac:dyDescent="0.25">
      <c r="A24" s="1103"/>
      <c r="B24" s="508"/>
      <c r="C24" s="1104"/>
      <c r="D24" s="1104"/>
      <c r="E24" s="784"/>
    </row>
    <row r="25" spans="1:5" s="142" customFormat="1" ht="32.25" customHeight="1" x14ac:dyDescent="0.25">
      <c r="A25" s="809">
        <v>21</v>
      </c>
      <c r="B25" s="1102" t="s">
        <v>948</v>
      </c>
      <c r="C25" s="495"/>
      <c r="D25" s="602"/>
      <c r="E25" s="1105"/>
    </row>
    <row r="26" spans="1:5" s="142" customFormat="1" ht="12.75" customHeight="1" x14ac:dyDescent="0.25">
      <c r="A26" s="810">
        <v>22</v>
      </c>
      <c r="B26" s="100" t="s">
        <v>668</v>
      </c>
      <c r="C26" s="102"/>
      <c r="D26" s="103">
        <v>110014</v>
      </c>
      <c r="E26" s="820">
        <f>C26+D26</f>
        <v>110014</v>
      </c>
    </row>
    <row r="27" spans="1:5" s="142" customFormat="1" ht="12.75" hidden="1" customHeight="1" x14ac:dyDescent="0.25">
      <c r="A27" s="810">
        <v>46</v>
      </c>
      <c r="B27" s="100" t="s">
        <v>677</v>
      </c>
      <c r="C27" s="102"/>
      <c r="D27" s="103"/>
      <c r="E27" s="820"/>
    </row>
    <row r="28" spans="1:5" s="142" customFormat="1" ht="12.75" customHeight="1" x14ac:dyDescent="0.25">
      <c r="A28" s="810">
        <v>23</v>
      </c>
      <c r="B28" s="100"/>
      <c r="C28" s="102"/>
      <c r="D28" s="103"/>
      <c r="E28" s="820"/>
    </row>
    <row r="29" spans="1:5" s="145" customFormat="1" ht="27.75" customHeight="1" x14ac:dyDescent="0.25">
      <c r="A29" s="811">
        <v>24</v>
      </c>
      <c r="B29" s="491" t="s">
        <v>949</v>
      </c>
      <c r="C29" s="812">
        <f>+C27+C26</f>
        <v>0</v>
      </c>
      <c r="D29" s="812">
        <f>+D27+D26</f>
        <v>110014</v>
      </c>
      <c r="E29" s="1106">
        <f>+E27+E26</f>
        <v>110014</v>
      </c>
    </row>
    <row r="30" spans="1:5" s="142" customFormat="1" ht="12.75" customHeight="1" thickBot="1" x14ac:dyDescent="0.3">
      <c r="A30" s="813">
        <v>25</v>
      </c>
      <c r="B30" s="814"/>
      <c r="C30" s="815"/>
      <c r="D30" s="816"/>
      <c r="E30" s="1107"/>
    </row>
    <row r="31" spans="1:5" s="91" customFormat="1" ht="12.75" customHeight="1" x14ac:dyDescent="0.25">
      <c r="A31" s="498">
        <v>26</v>
      </c>
      <c r="B31" s="517"/>
      <c r="C31" s="507"/>
      <c r="D31" s="518"/>
      <c r="E31" s="833">
        <f t="shared" si="2"/>
        <v>0</v>
      </c>
    </row>
    <row r="32" spans="1:5" s="91" customFormat="1" ht="12.75" customHeight="1" x14ac:dyDescent="0.25">
      <c r="A32" s="471">
        <v>27</v>
      </c>
      <c r="B32" s="100" t="s">
        <v>722</v>
      </c>
      <c r="C32" s="102">
        <v>5334</v>
      </c>
      <c r="D32" s="103"/>
      <c r="E32" s="820">
        <f t="shared" si="2"/>
        <v>5334</v>
      </c>
    </row>
    <row r="33" spans="1:5" s="91" customFormat="1" ht="12.75" customHeight="1" x14ac:dyDescent="0.25">
      <c r="A33" s="471">
        <v>28</v>
      </c>
      <c r="B33" s="146" t="s">
        <v>359</v>
      </c>
      <c r="C33" s="601">
        <f>SUM(C32)</f>
        <v>5334</v>
      </c>
      <c r="D33" s="601">
        <f>SUM(D32)</f>
        <v>0</v>
      </c>
      <c r="E33" s="786">
        <f t="shared" si="2"/>
        <v>5334</v>
      </c>
    </row>
    <row r="34" spans="1:5" x14ac:dyDescent="0.25">
      <c r="A34" s="471">
        <v>29</v>
      </c>
      <c r="B34" s="101"/>
      <c r="C34" s="102"/>
      <c r="D34" s="103"/>
      <c r="E34" s="820">
        <f t="shared" si="2"/>
        <v>0</v>
      </c>
    </row>
    <row r="35" spans="1:5" x14ac:dyDescent="0.25">
      <c r="A35" s="471">
        <v>30</v>
      </c>
      <c r="B35" s="510" t="s">
        <v>669</v>
      </c>
      <c r="C35" s="99"/>
      <c r="D35" s="104"/>
      <c r="E35" s="821">
        <f t="shared" si="2"/>
        <v>0</v>
      </c>
    </row>
    <row r="36" spans="1:5" x14ac:dyDescent="0.25">
      <c r="A36" s="471">
        <v>31</v>
      </c>
      <c r="B36" s="101"/>
      <c r="C36" s="102"/>
      <c r="D36" s="103"/>
      <c r="E36" s="820">
        <f t="shared" si="2"/>
        <v>0</v>
      </c>
    </row>
    <row r="37" spans="1:5" ht="12.75" customHeight="1" thickBot="1" x14ac:dyDescent="0.3">
      <c r="A37" s="502">
        <v>32</v>
      </c>
      <c r="B37" s="503" t="s">
        <v>360</v>
      </c>
      <c r="C37" s="504">
        <f>+C33+C35</f>
        <v>5334</v>
      </c>
      <c r="D37" s="504">
        <f>+D33+D35</f>
        <v>0</v>
      </c>
      <c r="E37" s="828">
        <f t="shared" si="2"/>
        <v>5334</v>
      </c>
    </row>
    <row r="38" spans="1:5" x14ac:dyDescent="0.25">
      <c r="A38" s="482">
        <v>33</v>
      </c>
      <c r="B38" s="515"/>
      <c r="C38" s="515"/>
      <c r="D38" s="516"/>
      <c r="E38" s="832">
        <f t="shared" si="2"/>
        <v>0</v>
      </c>
    </row>
    <row r="39" spans="1:5" x14ac:dyDescent="0.25">
      <c r="A39" s="471">
        <v>34</v>
      </c>
      <c r="B39" s="105" t="s">
        <v>672</v>
      </c>
      <c r="C39" s="99"/>
      <c r="D39" s="104"/>
      <c r="E39" s="821">
        <f t="shared" si="2"/>
        <v>0</v>
      </c>
    </row>
    <row r="40" spans="1:5" x14ac:dyDescent="0.25">
      <c r="A40" s="471">
        <v>35</v>
      </c>
      <c r="B40" s="101"/>
      <c r="C40" s="102"/>
      <c r="D40" s="103"/>
      <c r="E40" s="820">
        <f t="shared" si="2"/>
        <v>0</v>
      </c>
    </row>
    <row r="41" spans="1:5" x14ac:dyDescent="0.25">
      <c r="A41" s="471">
        <v>36</v>
      </c>
      <c r="B41" s="105" t="s">
        <v>361</v>
      </c>
      <c r="C41" s="141">
        <f t="shared" ref="C41" si="3">SUM(C40:C40)</f>
        <v>0</v>
      </c>
      <c r="D41" s="141"/>
      <c r="E41" s="819">
        <f t="shared" si="2"/>
        <v>0</v>
      </c>
    </row>
    <row r="42" spans="1:5" ht="15.75" thickBot="1" x14ac:dyDescent="0.3">
      <c r="A42" s="502">
        <v>37</v>
      </c>
      <c r="B42" s="360" t="s">
        <v>673</v>
      </c>
      <c r="C42" s="361">
        <f>+C23+C37+C16+C9+C29</f>
        <v>61109</v>
      </c>
      <c r="D42" s="361">
        <f>+D23+D37+D16+D9+D29</f>
        <v>109889</v>
      </c>
      <c r="E42" s="1060">
        <f>+E23+E37+E16+E9+E29</f>
        <v>170998</v>
      </c>
    </row>
  </sheetData>
  <mergeCells count="1"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Roman,Félkövér"&amp;12Martonvásár Város Önkormányzat felújítási (felhalmozási) célú 
kiadásai előirányzata feladatonként      &amp;R&amp;"Times New Roman,Félkövér"&amp;10 8.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B34" sqref="B34"/>
    </sheetView>
  </sheetViews>
  <sheetFormatPr defaultColWidth="9.140625" defaultRowHeight="15" x14ac:dyDescent="0.25"/>
  <cols>
    <col min="1" max="1" width="7.85546875" style="591" bestFit="1" customWidth="1"/>
    <col min="2" max="2" width="29.5703125" style="591" customWidth="1"/>
    <col min="3" max="3" width="13" style="591" customWidth="1"/>
    <col min="4" max="4" width="13.5703125" style="591" customWidth="1"/>
    <col min="5" max="5" width="13.7109375" style="591" customWidth="1"/>
    <col min="6" max="16384" width="9.140625" style="591"/>
  </cols>
  <sheetData>
    <row r="1" spans="1:5" ht="15.75" thickBot="1" x14ac:dyDescent="0.3"/>
    <row r="2" spans="1:5" ht="15" customHeight="1" x14ac:dyDescent="0.25">
      <c r="A2" s="1364" t="s">
        <v>362</v>
      </c>
      <c r="B2" s="1366" t="s">
        <v>282</v>
      </c>
      <c r="C2" s="1368" t="s">
        <v>847</v>
      </c>
      <c r="D2" s="1370" t="s">
        <v>848</v>
      </c>
      <c r="E2" s="1370" t="s">
        <v>849</v>
      </c>
    </row>
    <row r="3" spans="1:5" x14ac:dyDescent="0.25">
      <c r="A3" s="1365"/>
      <c r="B3" s="1367"/>
      <c r="C3" s="1369"/>
      <c r="D3" s="1371"/>
      <c r="E3" s="1371"/>
    </row>
    <row r="4" spans="1:5" x14ac:dyDescent="0.25">
      <c r="A4" s="1365"/>
      <c r="B4" s="1367"/>
      <c r="C4" s="1369"/>
      <c r="D4" s="1371"/>
      <c r="E4" s="1371"/>
    </row>
    <row r="5" spans="1:5" x14ac:dyDescent="0.25">
      <c r="A5" s="1365"/>
      <c r="B5" s="1367"/>
      <c r="C5" s="1369"/>
      <c r="D5" s="1371"/>
      <c r="E5" s="1371"/>
    </row>
    <row r="6" spans="1:5" x14ac:dyDescent="0.25">
      <c r="A6" s="592" t="s">
        <v>304</v>
      </c>
      <c r="B6" s="593" t="s">
        <v>311</v>
      </c>
      <c r="C6" s="606" t="s">
        <v>305</v>
      </c>
      <c r="D6" s="611" t="s">
        <v>306</v>
      </c>
      <c r="E6" s="611" t="s">
        <v>307</v>
      </c>
    </row>
    <row r="7" spans="1:5" x14ac:dyDescent="0.25">
      <c r="A7" s="594">
        <v>1</v>
      </c>
      <c r="B7" s="111" t="s">
        <v>264</v>
      </c>
      <c r="C7" s="607">
        <v>1</v>
      </c>
      <c r="D7" s="612">
        <v>1</v>
      </c>
      <c r="E7" s="612">
        <v>1</v>
      </c>
    </row>
    <row r="8" spans="1:5" x14ac:dyDescent="0.25">
      <c r="A8" s="594">
        <v>2</v>
      </c>
      <c r="B8" s="111" t="s">
        <v>363</v>
      </c>
      <c r="C8" s="607"/>
      <c r="D8" s="612"/>
      <c r="E8" s="612"/>
    </row>
    <row r="9" spans="1:5" x14ac:dyDescent="0.25">
      <c r="A9" s="594">
        <v>3</v>
      </c>
      <c r="B9" s="595" t="s">
        <v>292</v>
      </c>
      <c r="C9" s="608">
        <v>35.5</v>
      </c>
      <c r="D9" s="613">
        <v>35.5</v>
      </c>
      <c r="E9" s="613">
        <v>35.5</v>
      </c>
    </row>
    <row r="10" spans="1:5" x14ac:dyDescent="0.25">
      <c r="A10" s="594">
        <v>4</v>
      </c>
      <c r="B10" s="595" t="s">
        <v>364</v>
      </c>
      <c r="C10" s="608">
        <v>8</v>
      </c>
      <c r="D10" s="613">
        <v>8</v>
      </c>
      <c r="E10" s="613">
        <v>8</v>
      </c>
    </row>
    <row r="11" spans="1:5" x14ac:dyDescent="0.25">
      <c r="A11" s="594">
        <v>5</v>
      </c>
      <c r="B11" s="111" t="s">
        <v>365</v>
      </c>
      <c r="C11" s="609">
        <f t="shared" ref="C11:E11" si="0">SUM(C9:C10)</f>
        <v>43.5</v>
      </c>
      <c r="D11" s="614">
        <f t="shared" ref="D11" si="1">SUM(D9:D10)</f>
        <v>43.5</v>
      </c>
      <c r="E11" s="614">
        <f t="shared" si="0"/>
        <v>43.5</v>
      </c>
    </row>
    <row r="12" spans="1:5" x14ac:dyDescent="0.25">
      <c r="A12" s="594">
        <v>6</v>
      </c>
      <c r="B12" s="111" t="s">
        <v>387</v>
      </c>
      <c r="C12" s="599" t="s">
        <v>647</v>
      </c>
      <c r="D12" s="615" t="s">
        <v>647</v>
      </c>
      <c r="E12" s="615" t="s">
        <v>647</v>
      </c>
    </row>
    <row r="13" spans="1:5" x14ac:dyDescent="0.25">
      <c r="A13" s="594"/>
      <c r="B13" s="111" t="s">
        <v>600</v>
      </c>
      <c r="C13" s="607"/>
      <c r="D13" s="612"/>
      <c r="E13" s="612"/>
    </row>
    <row r="14" spans="1:5" x14ac:dyDescent="0.25">
      <c r="A14" s="594">
        <v>7</v>
      </c>
      <c r="B14" s="111" t="s">
        <v>366</v>
      </c>
      <c r="C14" s="607">
        <v>3</v>
      </c>
      <c r="D14" s="612">
        <v>3</v>
      </c>
      <c r="E14" s="612">
        <v>3</v>
      </c>
    </row>
    <row r="15" spans="1:5" x14ac:dyDescent="0.25">
      <c r="A15" s="594">
        <v>8</v>
      </c>
      <c r="B15" s="111" t="s">
        <v>367</v>
      </c>
      <c r="C15" s="607">
        <v>1</v>
      </c>
      <c r="D15" s="612">
        <v>1</v>
      </c>
      <c r="E15" s="612">
        <v>1</v>
      </c>
    </row>
    <row r="16" spans="1:5" ht="15.75" thickBot="1" x14ac:dyDescent="0.3">
      <c r="A16" s="596">
        <v>9</v>
      </c>
      <c r="B16" s="597" t="s">
        <v>368</v>
      </c>
      <c r="C16" s="610">
        <f>SUM(C11:C15)+C7</f>
        <v>48.5</v>
      </c>
      <c r="D16" s="616">
        <f>SUM(D11:D15)+D7</f>
        <v>48.5</v>
      </c>
      <c r="E16" s="616">
        <f>SUM(E11:E15)+E7</f>
        <v>48.5</v>
      </c>
    </row>
  </sheetData>
  <mergeCells count="5">
    <mergeCell ref="A2:A5"/>
    <mergeCell ref="B2:B5"/>
    <mergeCell ref="C2:C5"/>
    <mergeCell ref="D2:D5"/>
    <mergeCell ref="E2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
  2019. évi létszámkerete     &amp;R&amp;"Times New Roman,Félkövér"&amp;10 9.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workbookViewId="0">
      <selection activeCell="B34" sqref="B34"/>
    </sheetView>
  </sheetViews>
  <sheetFormatPr defaultColWidth="9.140625" defaultRowHeight="15" x14ac:dyDescent="0.25"/>
  <cols>
    <col min="1" max="1" width="5.85546875" style="196" customWidth="1"/>
    <col min="2" max="2" width="42.5703125" style="197" customWidth="1"/>
    <col min="3" max="8" width="11" style="197" customWidth="1"/>
    <col min="9" max="9" width="12.140625" style="197" customWidth="1"/>
    <col min="10" max="10" width="13.28515625" style="197" customWidth="1"/>
    <col min="11" max="16384" width="9.140625" style="197"/>
  </cols>
  <sheetData>
    <row r="1" spans="1:11" s="232" customFormat="1" ht="26.25" customHeight="1" thickBot="1" x14ac:dyDescent="0.3">
      <c r="A1" s="196"/>
      <c r="B1" s="197"/>
      <c r="C1" s="197"/>
      <c r="D1" s="197"/>
      <c r="E1" s="197"/>
      <c r="F1" s="197"/>
      <c r="G1" s="197"/>
      <c r="H1" s="197"/>
      <c r="I1" s="197"/>
      <c r="J1" s="231" t="s">
        <v>456</v>
      </c>
    </row>
    <row r="2" spans="1:11" s="233" customFormat="1" ht="32.25" customHeight="1" thickBot="1" x14ac:dyDescent="0.3">
      <c r="A2" s="1379" t="s">
        <v>471</v>
      </c>
      <c r="B2" s="1381" t="s">
        <v>472</v>
      </c>
      <c r="C2" s="1379" t="s">
        <v>473</v>
      </c>
      <c r="D2" s="1379" t="s">
        <v>474</v>
      </c>
      <c r="E2" s="1372" t="s">
        <v>475</v>
      </c>
      <c r="F2" s="1373"/>
      <c r="G2" s="1373"/>
      <c r="H2" s="1373"/>
      <c r="I2" s="1374"/>
      <c r="J2" s="1375" t="s">
        <v>180</v>
      </c>
    </row>
    <row r="3" spans="1:11" s="237" customFormat="1" ht="37.5" customHeight="1" thickBot="1" x14ac:dyDescent="0.3">
      <c r="A3" s="1380"/>
      <c r="B3" s="1382"/>
      <c r="C3" s="1376"/>
      <c r="D3" s="1380"/>
      <c r="E3" s="234" t="s">
        <v>476</v>
      </c>
      <c r="F3" s="235" t="s">
        <v>477</v>
      </c>
      <c r="G3" s="235" t="s">
        <v>478</v>
      </c>
      <c r="H3" s="235" t="s">
        <v>479</v>
      </c>
      <c r="I3" s="236" t="s">
        <v>572</v>
      </c>
      <c r="J3" s="1376"/>
    </row>
    <row r="4" spans="1:11" ht="20.100000000000001" customHeight="1" x14ac:dyDescent="0.25">
      <c r="A4" s="238">
        <v>1</v>
      </c>
      <c r="B4" s="239">
        <v>2</v>
      </c>
      <c r="C4" s="238">
        <v>3</v>
      </c>
      <c r="D4" s="238">
        <v>4</v>
      </c>
      <c r="E4" s="240">
        <v>5</v>
      </c>
      <c r="F4" s="241">
        <v>6</v>
      </c>
      <c r="G4" s="241">
        <v>7</v>
      </c>
      <c r="H4" s="241">
        <v>8</v>
      </c>
      <c r="I4" s="242">
        <v>9</v>
      </c>
      <c r="J4" s="238" t="s">
        <v>480</v>
      </c>
    </row>
    <row r="5" spans="1:11" s="251" customFormat="1" ht="20.100000000000001" customHeight="1" x14ac:dyDescent="0.25">
      <c r="A5" s="243" t="s">
        <v>308</v>
      </c>
      <c r="B5" s="244" t="s">
        <v>481</v>
      </c>
      <c r="C5" s="245"/>
      <c r="D5" s="246"/>
      <c r="E5" s="247">
        <f>SUM(E6:E6)</f>
        <v>0</v>
      </c>
      <c r="F5" s="248"/>
      <c r="G5" s="248"/>
      <c r="H5" s="248"/>
      <c r="I5" s="249"/>
      <c r="J5" s="250"/>
    </row>
    <row r="6" spans="1:11" ht="20.100000000000001" customHeight="1" x14ac:dyDescent="0.25">
      <c r="A6" s="243" t="s">
        <v>401</v>
      </c>
      <c r="B6" s="252"/>
      <c r="C6" s="253"/>
      <c r="D6" s="254"/>
      <c r="E6" s="255"/>
      <c r="F6" s="256"/>
      <c r="G6" s="256"/>
      <c r="H6" s="256"/>
      <c r="I6" s="257"/>
      <c r="J6" s="250"/>
    </row>
    <row r="7" spans="1:11" ht="20.100000000000001" customHeight="1" x14ac:dyDescent="0.25">
      <c r="A7" s="243" t="s">
        <v>457</v>
      </c>
      <c r="B7" s="258"/>
      <c r="C7" s="259"/>
      <c r="D7" s="254"/>
      <c r="E7" s="255"/>
      <c r="F7" s="256"/>
      <c r="G7" s="256"/>
      <c r="H7" s="256"/>
      <c r="I7" s="257"/>
      <c r="J7" s="250"/>
    </row>
    <row r="8" spans="1:11" ht="20.100000000000001" customHeight="1" x14ac:dyDescent="0.25">
      <c r="A8" s="243" t="s">
        <v>458</v>
      </c>
      <c r="B8" s="258"/>
      <c r="C8" s="259"/>
      <c r="D8" s="254"/>
      <c r="E8" s="255"/>
      <c r="F8" s="256"/>
      <c r="G8" s="256"/>
      <c r="H8" s="256"/>
      <c r="I8" s="257"/>
      <c r="J8" s="250"/>
    </row>
    <row r="9" spans="1:11" s="251" customFormat="1" ht="20.100000000000001" customHeight="1" x14ac:dyDescent="0.25">
      <c r="A9" s="243" t="s">
        <v>459</v>
      </c>
      <c r="B9" s="260" t="s">
        <v>482</v>
      </c>
      <c r="C9" s="261"/>
      <c r="D9" s="246">
        <f t="shared" ref="D9:J9" si="0">SUM(D10:D11)</f>
        <v>0</v>
      </c>
      <c r="E9" s="247">
        <f t="shared" si="0"/>
        <v>0</v>
      </c>
      <c r="F9" s="248">
        <f t="shared" si="0"/>
        <v>0</v>
      </c>
      <c r="G9" s="248">
        <f t="shared" si="0"/>
        <v>0</v>
      </c>
      <c r="H9" s="248">
        <f t="shared" si="0"/>
        <v>0</v>
      </c>
      <c r="I9" s="249">
        <f t="shared" si="0"/>
        <v>0</v>
      </c>
      <c r="J9" s="246">
        <f t="shared" si="0"/>
        <v>0</v>
      </c>
    </row>
    <row r="10" spans="1:11" ht="20.100000000000001" customHeight="1" x14ac:dyDescent="0.25">
      <c r="A10" s="243" t="s">
        <v>460</v>
      </c>
      <c r="B10" s="252"/>
      <c r="C10" s="253"/>
      <c r="D10" s="254">
        <v>0</v>
      </c>
      <c r="E10" s="255">
        <v>0</v>
      </c>
      <c r="F10" s="256">
        <v>0</v>
      </c>
      <c r="G10" s="256">
        <v>0</v>
      </c>
      <c r="H10" s="256">
        <v>0</v>
      </c>
      <c r="I10" s="257">
        <v>0</v>
      </c>
      <c r="J10" s="250">
        <f>SUM(D10:I10)</f>
        <v>0</v>
      </c>
    </row>
    <row r="11" spans="1:11" ht="20.100000000000001" customHeight="1" x14ac:dyDescent="0.25">
      <c r="A11" s="243" t="s">
        <v>461</v>
      </c>
      <c r="B11" s="252"/>
      <c r="C11" s="253"/>
      <c r="D11" s="254"/>
      <c r="E11" s="255"/>
      <c r="F11" s="256"/>
      <c r="G11" s="256"/>
      <c r="H11" s="256"/>
      <c r="I11" s="257"/>
      <c r="J11" s="250">
        <f>SUM(D11:I11)</f>
        <v>0</v>
      </c>
      <c r="K11" s="262"/>
    </row>
    <row r="12" spans="1:11" ht="19.5" customHeight="1" x14ac:dyDescent="0.25">
      <c r="A12" s="243" t="s">
        <v>462</v>
      </c>
      <c r="B12" s="252"/>
      <c r="C12" s="253"/>
      <c r="D12" s="254"/>
      <c r="E12" s="255"/>
      <c r="F12" s="256"/>
      <c r="G12" s="256"/>
      <c r="H12" s="256"/>
      <c r="I12" s="257"/>
      <c r="J12" s="250"/>
    </row>
    <row r="13" spans="1:11" ht="20.100000000000001" customHeight="1" x14ac:dyDescent="0.25">
      <c r="A13" s="243" t="s">
        <v>463</v>
      </c>
      <c r="B13" s="263"/>
      <c r="C13" s="264"/>
      <c r="D13" s="265"/>
      <c r="E13" s="266"/>
      <c r="F13" s="267"/>
      <c r="G13" s="267"/>
      <c r="H13" s="267"/>
      <c r="I13" s="268"/>
      <c r="J13" s="250"/>
    </row>
    <row r="14" spans="1:11" s="251" customFormat="1" ht="12.75" x14ac:dyDescent="0.25">
      <c r="A14" s="243" t="s">
        <v>464</v>
      </c>
      <c r="B14" s="269" t="s">
        <v>483</v>
      </c>
      <c r="C14" s="261"/>
      <c r="D14" s="270">
        <f>+D15+D16</f>
        <v>0</v>
      </c>
      <c r="E14" s="270">
        <f t="shared" ref="E14:J14" si="1">+E15+E16</f>
        <v>0</v>
      </c>
      <c r="F14" s="270">
        <f t="shared" si="1"/>
        <v>0</v>
      </c>
      <c r="G14" s="270">
        <f t="shared" si="1"/>
        <v>0</v>
      </c>
      <c r="H14" s="270">
        <f t="shared" si="1"/>
        <v>0</v>
      </c>
      <c r="I14" s="270">
        <f t="shared" si="1"/>
        <v>0</v>
      </c>
      <c r="J14" s="270">
        <f t="shared" si="1"/>
        <v>0</v>
      </c>
    </row>
    <row r="15" spans="1:11" s="275" customFormat="1" x14ac:dyDescent="0.25">
      <c r="A15" s="243"/>
      <c r="B15" s="448"/>
      <c r="C15" s="271"/>
      <c r="D15" s="272"/>
      <c r="E15" s="273"/>
      <c r="F15" s="198"/>
      <c r="G15" s="198"/>
      <c r="H15" s="198"/>
      <c r="I15" s="274"/>
      <c r="J15" s="250"/>
    </row>
    <row r="16" spans="1:11" ht="15.75" thickBot="1" x14ac:dyDescent="0.3">
      <c r="A16" s="276"/>
      <c r="B16" s="448"/>
      <c r="C16" s="271"/>
      <c r="D16" s="277"/>
      <c r="E16" s="278"/>
      <c r="F16" s="279"/>
      <c r="G16" s="279"/>
      <c r="H16" s="279"/>
      <c r="I16" s="280"/>
      <c r="J16" s="250"/>
    </row>
    <row r="17" spans="1:10" s="251" customFormat="1" ht="13.5" thickBot="1" x14ac:dyDescent="0.3">
      <c r="A17" s="1377" t="s">
        <v>484</v>
      </c>
      <c r="B17" s="1378"/>
      <c r="C17" s="281"/>
      <c r="D17" s="282">
        <f>+D14+D9</f>
        <v>0</v>
      </c>
      <c r="E17" s="283">
        <f t="shared" ref="E17:J17" si="2">+E14+E9</f>
        <v>0</v>
      </c>
      <c r="F17" s="284">
        <f t="shared" si="2"/>
        <v>0</v>
      </c>
      <c r="G17" s="284">
        <f t="shared" si="2"/>
        <v>0</v>
      </c>
      <c r="H17" s="284">
        <f t="shared" si="2"/>
        <v>0</v>
      </c>
      <c r="I17" s="285">
        <f t="shared" si="2"/>
        <v>0</v>
      </c>
      <c r="J17" s="282">
        <f t="shared" si="2"/>
        <v>0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16" zoomScaleNormal="100" workbookViewId="0">
      <selection activeCell="N37" sqref="N37"/>
    </sheetView>
  </sheetViews>
  <sheetFormatPr defaultColWidth="9.140625" defaultRowHeight="12.75" x14ac:dyDescent="0.2"/>
  <cols>
    <col min="1" max="1" width="31.42578125" style="200" customWidth="1"/>
    <col min="2" max="2" width="9.42578125" style="200" bestFit="1" customWidth="1"/>
    <col min="3" max="3" width="9.28515625" style="200" customWidth="1"/>
    <col min="4" max="4" width="8.85546875" style="200" bestFit="1" customWidth="1"/>
    <col min="5" max="5" width="9.85546875" style="200" customWidth="1"/>
    <col min="6" max="10" width="8.85546875" style="200" bestFit="1" customWidth="1"/>
    <col min="11" max="11" width="10.42578125" style="200" customWidth="1"/>
    <col min="12" max="12" width="8.85546875" style="200" bestFit="1" customWidth="1"/>
    <col min="13" max="13" width="8.5703125" style="200" customWidth="1"/>
    <col min="14" max="14" width="9.140625" style="200" customWidth="1"/>
    <col min="15" max="15" width="10.85546875" style="199" customWidth="1"/>
    <col min="16" max="16384" width="9.140625" style="200"/>
  </cols>
  <sheetData>
    <row r="1" spans="1:16" ht="13.5" thickBot="1" x14ac:dyDescent="0.25">
      <c r="O1" s="201" t="s">
        <v>466</v>
      </c>
    </row>
    <row r="2" spans="1:16" s="199" customFormat="1" ht="25.5" x14ac:dyDescent="0.2">
      <c r="A2" s="202" t="s">
        <v>282</v>
      </c>
      <c r="B2" s="203" t="s">
        <v>467</v>
      </c>
      <c r="C2" s="202" t="s">
        <v>443</v>
      </c>
      <c r="D2" s="202" t="s">
        <v>444</v>
      </c>
      <c r="E2" s="202" t="s">
        <v>445</v>
      </c>
      <c r="F2" s="202" t="s">
        <v>446</v>
      </c>
      <c r="G2" s="202" t="s">
        <v>447</v>
      </c>
      <c r="H2" s="202" t="s">
        <v>448</v>
      </c>
      <c r="I2" s="202" t="s">
        <v>449</v>
      </c>
      <c r="J2" s="202" t="s">
        <v>468</v>
      </c>
      <c r="K2" s="202" t="s">
        <v>450</v>
      </c>
      <c r="L2" s="202" t="s">
        <v>451</v>
      </c>
      <c r="M2" s="202" t="s">
        <v>452</v>
      </c>
      <c r="N2" s="202" t="s">
        <v>453</v>
      </c>
      <c r="O2" s="204" t="s">
        <v>465</v>
      </c>
    </row>
    <row r="3" spans="1:16" s="205" customFormat="1" x14ac:dyDescent="0.25">
      <c r="A3" s="603" t="s">
        <v>724</v>
      </c>
      <c r="B3" s="603"/>
      <c r="C3" s="603"/>
      <c r="D3" s="603">
        <f t="shared" ref="D3:N3" si="0">+C40</f>
        <v>1734055.9166666667</v>
      </c>
      <c r="E3" s="603">
        <f t="shared" si="0"/>
        <v>1731340.8333333335</v>
      </c>
      <c r="F3" s="603">
        <f t="shared" si="0"/>
        <v>1682790.7500000002</v>
      </c>
      <c r="G3" s="603">
        <f t="shared" si="0"/>
        <v>1404305.666666667</v>
      </c>
      <c r="H3" s="603">
        <f t="shared" si="0"/>
        <v>1351782.5833333337</v>
      </c>
      <c r="I3" s="603">
        <f t="shared" si="0"/>
        <v>1073140.5000000005</v>
      </c>
      <c r="J3" s="603">
        <f t="shared" si="0"/>
        <v>1024590.4166666672</v>
      </c>
      <c r="K3" s="603">
        <f t="shared" si="0"/>
        <v>976040.33333333395</v>
      </c>
      <c r="L3" s="603">
        <f t="shared" si="0"/>
        <v>922490.2500000007</v>
      </c>
      <c r="M3" s="603">
        <f t="shared" si="0"/>
        <v>873940.16666666733</v>
      </c>
      <c r="N3" s="603">
        <f t="shared" si="0"/>
        <v>855390.08333333395</v>
      </c>
      <c r="O3" s="207"/>
    </row>
    <row r="4" spans="1:16" s="208" customFormat="1" ht="15" customHeight="1" x14ac:dyDescent="0.25">
      <c r="A4" s="54" t="s">
        <v>331</v>
      </c>
      <c r="B4" s="69">
        <f>+'1.mell. Mérleg'!E5</f>
        <v>514719</v>
      </c>
      <c r="C4" s="206">
        <f>+$B$4/12</f>
        <v>42893.25</v>
      </c>
      <c r="D4" s="206">
        <f t="shared" ref="D4:N4" si="1">+$B$4/12</f>
        <v>42893.25</v>
      </c>
      <c r="E4" s="206">
        <f t="shared" si="1"/>
        <v>42893.25</v>
      </c>
      <c r="F4" s="206">
        <f t="shared" si="1"/>
        <v>42893.25</v>
      </c>
      <c r="G4" s="206">
        <f t="shared" si="1"/>
        <v>42893.25</v>
      </c>
      <c r="H4" s="206">
        <f t="shared" si="1"/>
        <v>42893.25</v>
      </c>
      <c r="I4" s="206">
        <f t="shared" si="1"/>
        <v>42893.25</v>
      </c>
      <c r="J4" s="206">
        <f t="shared" si="1"/>
        <v>42893.25</v>
      </c>
      <c r="K4" s="206">
        <f t="shared" si="1"/>
        <v>42893.25</v>
      </c>
      <c r="L4" s="206">
        <f t="shared" si="1"/>
        <v>42893.25</v>
      </c>
      <c r="M4" s="206">
        <f t="shared" si="1"/>
        <v>42893.25</v>
      </c>
      <c r="N4" s="206">
        <f t="shared" si="1"/>
        <v>42893.25</v>
      </c>
      <c r="O4" s="207">
        <f>SUM(C4:N4)</f>
        <v>514719</v>
      </c>
    </row>
    <row r="5" spans="1:16" s="208" customFormat="1" ht="25.5" x14ac:dyDescent="0.25">
      <c r="A5" s="54" t="s">
        <v>205</v>
      </c>
      <c r="B5" s="69">
        <f>+'1.mell. Mérleg'!E6</f>
        <v>54845</v>
      </c>
      <c r="C5" s="206">
        <f>+$B$5/12</f>
        <v>4570.416666666667</v>
      </c>
      <c r="D5" s="206">
        <f t="shared" ref="D5:N5" si="2">+$B$5/12</f>
        <v>4570.416666666667</v>
      </c>
      <c r="E5" s="206">
        <f t="shared" si="2"/>
        <v>4570.416666666667</v>
      </c>
      <c r="F5" s="206">
        <f t="shared" si="2"/>
        <v>4570.416666666667</v>
      </c>
      <c r="G5" s="206">
        <f t="shared" si="2"/>
        <v>4570.416666666667</v>
      </c>
      <c r="H5" s="206">
        <f t="shared" si="2"/>
        <v>4570.416666666667</v>
      </c>
      <c r="I5" s="206">
        <f t="shared" si="2"/>
        <v>4570.416666666667</v>
      </c>
      <c r="J5" s="206">
        <f t="shared" si="2"/>
        <v>4570.416666666667</v>
      </c>
      <c r="K5" s="206">
        <f t="shared" si="2"/>
        <v>4570.416666666667</v>
      </c>
      <c r="L5" s="206">
        <f t="shared" si="2"/>
        <v>4570.416666666667</v>
      </c>
      <c r="M5" s="206">
        <f t="shared" si="2"/>
        <v>4570.416666666667</v>
      </c>
      <c r="N5" s="206">
        <f t="shared" si="2"/>
        <v>4570.416666666667</v>
      </c>
      <c r="O5" s="207">
        <f>SUM(C5:N5)</f>
        <v>54844.999999999993</v>
      </c>
    </row>
    <row r="6" spans="1:16" s="211" customFormat="1" ht="25.5" x14ac:dyDescent="0.25">
      <c r="A6" s="55" t="s">
        <v>329</v>
      </c>
      <c r="B6" s="73">
        <f>+B4+B5</f>
        <v>569564</v>
      </c>
      <c r="C6" s="209">
        <f>SUM(C4:C5)</f>
        <v>47463.666666666664</v>
      </c>
      <c r="D6" s="209">
        <f t="shared" ref="D6:O6" si="3">SUM(D4:D5)</f>
        <v>47463.666666666664</v>
      </c>
      <c r="E6" s="209">
        <f t="shared" si="3"/>
        <v>47463.666666666664</v>
      </c>
      <c r="F6" s="209">
        <f t="shared" si="3"/>
        <v>47463.666666666664</v>
      </c>
      <c r="G6" s="209">
        <f t="shared" si="3"/>
        <v>47463.666666666664</v>
      </c>
      <c r="H6" s="209">
        <f t="shared" si="3"/>
        <v>47463.666666666664</v>
      </c>
      <c r="I6" s="209">
        <f t="shared" si="3"/>
        <v>47463.666666666664</v>
      </c>
      <c r="J6" s="209">
        <f t="shared" si="3"/>
        <v>47463.666666666664</v>
      </c>
      <c r="K6" s="209">
        <f t="shared" si="3"/>
        <v>47463.666666666664</v>
      </c>
      <c r="L6" s="209">
        <f t="shared" si="3"/>
        <v>47463.666666666664</v>
      </c>
      <c r="M6" s="209">
        <f t="shared" si="3"/>
        <v>47463.666666666664</v>
      </c>
      <c r="N6" s="209">
        <f t="shared" si="3"/>
        <v>47463.666666666664</v>
      </c>
      <c r="O6" s="210">
        <f t="shared" si="3"/>
        <v>569564</v>
      </c>
      <c r="P6" s="208"/>
    </row>
    <row r="7" spans="1:16" s="208" customFormat="1" x14ac:dyDescent="0.25">
      <c r="A7" s="54" t="s">
        <v>220</v>
      </c>
      <c r="B7" s="69">
        <f>+'1.mell. Mérleg'!E10</f>
        <v>126000</v>
      </c>
      <c r="C7" s="206">
        <f>+$B$7/12</f>
        <v>10500</v>
      </c>
      <c r="D7" s="206">
        <f t="shared" ref="D7:N7" si="4">+$B$7/12</f>
        <v>10500</v>
      </c>
      <c r="E7" s="206">
        <f t="shared" si="4"/>
        <v>10500</v>
      </c>
      <c r="F7" s="206">
        <f t="shared" si="4"/>
        <v>10500</v>
      </c>
      <c r="G7" s="206">
        <f t="shared" si="4"/>
        <v>10500</v>
      </c>
      <c r="H7" s="206">
        <f t="shared" si="4"/>
        <v>10500</v>
      </c>
      <c r="I7" s="206">
        <f t="shared" si="4"/>
        <v>10500</v>
      </c>
      <c r="J7" s="206">
        <f t="shared" si="4"/>
        <v>10500</v>
      </c>
      <c r="K7" s="206">
        <f t="shared" si="4"/>
        <v>10500</v>
      </c>
      <c r="L7" s="206">
        <f t="shared" si="4"/>
        <v>10500</v>
      </c>
      <c r="M7" s="206">
        <f t="shared" si="4"/>
        <v>10500</v>
      </c>
      <c r="N7" s="206">
        <f t="shared" si="4"/>
        <v>10500</v>
      </c>
      <c r="O7" s="207">
        <f t="shared" ref="O7:O12" si="5">SUM(C7:N7)</f>
        <v>126000</v>
      </c>
    </row>
    <row r="8" spans="1:16" s="208" customFormat="1" x14ac:dyDescent="0.25">
      <c r="A8" s="54" t="s">
        <v>334</v>
      </c>
      <c r="B8" s="69">
        <f>+'1.mell. Mérleg'!E11</f>
        <v>160000</v>
      </c>
      <c r="C8" s="206">
        <f>+$B$8/12</f>
        <v>13333.333333333334</v>
      </c>
      <c r="D8" s="206">
        <f t="shared" ref="D8:N8" si="6">+$B$8/12</f>
        <v>13333.333333333334</v>
      </c>
      <c r="E8" s="206">
        <f t="shared" si="6"/>
        <v>13333.333333333334</v>
      </c>
      <c r="F8" s="206">
        <f t="shared" si="6"/>
        <v>13333.333333333334</v>
      </c>
      <c r="G8" s="206">
        <f t="shared" si="6"/>
        <v>13333.333333333334</v>
      </c>
      <c r="H8" s="206">
        <f t="shared" si="6"/>
        <v>13333.333333333334</v>
      </c>
      <c r="I8" s="206">
        <f t="shared" si="6"/>
        <v>13333.333333333334</v>
      </c>
      <c r="J8" s="206">
        <f t="shared" si="6"/>
        <v>13333.333333333334</v>
      </c>
      <c r="K8" s="206">
        <f t="shared" si="6"/>
        <v>13333.333333333334</v>
      </c>
      <c r="L8" s="206">
        <f t="shared" si="6"/>
        <v>13333.333333333334</v>
      </c>
      <c r="M8" s="206">
        <f t="shared" si="6"/>
        <v>13333.333333333334</v>
      </c>
      <c r="N8" s="206">
        <f t="shared" si="6"/>
        <v>13333.333333333334</v>
      </c>
      <c r="O8" s="207">
        <f t="shared" si="5"/>
        <v>160000</v>
      </c>
    </row>
    <row r="9" spans="1:16" s="208" customFormat="1" x14ac:dyDescent="0.25">
      <c r="A9" s="54" t="s">
        <v>233</v>
      </c>
      <c r="B9" s="69">
        <f>+'1.mell. Mérleg'!E12</f>
        <v>12459</v>
      </c>
      <c r="C9" s="206">
        <f>+$B$9/12</f>
        <v>1038.25</v>
      </c>
      <c r="D9" s="206">
        <f t="shared" ref="D9:N9" si="7">+$B$9/12</f>
        <v>1038.25</v>
      </c>
      <c r="E9" s="206">
        <f t="shared" si="7"/>
        <v>1038.25</v>
      </c>
      <c r="F9" s="206">
        <f t="shared" si="7"/>
        <v>1038.25</v>
      </c>
      <c r="G9" s="206">
        <f t="shared" si="7"/>
        <v>1038.25</v>
      </c>
      <c r="H9" s="206">
        <f t="shared" si="7"/>
        <v>1038.25</v>
      </c>
      <c r="I9" s="206">
        <f t="shared" si="7"/>
        <v>1038.25</v>
      </c>
      <c r="J9" s="206">
        <f t="shared" si="7"/>
        <v>1038.25</v>
      </c>
      <c r="K9" s="206">
        <f t="shared" si="7"/>
        <v>1038.25</v>
      </c>
      <c r="L9" s="206">
        <f t="shared" si="7"/>
        <v>1038.25</v>
      </c>
      <c r="M9" s="206">
        <f t="shared" si="7"/>
        <v>1038.25</v>
      </c>
      <c r="N9" s="206">
        <f t="shared" si="7"/>
        <v>1038.25</v>
      </c>
      <c r="O9" s="207">
        <f t="shared" si="5"/>
        <v>12459</v>
      </c>
    </row>
    <row r="10" spans="1:16" s="211" customFormat="1" x14ac:dyDescent="0.25">
      <c r="A10" s="55" t="s">
        <v>335</v>
      </c>
      <c r="B10" s="73">
        <f>SUM(B7:B9)</f>
        <v>298459</v>
      </c>
      <c r="C10" s="209">
        <f>SUM(C7:C9)</f>
        <v>24871.583333333336</v>
      </c>
      <c r="D10" s="209">
        <f t="shared" ref="D10:O10" si="8">SUM(D7:D9)</f>
        <v>24871.583333333336</v>
      </c>
      <c r="E10" s="209">
        <f t="shared" si="8"/>
        <v>24871.583333333336</v>
      </c>
      <c r="F10" s="209">
        <f t="shared" si="8"/>
        <v>24871.583333333336</v>
      </c>
      <c r="G10" s="209">
        <f t="shared" si="8"/>
        <v>24871.583333333336</v>
      </c>
      <c r="H10" s="209">
        <f t="shared" si="8"/>
        <v>24871.583333333336</v>
      </c>
      <c r="I10" s="209">
        <f t="shared" si="8"/>
        <v>24871.583333333336</v>
      </c>
      <c r="J10" s="209">
        <f t="shared" si="8"/>
        <v>24871.583333333336</v>
      </c>
      <c r="K10" s="209">
        <f t="shared" si="8"/>
        <v>24871.583333333336</v>
      </c>
      <c r="L10" s="209">
        <f t="shared" si="8"/>
        <v>24871.583333333336</v>
      </c>
      <c r="M10" s="209">
        <f t="shared" si="8"/>
        <v>24871.583333333336</v>
      </c>
      <c r="N10" s="209">
        <f t="shared" si="8"/>
        <v>24871.583333333336</v>
      </c>
      <c r="O10" s="210">
        <f t="shared" si="8"/>
        <v>298459</v>
      </c>
      <c r="P10" s="208"/>
    </row>
    <row r="11" spans="1:16" s="208" customFormat="1" x14ac:dyDescent="0.25">
      <c r="A11" s="54" t="s">
        <v>280</v>
      </c>
      <c r="B11" s="69">
        <f>+'1.mell. Mérleg'!E13</f>
        <v>103845</v>
      </c>
      <c r="C11" s="206">
        <f>+$B$11/12</f>
        <v>8653.75</v>
      </c>
      <c r="D11" s="206">
        <f t="shared" ref="D11:N11" si="9">+$B$11/12</f>
        <v>8653.75</v>
      </c>
      <c r="E11" s="206">
        <f t="shared" si="9"/>
        <v>8653.75</v>
      </c>
      <c r="F11" s="206">
        <f t="shared" si="9"/>
        <v>8653.75</v>
      </c>
      <c r="G11" s="206">
        <f t="shared" si="9"/>
        <v>8653.75</v>
      </c>
      <c r="H11" s="206">
        <f t="shared" si="9"/>
        <v>8653.75</v>
      </c>
      <c r="I11" s="206">
        <f t="shared" si="9"/>
        <v>8653.75</v>
      </c>
      <c r="J11" s="206">
        <f t="shared" si="9"/>
        <v>8653.75</v>
      </c>
      <c r="K11" s="206">
        <f t="shared" si="9"/>
        <v>8653.75</v>
      </c>
      <c r="L11" s="206">
        <f t="shared" si="9"/>
        <v>8653.75</v>
      </c>
      <c r="M11" s="206">
        <f t="shared" si="9"/>
        <v>8653.75</v>
      </c>
      <c r="N11" s="206">
        <f t="shared" si="9"/>
        <v>8653.75</v>
      </c>
      <c r="O11" s="207">
        <f t="shared" si="5"/>
        <v>103845</v>
      </c>
    </row>
    <row r="12" spans="1:16" s="208" customFormat="1" x14ac:dyDescent="0.25">
      <c r="A12" s="54" t="s">
        <v>278</v>
      </c>
      <c r="B12" s="69">
        <f>+'1.mell. Mérleg'!E14</f>
        <v>743</v>
      </c>
      <c r="C12" s="206">
        <f>+$B$12/12</f>
        <v>61.916666666666664</v>
      </c>
      <c r="D12" s="206">
        <f t="shared" ref="D12:N12" si="10">+$B$12/12</f>
        <v>61.916666666666664</v>
      </c>
      <c r="E12" s="206">
        <f t="shared" si="10"/>
        <v>61.916666666666664</v>
      </c>
      <c r="F12" s="206">
        <f t="shared" si="10"/>
        <v>61.916666666666664</v>
      </c>
      <c r="G12" s="206">
        <f t="shared" si="10"/>
        <v>61.916666666666664</v>
      </c>
      <c r="H12" s="206">
        <f t="shared" si="10"/>
        <v>61.916666666666664</v>
      </c>
      <c r="I12" s="206">
        <f t="shared" si="10"/>
        <v>61.916666666666664</v>
      </c>
      <c r="J12" s="206">
        <f t="shared" si="10"/>
        <v>61.916666666666664</v>
      </c>
      <c r="K12" s="206">
        <f t="shared" si="10"/>
        <v>61.916666666666664</v>
      </c>
      <c r="L12" s="206">
        <f t="shared" si="10"/>
        <v>61.916666666666664</v>
      </c>
      <c r="M12" s="206">
        <f t="shared" si="10"/>
        <v>61.916666666666664</v>
      </c>
      <c r="N12" s="206">
        <f t="shared" si="10"/>
        <v>61.916666666666664</v>
      </c>
      <c r="O12" s="207">
        <f t="shared" si="5"/>
        <v>742.99999999999989</v>
      </c>
    </row>
    <row r="13" spans="1:16" s="211" customFormat="1" x14ac:dyDescent="0.25">
      <c r="A13" s="212" t="s">
        <v>399</v>
      </c>
      <c r="B13" s="213">
        <f>+B12+B11+B10+B6</f>
        <v>972611</v>
      </c>
      <c r="C13" s="213">
        <f t="shared" ref="C13:O13" si="11">+C12+C11+C10+C6</f>
        <v>81050.916666666657</v>
      </c>
      <c r="D13" s="213">
        <f t="shared" si="11"/>
        <v>81050.916666666657</v>
      </c>
      <c r="E13" s="213">
        <f t="shared" si="11"/>
        <v>81050.916666666657</v>
      </c>
      <c r="F13" s="213">
        <f t="shared" si="11"/>
        <v>81050.916666666657</v>
      </c>
      <c r="G13" s="213">
        <f t="shared" si="11"/>
        <v>81050.916666666657</v>
      </c>
      <c r="H13" s="213">
        <f t="shared" si="11"/>
        <v>81050.916666666657</v>
      </c>
      <c r="I13" s="213">
        <f t="shared" si="11"/>
        <v>81050.916666666657</v>
      </c>
      <c r="J13" s="213">
        <f t="shared" si="11"/>
        <v>81050.916666666657</v>
      </c>
      <c r="K13" s="213">
        <f t="shared" si="11"/>
        <v>81050.916666666657</v>
      </c>
      <c r="L13" s="213">
        <f t="shared" si="11"/>
        <v>81050.916666666657</v>
      </c>
      <c r="M13" s="213">
        <f t="shared" si="11"/>
        <v>81050.916666666657</v>
      </c>
      <c r="N13" s="213">
        <f t="shared" si="11"/>
        <v>81050.916666666657</v>
      </c>
      <c r="O13" s="214">
        <f t="shared" si="11"/>
        <v>972611</v>
      </c>
      <c r="P13" s="208"/>
    </row>
    <row r="14" spans="1:16" s="208" customFormat="1" ht="25.5" x14ac:dyDescent="0.25">
      <c r="A14" s="54" t="s">
        <v>330</v>
      </c>
      <c r="B14" s="69">
        <f>+'1.mell. Mérleg'!E16</f>
        <v>196666</v>
      </c>
      <c r="C14" s="206"/>
      <c r="D14" s="206">
        <v>45835</v>
      </c>
      <c r="E14" s="206"/>
      <c r="F14" s="206"/>
      <c r="G14" s="206"/>
      <c r="H14" s="206">
        <v>31949</v>
      </c>
      <c r="I14" s="206"/>
      <c r="J14" s="206"/>
      <c r="K14" s="206"/>
      <c r="L14" s="206"/>
      <c r="M14" s="206"/>
      <c r="N14" s="206">
        <f>50000+68882</f>
        <v>118882</v>
      </c>
      <c r="O14" s="210">
        <f>SUM(C14:N14)</f>
        <v>196666</v>
      </c>
    </row>
    <row r="15" spans="1:16" s="208" customFormat="1" ht="14.1" customHeight="1" x14ac:dyDescent="0.25">
      <c r="A15" s="54" t="s">
        <v>279</v>
      </c>
      <c r="B15" s="69">
        <f>'1.mell. Mérleg'!E17</f>
        <v>61940</v>
      </c>
      <c r="C15" s="206">
        <v>9500</v>
      </c>
      <c r="D15" s="206">
        <v>0</v>
      </c>
      <c r="E15" s="206"/>
      <c r="F15" s="206"/>
      <c r="G15" s="206"/>
      <c r="H15" s="206"/>
      <c r="I15" s="206"/>
      <c r="J15" s="206"/>
      <c r="K15" s="206"/>
      <c r="L15" s="206"/>
      <c r="M15" s="206">
        <v>30000</v>
      </c>
      <c r="N15" s="206">
        <v>22440</v>
      </c>
      <c r="O15" s="210">
        <f>SUM(C15:N15)</f>
        <v>61940</v>
      </c>
    </row>
    <row r="16" spans="1:16" s="208" customFormat="1" ht="14.1" customHeight="1" x14ac:dyDescent="0.25">
      <c r="A16" s="54" t="s">
        <v>283</v>
      </c>
      <c r="B16" s="69">
        <f>+'1.mell. Mérleg'!E18</f>
        <v>720</v>
      </c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>
        <v>720</v>
      </c>
      <c r="O16" s="210">
        <f>SUM(C16:N16)</f>
        <v>720</v>
      </c>
    </row>
    <row r="17" spans="1:16" s="208" customFormat="1" ht="14.1" customHeight="1" x14ac:dyDescent="0.25">
      <c r="A17" s="212" t="s">
        <v>279</v>
      </c>
      <c r="B17" s="213">
        <f>+B16+B15+B14</f>
        <v>259326</v>
      </c>
      <c r="C17" s="213">
        <f t="shared" ref="C17:O17" si="12">+C16+C15+C14</f>
        <v>9500</v>
      </c>
      <c r="D17" s="213">
        <f t="shared" si="12"/>
        <v>45835</v>
      </c>
      <c r="E17" s="213">
        <f t="shared" si="12"/>
        <v>0</v>
      </c>
      <c r="F17" s="213">
        <f t="shared" si="12"/>
        <v>0</v>
      </c>
      <c r="G17" s="213">
        <f t="shared" si="12"/>
        <v>0</v>
      </c>
      <c r="H17" s="213">
        <f t="shared" si="12"/>
        <v>31949</v>
      </c>
      <c r="I17" s="213">
        <f t="shared" si="12"/>
        <v>0</v>
      </c>
      <c r="J17" s="213">
        <f t="shared" si="12"/>
        <v>0</v>
      </c>
      <c r="K17" s="213">
        <f t="shared" si="12"/>
        <v>0</v>
      </c>
      <c r="L17" s="213">
        <f t="shared" si="12"/>
        <v>0</v>
      </c>
      <c r="M17" s="213">
        <f t="shared" si="12"/>
        <v>30000</v>
      </c>
      <c r="N17" s="213">
        <f t="shared" si="12"/>
        <v>142042</v>
      </c>
      <c r="O17" s="214">
        <f t="shared" si="12"/>
        <v>259326</v>
      </c>
    </row>
    <row r="18" spans="1:16" s="208" customFormat="1" ht="26.25" customHeight="1" x14ac:dyDescent="0.25">
      <c r="A18" s="54" t="s">
        <v>723</v>
      </c>
      <c r="B18" s="69">
        <f>+'1.mell. Mérleg'!E21</f>
        <v>117500</v>
      </c>
      <c r="C18" s="206">
        <v>117500</v>
      </c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10">
        <f>SUM(C18:N18)</f>
        <v>117500</v>
      </c>
    </row>
    <row r="19" spans="1:16" s="208" customFormat="1" ht="14.1" customHeight="1" x14ac:dyDescent="0.25">
      <c r="A19" s="54" t="s">
        <v>383</v>
      </c>
      <c r="B19" s="69">
        <f>+'1.mell. Mérleg'!E23</f>
        <v>457469</v>
      </c>
      <c r="C19" s="206">
        <v>457469</v>
      </c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10">
        <f>SUM(C19:N19)</f>
        <v>457469</v>
      </c>
    </row>
    <row r="20" spans="1:16" s="208" customFormat="1" ht="14.1" customHeight="1" x14ac:dyDescent="0.25">
      <c r="A20" s="54" t="s">
        <v>384</v>
      </c>
      <c r="B20" s="69">
        <f>+'1.mell. Mérleg'!E24</f>
        <v>1214228</v>
      </c>
      <c r="C20" s="206">
        <v>1214228</v>
      </c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10">
        <f>SUM(C20:N20)</f>
        <v>1214228</v>
      </c>
    </row>
    <row r="21" spans="1:16" s="211" customFormat="1" ht="14.1" customHeight="1" x14ac:dyDescent="0.25">
      <c r="A21" s="55"/>
      <c r="B21" s="73">
        <f>+B20+B19</f>
        <v>1671697</v>
      </c>
      <c r="C21" s="73">
        <f t="shared" ref="C21:O21" si="13">+C20+C19</f>
        <v>1671697</v>
      </c>
      <c r="D21" s="73">
        <f t="shared" si="13"/>
        <v>0</v>
      </c>
      <c r="E21" s="73">
        <f t="shared" si="13"/>
        <v>0</v>
      </c>
      <c r="F21" s="73">
        <f t="shared" si="13"/>
        <v>0</v>
      </c>
      <c r="G21" s="73">
        <f t="shared" si="13"/>
        <v>0</v>
      </c>
      <c r="H21" s="73">
        <f t="shared" si="13"/>
        <v>0</v>
      </c>
      <c r="I21" s="73">
        <f t="shared" si="13"/>
        <v>0</v>
      </c>
      <c r="J21" s="73">
        <f t="shared" si="13"/>
        <v>0</v>
      </c>
      <c r="K21" s="73">
        <f t="shared" si="13"/>
        <v>0</v>
      </c>
      <c r="L21" s="73">
        <f t="shared" si="13"/>
        <v>0</v>
      </c>
      <c r="M21" s="73">
        <f t="shared" si="13"/>
        <v>0</v>
      </c>
      <c r="N21" s="73">
        <f t="shared" si="13"/>
        <v>0</v>
      </c>
      <c r="O21" s="215">
        <f t="shared" si="13"/>
        <v>1671697</v>
      </c>
      <c r="P21" s="208"/>
    </row>
    <row r="22" spans="1:16" s="208" customFormat="1" ht="14.1" customHeight="1" x14ac:dyDescent="0.25">
      <c r="A22" s="216" t="s">
        <v>286</v>
      </c>
      <c r="B22" s="213">
        <f>+B21+B18</f>
        <v>1789197</v>
      </c>
      <c r="C22" s="213">
        <f t="shared" ref="C22:O22" si="14">+C21+C18</f>
        <v>1789197</v>
      </c>
      <c r="D22" s="213">
        <f t="shared" si="14"/>
        <v>0</v>
      </c>
      <c r="E22" s="213">
        <f t="shared" si="14"/>
        <v>0</v>
      </c>
      <c r="F22" s="213">
        <f t="shared" si="14"/>
        <v>0</v>
      </c>
      <c r="G22" s="213">
        <f t="shared" si="14"/>
        <v>0</v>
      </c>
      <c r="H22" s="213">
        <f t="shared" si="14"/>
        <v>0</v>
      </c>
      <c r="I22" s="213">
        <f t="shared" si="14"/>
        <v>0</v>
      </c>
      <c r="J22" s="213">
        <f t="shared" si="14"/>
        <v>0</v>
      </c>
      <c r="K22" s="213">
        <f t="shared" si="14"/>
        <v>0</v>
      </c>
      <c r="L22" s="213">
        <f t="shared" si="14"/>
        <v>0</v>
      </c>
      <c r="M22" s="213">
        <f t="shared" si="14"/>
        <v>0</v>
      </c>
      <c r="N22" s="213">
        <f t="shared" si="14"/>
        <v>0</v>
      </c>
      <c r="O22" s="213">
        <f t="shared" si="14"/>
        <v>1789197</v>
      </c>
    </row>
    <row r="23" spans="1:16" s="205" customFormat="1" ht="15.95" customHeight="1" thickBot="1" x14ac:dyDescent="0.3">
      <c r="A23" s="217" t="s">
        <v>386</v>
      </c>
      <c r="B23" s="218">
        <f>+B22+B17+B13</f>
        <v>3021134</v>
      </c>
      <c r="C23" s="218">
        <f t="shared" ref="C23:O23" si="15">+C22+C17+C13</f>
        <v>1879747.9166666667</v>
      </c>
      <c r="D23" s="218">
        <f t="shared" si="15"/>
        <v>126885.91666666666</v>
      </c>
      <c r="E23" s="218">
        <f t="shared" si="15"/>
        <v>81050.916666666657</v>
      </c>
      <c r="F23" s="218">
        <f t="shared" si="15"/>
        <v>81050.916666666657</v>
      </c>
      <c r="G23" s="218">
        <f t="shared" si="15"/>
        <v>81050.916666666657</v>
      </c>
      <c r="H23" s="218">
        <f t="shared" si="15"/>
        <v>112999.91666666666</v>
      </c>
      <c r="I23" s="218">
        <f t="shared" si="15"/>
        <v>81050.916666666657</v>
      </c>
      <c r="J23" s="218">
        <f t="shared" si="15"/>
        <v>81050.916666666657</v>
      </c>
      <c r="K23" s="218">
        <f t="shared" si="15"/>
        <v>81050.916666666657</v>
      </c>
      <c r="L23" s="218">
        <f t="shared" si="15"/>
        <v>81050.916666666657</v>
      </c>
      <c r="M23" s="218">
        <f t="shared" si="15"/>
        <v>111050.91666666666</v>
      </c>
      <c r="N23" s="218">
        <f t="shared" si="15"/>
        <v>223092.91666666666</v>
      </c>
      <c r="O23" s="219">
        <f t="shared" si="15"/>
        <v>3021134</v>
      </c>
      <c r="P23" s="208"/>
    </row>
    <row r="24" spans="1:16" s="205" customFormat="1" ht="15" customHeight="1" thickBot="1" x14ac:dyDescent="0.3">
      <c r="A24" s="1383"/>
      <c r="B24" s="1383"/>
      <c r="C24" s="1383"/>
      <c r="D24" s="1383"/>
      <c r="E24" s="1383"/>
      <c r="F24" s="1383"/>
      <c r="G24" s="1383"/>
      <c r="H24" s="1383"/>
      <c r="I24" s="1383"/>
      <c r="J24" s="1383"/>
      <c r="K24" s="1383"/>
      <c r="L24" s="1383"/>
      <c r="M24" s="1383"/>
      <c r="N24" s="1383"/>
      <c r="O24" s="1383"/>
      <c r="P24" s="208"/>
    </row>
    <row r="25" spans="1:16" s="199" customFormat="1" ht="26.1" customHeight="1" x14ac:dyDescent="0.2">
      <c r="A25" s="202" t="s">
        <v>282</v>
      </c>
      <c r="B25" s="203" t="s">
        <v>467</v>
      </c>
      <c r="C25" s="202" t="s">
        <v>443</v>
      </c>
      <c r="D25" s="202" t="s">
        <v>444</v>
      </c>
      <c r="E25" s="202" t="s">
        <v>445</v>
      </c>
      <c r="F25" s="202" t="s">
        <v>446</v>
      </c>
      <c r="G25" s="202" t="s">
        <v>447</v>
      </c>
      <c r="H25" s="202" t="s">
        <v>448</v>
      </c>
      <c r="I25" s="202" t="s">
        <v>449</v>
      </c>
      <c r="J25" s="202" t="s">
        <v>468</v>
      </c>
      <c r="K25" s="202" t="s">
        <v>450</v>
      </c>
      <c r="L25" s="202" t="s">
        <v>451</v>
      </c>
      <c r="M25" s="202" t="s">
        <v>452</v>
      </c>
      <c r="N25" s="202" t="s">
        <v>453</v>
      </c>
      <c r="O25" s="204" t="s">
        <v>465</v>
      </c>
      <c r="P25" s="208"/>
    </row>
    <row r="26" spans="1:16" s="208" customFormat="1" ht="14.1" customHeight="1" x14ac:dyDescent="0.2">
      <c r="A26" s="107" t="s">
        <v>172</v>
      </c>
      <c r="B26" s="125">
        <f>+'1.mell. Mérleg'!E31</f>
        <v>362336</v>
      </c>
      <c r="C26" s="206">
        <f>+$B$26/12</f>
        <v>30194.666666666668</v>
      </c>
      <c r="D26" s="206">
        <f t="shared" ref="D26:N26" si="16">+$B$26/12</f>
        <v>30194.666666666668</v>
      </c>
      <c r="E26" s="206">
        <f t="shared" si="16"/>
        <v>30194.666666666668</v>
      </c>
      <c r="F26" s="206">
        <f t="shared" si="16"/>
        <v>30194.666666666668</v>
      </c>
      <c r="G26" s="206">
        <f t="shared" si="16"/>
        <v>30194.666666666668</v>
      </c>
      <c r="H26" s="206">
        <f t="shared" si="16"/>
        <v>30194.666666666668</v>
      </c>
      <c r="I26" s="206">
        <f t="shared" si="16"/>
        <v>30194.666666666668</v>
      </c>
      <c r="J26" s="206">
        <f t="shared" si="16"/>
        <v>30194.666666666668</v>
      </c>
      <c r="K26" s="206">
        <f t="shared" si="16"/>
        <v>30194.666666666668</v>
      </c>
      <c r="L26" s="206">
        <f t="shared" si="16"/>
        <v>30194.666666666668</v>
      </c>
      <c r="M26" s="206">
        <f t="shared" si="16"/>
        <v>30194.666666666668</v>
      </c>
      <c r="N26" s="206">
        <f t="shared" si="16"/>
        <v>30194.666666666668</v>
      </c>
      <c r="O26" s="207">
        <f t="shared" ref="O26:O31" si="17">SUM(C26:N26)</f>
        <v>362336.00000000006</v>
      </c>
    </row>
    <row r="27" spans="1:16" s="208" customFormat="1" ht="22.5" customHeight="1" x14ac:dyDescent="0.2">
      <c r="A27" s="107" t="s">
        <v>171</v>
      </c>
      <c r="B27" s="125">
        <f>+'1.mell. Mérleg'!E32</f>
        <v>76469</v>
      </c>
      <c r="C27" s="206">
        <f>+$B$27/12</f>
        <v>6372.416666666667</v>
      </c>
      <c r="D27" s="206">
        <f t="shared" ref="D27:N27" si="18">+$B$27/12</f>
        <v>6372.416666666667</v>
      </c>
      <c r="E27" s="206">
        <f t="shared" si="18"/>
        <v>6372.416666666667</v>
      </c>
      <c r="F27" s="206">
        <f t="shared" si="18"/>
        <v>6372.416666666667</v>
      </c>
      <c r="G27" s="206">
        <f t="shared" si="18"/>
        <v>6372.416666666667</v>
      </c>
      <c r="H27" s="206">
        <f t="shared" si="18"/>
        <v>6372.416666666667</v>
      </c>
      <c r="I27" s="206">
        <f t="shared" si="18"/>
        <v>6372.416666666667</v>
      </c>
      <c r="J27" s="206">
        <f t="shared" si="18"/>
        <v>6372.416666666667</v>
      </c>
      <c r="K27" s="206">
        <f t="shared" si="18"/>
        <v>6372.416666666667</v>
      </c>
      <c r="L27" s="206">
        <f t="shared" si="18"/>
        <v>6372.416666666667</v>
      </c>
      <c r="M27" s="206">
        <f t="shared" si="18"/>
        <v>6372.416666666667</v>
      </c>
      <c r="N27" s="206">
        <f t="shared" si="18"/>
        <v>6372.416666666667</v>
      </c>
      <c r="O27" s="207">
        <f t="shared" si="17"/>
        <v>76469</v>
      </c>
    </row>
    <row r="28" spans="1:16" s="208" customFormat="1" ht="14.1" customHeight="1" x14ac:dyDescent="0.2">
      <c r="A28" s="107" t="s">
        <v>151</v>
      </c>
      <c r="B28" s="125">
        <f>+'1.mell. Mérleg'!E33</f>
        <v>574284</v>
      </c>
      <c r="C28" s="206">
        <f>+$B$28/12</f>
        <v>47857</v>
      </c>
      <c r="D28" s="206">
        <f t="shared" ref="D28:N28" si="19">+$B$28/12</f>
        <v>47857</v>
      </c>
      <c r="E28" s="206">
        <f t="shared" si="19"/>
        <v>47857</v>
      </c>
      <c r="F28" s="206">
        <f t="shared" si="19"/>
        <v>47857</v>
      </c>
      <c r="G28" s="206">
        <f t="shared" si="19"/>
        <v>47857</v>
      </c>
      <c r="H28" s="206">
        <f t="shared" si="19"/>
        <v>47857</v>
      </c>
      <c r="I28" s="206">
        <f t="shared" si="19"/>
        <v>47857</v>
      </c>
      <c r="J28" s="206">
        <f t="shared" si="19"/>
        <v>47857</v>
      </c>
      <c r="K28" s="206">
        <f t="shared" si="19"/>
        <v>47857</v>
      </c>
      <c r="L28" s="206">
        <f t="shared" si="19"/>
        <v>47857</v>
      </c>
      <c r="M28" s="206">
        <f t="shared" si="19"/>
        <v>47857</v>
      </c>
      <c r="N28" s="206">
        <f t="shared" si="19"/>
        <v>47857</v>
      </c>
      <c r="O28" s="207">
        <f t="shared" si="17"/>
        <v>574284</v>
      </c>
    </row>
    <row r="29" spans="1:16" s="208" customFormat="1" ht="14.1" customHeight="1" x14ac:dyDescent="0.2">
      <c r="A29" s="108" t="s">
        <v>150</v>
      </c>
      <c r="B29" s="125">
        <f>+'1.mell. Mérleg'!E34</f>
        <v>16360</v>
      </c>
      <c r="C29" s="206">
        <f>+$B$29/12</f>
        <v>1363.3333333333333</v>
      </c>
      <c r="D29" s="206">
        <f t="shared" ref="D29:N29" si="20">+$B$29/12</f>
        <v>1363.3333333333333</v>
      </c>
      <c r="E29" s="206">
        <f t="shared" si="20"/>
        <v>1363.3333333333333</v>
      </c>
      <c r="F29" s="206">
        <f t="shared" si="20"/>
        <v>1363.3333333333333</v>
      </c>
      <c r="G29" s="206">
        <f t="shared" si="20"/>
        <v>1363.3333333333333</v>
      </c>
      <c r="H29" s="206">
        <f t="shared" si="20"/>
        <v>1363.3333333333333</v>
      </c>
      <c r="I29" s="206">
        <f t="shared" si="20"/>
        <v>1363.3333333333333</v>
      </c>
      <c r="J29" s="206">
        <f t="shared" si="20"/>
        <v>1363.3333333333333</v>
      </c>
      <c r="K29" s="206">
        <f t="shared" si="20"/>
        <v>1363.3333333333333</v>
      </c>
      <c r="L29" s="206">
        <f t="shared" si="20"/>
        <v>1363.3333333333333</v>
      </c>
      <c r="M29" s="206">
        <f t="shared" si="20"/>
        <v>1363.3333333333333</v>
      </c>
      <c r="N29" s="206">
        <f t="shared" si="20"/>
        <v>1363.3333333333333</v>
      </c>
      <c r="O29" s="207">
        <f t="shared" si="17"/>
        <v>16360.000000000002</v>
      </c>
    </row>
    <row r="30" spans="1:16" s="208" customFormat="1" ht="14.1" customHeight="1" x14ac:dyDescent="0.2">
      <c r="A30" s="107" t="s">
        <v>163</v>
      </c>
      <c r="B30" s="125">
        <f>+'1.mell. Mérleg'!E35</f>
        <v>323815</v>
      </c>
      <c r="C30" s="206">
        <f>+$B$30/12</f>
        <v>26984.583333333332</v>
      </c>
      <c r="D30" s="206">
        <f t="shared" ref="D30:N30" si="21">+$B$30/12</f>
        <v>26984.583333333332</v>
      </c>
      <c r="E30" s="206">
        <f t="shared" si="21"/>
        <v>26984.583333333332</v>
      </c>
      <c r="F30" s="206">
        <f t="shared" si="21"/>
        <v>26984.583333333332</v>
      </c>
      <c r="G30" s="206">
        <f t="shared" si="21"/>
        <v>26984.583333333332</v>
      </c>
      <c r="H30" s="206">
        <f t="shared" si="21"/>
        <v>26984.583333333332</v>
      </c>
      <c r="I30" s="206">
        <f t="shared" si="21"/>
        <v>26984.583333333332</v>
      </c>
      <c r="J30" s="206">
        <f t="shared" si="21"/>
        <v>26984.583333333332</v>
      </c>
      <c r="K30" s="206">
        <f t="shared" si="21"/>
        <v>26984.583333333332</v>
      </c>
      <c r="L30" s="206">
        <f t="shared" si="21"/>
        <v>26984.583333333332</v>
      </c>
      <c r="M30" s="206">
        <f t="shared" si="21"/>
        <v>26984.583333333332</v>
      </c>
      <c r="N30" s="206">
        <f t="shared" si="21"/>
        <v>26984.583333333332</v>
      </c>
      <c r="O30" s="207">
        <f t="shared" si="17"/>
        <v>323815</v>
      </c>
    </row>
    <row r="31" spans="1:16" s="208" customFormat="1" ht="14.1" customHeight="1" x14ac:dyDescent="0.2">
      <c r="A31" s="107" t="s">
        <v>421</v>
      </c>
      <c r="B31" s="125">
        <f>+'1.mell. Mérleg'!E36</f>
        <v>30950</v>
      </c>
      <c r="C31" s="206">
        <f>+$B$31/12</f>
        <v>2579.1666666666665</v>
      </c>
      <c r="D31" s="206">
        <f t="shared" ref="D31:N31" si="22">+$B$31/12</f>
        <v>2579.1666666666665</v>
      </c>
      <c r="E31" s="206">
        <f t="shared" si="22"/>
        <v>2579.1666666666665</v>
      </c>
      <c r="F31" s="206">
        <f t="shared" si="22"/>
        <v>2579.1666666666665</v>
      </c>
      <c r="G31" s="206">
        <f t="shared" si="22"/>
        <v>2579.1666666666665</v>
      </c>
      <c r="H31" s="206">
        <f t="shared" si="22"/>
        <v>2579.1666666666665</v>
      </c>
      <c r="I31" s="206">
        <f t="shared" si="22"/>
        <v>2579.1666666666665</v>
      </c>
      <c r="J31" s="206">
        <f t="shared" si="22"/>
        <v>2579.1666666666665</v>
      </c>
      <c r="K31" s="206">
        <f t="shared" si="22"/>
        <v>2579.1666666666665</v>
      </c>
      <c r="L31" s="206">
        <f t="shared" si="22"/>
        <v>2579.1666666666665</v>
      </c>
      <c r="M31" s="206">
        <f t="shared" si="22"/>
        <v>2579.1666666666665</v>
      </c>
      <c r="N31" s="206">
        <f t="shared" si="22"/>
        <v>2579.1666666666665</v>
      </c>
      <c r="O31" s="207">
        <f t="shared" si="17"/>
        <v>30950.000000000004</v>
      </c>
    </row>
    <row r="32" spans="1:16" s="208" customFormat="1" ht="14.1" customHeight="1" x14ac:dyDescent="0.25">
      <c r="A32" s="212" t="s">
        <v>411</v>
      </c>
      <c r="B32" s="220">
        <f>SUM(B26:B31)</f>
        <v>1384214</v>
      </c>
      <c r="C32" s="220">
        <f t="shared" ref="C32:O32" si="23">SUM(C26:C31)</f>
        <v>115351.16666666667</v>
      </c>
      <c r="D32" s="220">
        <f t="shared" si="23"/>
        <v>115351.16666666667</v>
      </c>
      <c r="E32" s="220">
        <f t="shared" si="23"/>
        <v>115351.16666666667</v>
      </c>
      <c r="F32" s="220">
        <f t="shared" si="23"/>
        <v>115351.16666666667</v>
      </c>
      <c r="G32" s="220">
        <f t="shared" si="23"/>
        <v>115351.16666666667</v>
      </c>
      <c r="H32" s="220">
        <f t="shared" si="23"/>
        <v>115351.16666666667</v>
      </c>
      <c r="I32" s="220">
        <f t="shared" si="23"/>
        <v>115351.16666666667</v>
      </c>
      <c r="J32" s="220">
        <f t="shared" si="23"/>
        <v>115351.16666666667</v>
      </c>
      <c r="K32" s="220">
        <f t="shared" si="23"/>
        <v>115351.16666666667</v>
      </c>
      <c r="L32" s="220">
        <f t="shared" si="23"/>
        <v>115351.16666666667</v>
      </c>
      <c r="M32" s="220">
        <f t="shared" si="23"/>
        <v>115351.16666666667</v>
      </c>
      <c r="N32" s="220">
        <f t="shared" si="23"/>
        <v>115351.16666666667</v>
      </c>
      <c r="O32" s="221">
        <f t="shared" si="23"/>
        <v>1384214</v>
      </c>
    </row>
    <row r="33" spans="1:16" s="208" customFormat="1" ht="14.1" customHeight="1" x14ac:dyDescent="0.2">
      <c r="A33" s="107" t="s">
        <v>161</v>
      </c>
      <c r="B33" s="125">
        <f>+'1.mell. Mérleg'!E38</f>
        <v>1444831</v>
      </c>
      <c r="C33" s="206"/>
      <c r="D33" s="206"/>
      <c r="E33" s="206"/>
      <c r="F33" s="206">
        <v>229935</v>
      </c>
      <c r="G33" s="206">
        <v>3973</v>
      </c>
      <c r="H33" s="206">
        <v>262041</v>
      </c>
      <c r="I33" s="206"/>
      <c r="J33" s="206"/>
      <c r="K33" s="206"/>
      <c r="L33" s="206"/>
      <c r="M33" s="206"/>
      <c r="N33" s="206">
        <f>998057-49175</f>
        <v>948882</v>
      </c>
      <c r="O33" s="207">
        <f>SUM(C33:N33)</f>
        <v>1444831</v>
      </c>
    </row>
    <row r="34" spans="1:16" s="208" customFormat="1" ht="14.1" customHeight="1" x14ac:dyDescent="0.2">
      <c r="A34" s="107" t="s">
        <v>160</v>
      </c>
      <c r="B34" s="125">
        <f>+'1.mell. Mérleg'!E39</f>
        <v>170998</v>
      </c>
      <c r="C34" s="206">
        <f>+$B$34/12</f>
        <v>14249.833333333334</v>
      </c>
      <c r="D34" s="206">
        <f t="shared" ref="D34:N34" si="24">+$B$34/12</f>
        <v>14249.833333333334</v>
      </c>
      <c r="E34" s="206">
        <f t="shared" si="24"/>
        <v>14249.833333333334</v>
      </c>
      <c r="F34" s="206">
        <f t="shared" si="24"/>
        <v>14249.833333333334</v>
      </c>
      <c r="G34" s="206">
        <f t="shared" si="24"/>
        <v>14249.833333333334</v>
      </c>
      <c r="H34" s="206">
        <f t="shared" si="24"/>
        <v>14249.833333333334</v>
      </c>
      <c r="I34" s="206">
        <f t="shared" si="24"/>
        <v>14249.833333333334</v>
      </c>
      <c r="J34" s="206">
        <f t="shared" si="24"/>
        <v>14249.833333333334</v>
      </c>
      <c r="K34" s="206">
        <f t="shared" si="24"/>
        <v>14249.833333333334</v>
      </c>
      <c r="L34" s="206">
        <f t="shared" si="24"/>
        <v>14249.833333333334</v>
      </c>
      <c r="M34" s="206">
        <f t="shared" si="24"/>
        <v>14249.833333333334</v>
      </c>
      <c r="N34" s="206">
        <f t="shared" si="24"/>
        <v>14249.833333333334</v>
      </c>
      <c r="O34" s="207">
        <f>SUM(C34:N34)</f>
        <v>170998</v>
      </c>
    </row>
    <row r="35" spans="1:16" s="208" customFormat="1" ht="14.1" customHeight="1" x14ac:dyDescent="0.2">
      <c r="A35" s="107" t="s">
        <v>158</v>
      </c>
      <c r="B35" s="125">
        <f>+'1.mell. Mérleg'!E40</f>
        <v>5000</v>
      </c>
      <c r="C35" s="206"/>
      <c r="D35" s="206"/>
      <c r="E35" s="206"/>
      <c r="F35" s="206"/>
      <c r="G35" s="206"/>
      <c r="H35" s="206"/>
      <c r="I35" s="206"/>
      <c r="J35" s="206"/>
      <c r="K35" s="206">
        <v>5000</v>
      </c>
      <c r="L35" s="206"/>
      <c r="M35" s="206"/>
      <c r="N35" s="206"/>
      <c r="O35" s="207">
        <f>SUM(C35:N35)</f>
        <v>5000</v>
      </c>
    </row>
    <row r="36" spans="1:16" s="208" customFormat="1" ht="14.1" customHeight="1" x14ac:dyDescent="0.2">
      <c r="A36" s="212" t="s">
        <v>413</v>
      </c>
      <c r="B36" s="222">
        <f>SUM(B33:B35)</f>
        <v>1620829</v>
      </c>
      <c r="C36" s="222">
        <f t="shared" ref="C36:O36" si="25">SUM(C33:C35)</f>
        <v>14249.833333333334</v>
      </c>
      <c r="D36" s="222">
        <f t="shared" si="25"/>
        <v>14249.833333333334</v>
      </c>
      <c r="E36" s="222">
        <f t="shared" si="25"/>
        <v>14249.833333333334</v>
      </c>
      <c r="F36" s="222">
        <f t="shared" si="25"/>
        <v>244184.83333333334</v>
      </c>
      <c r="G36" s="222">
        <f t="shared" si="25"/>
        <v>18222.833333333336</v>
      </c>
      <c r="H36" s="222">
        <f t="shared" si="25"/>
        <v>276290.83333333331</v>
      </c>
      <c r="I36" s="222">
        <f t="shared" si="25"/>
        <v>14249.833333333334</v>
      </c>
      <c r="J36" s="222">
        <f t="shared" si="25"/>
        <v>14249.833333333334</v>
      </c>
      <c r="K36" s="222">
        <f t="shared" si="25"/>
        <v>19249.833333333336</v>
      </c>
      <c r="L36" s="222">
        <f t="shared" si="25"/>
        <v>14249.833333333334</v>
      </c>
      <c r="M36" s="222">
        <f t="shared" si="25"/>
        <v>14249.833333333334</v>
      </c>
      <c r="N36" s="222">
        <f t="shared" si="25"/>
        <v>963131.83333333337</v>
      </c>
      <c r="O36" s="223">
        <f t="shared" si="25"/>
        <v>1620829</v>
      </c>
    </row>
    <row r="37" spans="1:16" s="208" customFormat="1" ht="14.1" customHeight="1" x14ac:dyDescent="0.2">
      <c r="A37" s="224" t="s">
        <v>277</v>
      </c>
      <c r="B37" s="222">
        <f>+'1.mell. Mérleg'!E42</f>
        <v>16091</v>
      </c>
      <c r="C37" s="225">
        <v>16091</v>
      </c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6">
        <f>SUM(C37:N37)</f>
        <v>16091</v>
      </c>
    </row>
    <row r="38" spans="1:16" s="205" customFormat="1" ht="15.95" customHeight="1" thickBot="1" x14ac:dyDescent="0.3">
      <c r="A38" s="218" t="s">
        <v>410</v>
      </c>
      <c r="B38" s="218">
        <f>+B37+B36+B32</f>
        <v>3021134</v>
      </c>
      <c r="C38" s="218">
        <f>+C37+C36+C32</f>
        <v>145692</v>
      </c>
      <c r="D38" s="218">
        <f t="shared" ref="D38:O38" si="26">+D37+D36+D32</f>
        <v>129601</v>
      </c>
      <c r="E38" s="218">
        <f t="shared" si="26"/>
        <v>129601</v>
      </c>
      <c r="F38" s="218">
        <f t="shared" si="26"/>
        <v>359536</v>
      </c>
      <c r="G38" s="218">
        <f t="shared" si="26"/>
        <v>133574</v>
      </c>
      <c r="H38" s="218">
        <f t="shared" si="26"/>
        <v>391642</v>
      </c>
      <c r="I38" s="218">
        <f t="shared" si="26"/>
        <v>129601</v>
      </c>
      <c r="J38" s="218">
        <f t="shared" si="26"/>
        <v>129601</v>
      </c>
      <c r="K38" s="218">
        <f t="shared" si="26"/>
        <v>134601</v>
      </c>
      <c r="L38" s="218">
        <f t="shared" si="26"/>
        <v>129601</v>
      </c>
      <c r="M38" s="218">
        <f t="shared" si="26"/>
        <v>129601</v>
      </c>
      <c r="N38" s="218">
        <f t="shared" si="26"/>
        <v>1078483</v>
      </c>
      <c r="O38" s="219">
        <f t="shared" si="26"/>
        <v>3021134</v>
      </c>
      <c r="P38" s="208"/>
    </row>
    <row r="39" spans="1:16" s="228" customFormat="1" ht="15.95" customHeight="1" thickBot="1" x14ac:dyDescent="0.3">
      <c r="A39" s="227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08"/>
    </row>
    <row r="40" spans="1:16" ht="13.5" thickBot="1" x14ac:dyDescent="0.25">
      <c r="A40" s="229" t="s">
        <v>469</v>
      </c>
      <c r="B40" s="230">
        <f>+B23-B38</f>
        <v>0</v>
      </c>
      <c r="C40" s="230">
        <f t="shared" ref="C40" si="27">+C23-C38</f>
        <v>1734055.9166666667</v>
      </c>
      <c r="D40" s="230">
        <f>+D3+D23-D38</f>
        <v>1731340.8333333335</v>
      </c>
      <c r="E40" s="230">
        <f t="shared" ref="E40:O40" si="28">+E3+E23-E38</f>
        <v>1682790.7500000002</v>
      </c>
      <c r="F40" s="230">
        <f t="shared" si="28"/>
        <v>1404305.666666667</v>
      </c>
      <c r="G40" s="230">
        <f t="shared" si="28"/>
        <v>1351782.5833333337</v>
      </c>
      <c r="H40" s="230">
        <f t="shared" si="28"/>
        <v>1073140.5000000005</v>
      </c>
      <c r="I40" s="230">
        <f t="shared" si="28"/>
        <v>1024590.4166666672</v>
      </c>
      <c r="J40" s="230">
        <f t="shared" si="28"/>
        <v>976040.33333333395</v>
      </c>
      <c r="K40" s="230">
        <f t="shared" si="28"/>
        <v>922490.2500000007</v>
      </c>
      <c r="L40" s="230">
        <f t="shared" si="28"/>
        <v>873940.16666666733</v>
      </c>
      <c r="M40" s="230">
        <f t="shared" si="28"/>
        <v>855390.08333333395</v>
      </c>
      <c r="N40" s="230">
        <f t="shared" si="28"/>
        <v>0</v>
      </c>
      <c r="O40" s="230">
        <f t="shared" si="28"/>
        <v>0</v>
      </c>
      <c r="P40" s="208"/>
    </row>
  </sheetData>
  <mergeCells count="1">
    <mergeCell ref="A24:O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Roman,Félkövér"&amp;12Előirányzat-felhasználási ütemterv 2019. évre 
&amp;"Times New Roman,Normál"(tervezett adatok alapján)  &amp;"Times New Roman,Félkövér"             &amp;R&amp;"Times New Roman,Félkövér"&amp;10&amp;K000000 11.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zoomScale="85" zoomScaleNormal="85" zoomScaleSheetLayoutView="50" workbookViewId="0">
      <pane xSplit="3" ySplit="4" topLeftCell="P5" activePane="bottomRight" state="frozen"/>
      <selection activeCell="B34" sqref="B34"/>
      <selection pane="topRight" activeCell="B34" sqref="B34"/>
      <selection pane="bottomLeft" activeCell="B34" sqref="B34"/>
      <selection pane="bottomRight" activeCell="P10" sqref="P10"/>
    </sheetView>
  </sheetViews>
  <sheetFormatPr defaultColWidth="9.140625" defaultRowHeight="12.75" x14ac:dyDescent="0.2"/>
  <cols>
    <col min="1" max="1" width="4.42578125" style="640" customWidth="1"/>
    <col min="2" max="2" width="18" style="674" bestFit="1" customWidth="1"/>
    <col min="3" max="3" width="45.5703125" style="640" customWidth="1"/>
    <col min="4" max="4" width="7.7109375" style="640" customWidth="1"/>
    <col min="5" max="5" width="7.5703125" style="640" customWidth="1"/>
    <col min="6" max="6" width="8.28515625" style="639" customWidth="1"/>
    <col min="7" max="7" width="7.42578125" style="640" customWidth="1"/>
    <col min="8" max="8" width="7.85546875" style="640" customWidth="1"/>
    <col min="9" max="9" width="6.5703125" style="640" customWidth="1"/>
    <col min="10" max="10" width="9.42578125" style="640" customWidth="1"/>
    <col min="11" max="11" width="10" style="1041" customWidth="1"/>
    <col min="12" max="12" width="9.140625" style="640" customWidth="1"/>
    <col min="13" max="13" width="7.28515625" style="640" customWidth="1"/>
    <col min="14" max="14" width="8.140625" style="640" customWidth="1"/>
    <col min="15" max="15" width="7.28515625" style="640" customWidth="1"/>
    <col min="16" max="16" width="9.28515625" style="639" customWidth="1"/>
    <col min="17" max="17" width="8.42578125" style="639" customWidth="1"/>
    <col min="18" max="19" width="9.85546875" style="639" customWidth="1"/>
    <col min="20" max="20" width="9.85546875" style="640" customWidth="1"/>
    <col min="21" max="21" width="9.5703125" style="640" bestFit="1" customWidth="1"/>
    <col min="22" max="22" width="8" style="640" customWidth="1"/>
    <col min="23" max="23" width="15" style="640" bestFit="1" customWidth="1"/>
    <col min="24" max="24" width="9" style="639" customWidth="1"/>
    <col min="25" max="25" width="7.85546875" style="640" customWidth="1"/>
    <col min="26" max="26" width="10.5703125" style="640" customWidth="1"/>
    <col min="27" max="27" width="8.7109375" style="640" customWidth="1"/>
    <col min="28" max="28" width="9.140625" style="640" customWidth="1"/>
    <col min="29" max="29" width="9.7109375" style="640" customWidth="1"/>
    <col min="30" max="30" width="11.42578125" style="640" customWidth="1"/>
    <col min="31" max="31" width="9.5703125" style="640" customWidth="1"/>
    <col min="32" max="33" width="9.28515625" style="640" customWidth="1"/>
    <col min="34" max="34" width="10.85546875" style="640" customWidth="1"/>
    <col min="35" max="35" width="11.140625" style="640" customWidth="1"/>
    <col min="36" max="40" width="9.140625" style="640" customWidth="1"/>
    <col min="41" max="16384" width="9.140625" style="640"/>
  </cols>
  <sheetData>
    <row r="1" spans="1:35" ht="13.5" thickBot="1" x14ac:dyDescent="0.25">
      <c r="A1" s="1391"/>
      <c r="B1" s="1391"/>
      <c r="C1" s="1391"/>
      <c r="D1" s="1391"/>
      <c r="E1" s="1391"/>
      <c r="F1" s="1391"/>
      <c r="G1" s="1391"/>
      <c r="H1" s="1391"/>
      <c r="I1" s="1391"/>
      <c r="J1" s="1391"/>
      <c r="K1" s="1391"/>
      <c r="L1" s="1391"/>
      <c r="M1" s="1391"/>
      <c r="N1" s="1391"/>
      <c r="O1" s="1391"/>
      <c r="P1" s="1391"/>
      <c r="Q1" s="1391"/>
      <c r="R1" s="1391"/>
      <c r="S1" s="1391"/>
      <c r="T1" s="1391"/>
      <c r="U1" s="1391"/>
      <c r="V1" s="1391"/>
      <c r="W1" s="1391"/>
      <c r="AG1" s="1392" t="s">
        <v>391</v>
      </c>
      <c r="AH1" s="1392"/>
      <c r="AI1" s="1392"/>
    </row>
    <row r="2" spans="1:35" ht="16.5" customHeight="1" x14ac:dyDescent="0.2">
      <c r="A2" s="1393" t="s">
        <v>680</v>
      </c>
      <c r="B2" s="1395"/>
      <c r="C2" s="1398" t="s">
        <v>728</v>
      </c>
      <c r="D2" s="1399" t="s">
        <v>309</v>
      </c>
      <c r="E2" s="1399"/>
      <c r="F2" s="1399"/>
      <c r="G2" s="1399"/>
      <c r="H2" s="1399"/>
      <c r="I2" s="1399"/>
      <c r="J2" s="1399"/>
      <c r="K2" s="1399"/>
      <c r="L2" s="1399"/>
      <c r="M2" s="1399"/>
      <c r="N2" s="1399"/>
      <c r="O2" s="1399"/>
      <c r="P2" s="1399"/>
      <c r="Q2" s="1399"/>
      <c r="R2" s="1399"/>
      <c r="S2" s="1399"/>
      <c r="T2" s="1399"/>
      <c r="U2" s="1252"/>
      <c r="V2" s="1013"/>
      <c r="W2" s="1400" t="s">
        <v>288</v>
      </c>
      <c r="X2" s="1399" t="s">
        <v>302</v>
      </c>
      <c r="Y2" s="1399"/>
      <c r="Z2" s="1399"/>
      <c r="AA2" s="1399"/>
      <c r="AB2" s="1399"/>
      <c r="AC2" s="1399"/>
      <c r="AD2" s="1399"/>
      <c r="AE2" s="1399"/>
      <c r="AF2" s="1399"/>
      <c r="AG2" s="1399"/>
      <c r="AH2" s="1399"/>
      <c r="AI2" s="1402" t="s">
        <v>729</v>
      </c>
    </row>
    <row r="3" spans="1:35" ht="25.5" customHeight="1" x14ac:dyDescent="0.2">
      <c r="A3" s="1394"/>
      <c r="B3" s="1396"/>
      <c r="C3" s="1384"/>
      <c r="D3" s="1384" t="s">
        <v>730</v>
      </c>
      <c r="E3" s="1384" t="s">
        <v>731</v>
      </c>
      <c r="F3" s="1386" t="s">
        <v>151</v>
      </c>
      <c r="G3" s="1384" t="s">
        <v>732</v>
      </c>
      <c r="H3" s="1384" t="s">
        <v>163</v>
      </c>
      <c r="I3" s="1385"/>
      <c r="J3" s="1384" t="s">
        <v>733</v>
      </c>
      <c r="K3" s="1390" t="s">
        <v>734</v>
      </c>
      <c r="L3" s="1384" t="s">
        <v>735</v>
      </c>
      <c r="M3" s="1384" t="s">
        <v>736</v>
      </c>
      <c r="N3" s="1384" t="s">
        <v>737</v>
      </c>
      <c r="O3" s="1384" t="s">
        <v>738</v>
      </c>
      <c r="P3" s="1386" t="s">
        <v>618</v>
      </c>
      <c r="Q3" s="1386" t="s">
        <v>739</v>
      </c>
      <c r="R3" s="1386" t="s">
        <v>801</v>
      </c>
      <c r="S3" s="1386" t="s">
        <v>741</v>
      </c>
      <c r="T3" s="1388" t="s">
        <v>875</v>
      </c>
      <c r="U3" s="1384" t="s">
        <v>802</v>
      </c>
      <c r="V3" s="1384" t="s">
        <v>743</v>
      </c>
      <c r="W3" s="1401"/>
      <c r="X3" s="1384" t="s">
        <v>744</v>
      </c>
      <c r="Y3" s="1384" t="s">
        <v>745</v>
      </c>
      <c r="Z3" s="1384" t="s">
        <v>746</v>
      </c>
      <c r="AA3" s="1384" t="s">
        <v>747</v>
      </c>
      <c r="AB3" s="1384" t="s">
        <v>748</v>
      </c>
      <c r="AC3" s="1384" t="s">
        <v>646</v>
      </c>
      <c r="AD3" s="1384" t="s">
        <v>749</v>
      </c>
      <c r="AE3" s="1384" t="s">
        <v>750</v>
      </c>
      <c r="AF3" s="1384" t="s">
        <v>751</v>
      </c>
      <c r="AG3" s="1384" t="s">
        <v>752</v>
      </c>
      <c r="AH3" s="1384" t="s">
        <v>779</v>
      </c>
      <c r="AI3" s="1403"/>
    </row>
    <row r="4" spans="1:35" ht="35.25" customHeight="1" x14ac:dyDescent="0.2">
      <c r="A4" s="1394"/>
      <c r="B4" s="1397"/>
      <c r="C4" s="1384"/>
      <c r="D4" s="1384"/>
      <c r="E4" s="1384"/>
      <c r="F4" s="1386"/>
      <c r="G4" s="1384"/>
      <c r="H4" s="1025" t="s">
        <v>753</v>
      </c>
      <c r="I4" s="1025" t="s">
        <v>754</v>
      </c>
      <c r="J4" s="1384"/>
      <c r="K4" s="1390"/>
      <c r="L4" s="1384"/>
      <c r="M4" s="1319"/>
      <c r="N4" s="1384"/>
      <c r="O4" s="1384"/>
      <c r="P4" s="1386"/>
      <c r="Q4" s="1386"/>
      <c r="R4" s="1386"/>
      <c r="S4" s="1387"/>
      <c r="T4" s="1389"/>
      <c r="U4" s="1319"/>
      <c r="V4" s="1384"/>
      <c r="W4" s="1401"/>
      <c r="X4" s="1384"/>
      <c r="Y4" s="1384"/>
      <c r="Z4" s="1385"/>
      <c r="AA4" s="1385"/>
      <c r="AB4" s="1384"/>
      <c r="AC4" s="1385"/>
      <c r="AD4" s="1385"/>
      <c r="AE4" s="1385"/>
      <c r="AF4" s="1384"/>
      <c r="AG4" s="1384"/>
      <c r="AH4" s="1384"/>
      <c r="AI4" s="1403"/>
    </row>
    <row r="5" spans="1:35" s="1100" customFormat="1" ht="42.6" customHeight="1" x14ac:dyDescent="0.25">
      <c r="A5" s="1014" t="s">
        <v>308</v>
      </c>
      <c r="B5" s="1097" t="s">
        <v>1050</v>
      </c>
      <c r="C5" s="675" t="s">
        <v>995</v>
      </c>
      <c r="D5" s="1098">
        <f>14+44+6+35+21+4+61+95+23</f>
        <v>303</v>
      </c>
      <c r="E5" s="686">
        <f>5+17+2+17+8+1+25+38+9</f>
        <v>122</v>
      </c>
      <c r="F5" s="686">
        <f>-19-61-8-52-29-5-86-133-32</f>
        <v>-425</v>
      </c>
      <c r="G5" s="686"/>
      <c r="H5" s="686"/>
      <c r="I5" s="686"/>
      <c r="J5" s="686"/>
      <c r="K5" s="1099"/>
      <c r="L5" s="686"/>
      <c r="M5" s="874"/>
      <c r="N5" s="686"/>
      <c r="O5" s="874"/>
      <c r="P5" s="686"/>
      <c r="Q5" s="686"/>
      <c r="R5" s="686"/>
      <c r="S5" s="686"/>
      <c r="T5" s="686"/>
      <c r="U5" s="686"/>
      <c r="V5" s="874"/>
      <c r="W5" s="1031">
        <f t="shared" ref="W5:W56" si="0">SUM(D5:V5)</f>
        <v>0</v>
      </c>
      <c r="X5" s="684"/>
      <c r="Z5" s="686"/>
      <c r="AA5" s="874"/>
      <c r="AB5" s="874"/>
      <c r="AC5" s="874"/>
      <c r="AD5" s="874"/>
      <c r="AE5" s="874"/>
      <c r="AF5" s="874"/>
      <c r="AG5" s="874"/>
      <c r="AI5" s="1033">
        <f>SUM(X5:AH5)</f>
        <v>0</v>
      </c>
    </row>
    <row r="6" spans="1:35" s="639" customFormat="1" ht="15" customHeight="1" x14ac:dyDescent="0.2">
      <c r="A6" s="1014" t="s">
        <v>401</v>
      </c>
      <c r="B6" s="685" t="s">
        <v>976</v>
      </c>
      <c r="C6" s="648" t="s">
        <v>977</v>
      </c>
      <c r="D6" s="645"/>
      <c r="E6" s="645"/>
      <c r="F6" s="645">
        <v>15</v>
      </c>
      <c r="G6" s="645"/>
      <c r="H6" s="645"/>
      <c r="I6" s="645"/>
      <c r="J6" s="645">
        <v>302</v>
      </c>
      <c r="K6" s="886"/>
      <c r="L6" s="646"/>
      <c r="M6" s="646"/>
      <c r="N6" s="645"/>
      <c r="O6" s="646"/>
      <c r="P6" s="645"/>
      <c r="Q6" s="646"/>
      <c r="R6" s="645"/>
      <c r="S6" s="645">
        <v>-317</v>
      </c>
      <c r="T6" s="645"/>
      <c r="U6" s="645"/>
      <c r="V6" s="646"/>
      <c r="W6" s="1026">
        <f t="shared" si="0"/>
        <v>0</v>
      </c>
      <c r="X6" s="644"/>
      <c r="Y6" s="645"/>
      <c r="Z6" s="645"/>
      <c r="AA6" s="646"/>
      <c r="AB6" s="646"/>
      <c r="AC6" s="646"/>
      <c r="AD6" s="646"/>
      <c r="AE6" s="646"/>
      <c r="AF6" s="646"/>
      <c r="AG6" s="646"/>
      <c r="AH6" s="646"/>
      <c r="AI6" s="1027">
        <f t="shared" ref="AI6:AI57" si="1">SUM(X6:AH6)</f>
        <v>0</v>
      </c>
    </row>
    <row r="7" spans="1:35" s="639" customFormat="1" x14ac:dyDescent="0.2">
      <c r="A7" s="1014" t="s">
        <v>457</v>
      </c>
      <c r="B7" s="685" t="s">
        <v>978</v>
      </c>
      <c r="C7" s="648" t="s">
        <v>979</v>
      </c>
      <c r="D7" s="645"/>
      <c r="E7" s="645"/>
      <c r="F7" s="645">
        <v>-110</v>
      </c>
      <c r="G7" s="645"/>
      <c r="H7" s="645"/>
      <c r="I7" s="645"/>
      <c r="J7" s="645">
        <v>110</v>
      </c>
      <c r="K7" s="886"/>
      <c r="L7" s="646"/>
      <c r="M7" s="646"/>
      <c r="N7" s="645"/>
      <c r="O7" s="646"/>
      <c r="P7" s="645"/>
      <c r="Q7" s="646"/>
      <c r="R7" s="645"/>
      <c r="S7" s="645"/>
      <c r="T7" s="645"/>
      <c r="U7" s="645"/>
      <c r="V7" s="646"/>
      <c r="W7" s="1026">
        <f t="shared" si="0"/>
        <v>0</v>
      </c>
      <c r="X7" s="644"/>
      <c r="Y7" s="645"/>
      <c r="Z7" s="645"/>
      <c r="AA7" s="645"/>
      <c r="AB7" s="646"/>
      <c r="AC7" s="645"/>
      <c r="AD7" s="646"/>
      <c r="AE7" s="645"/>
      <c r="AF7" s="646"/>
      <c r="AG7" s="646"/>
      <c r="AH7" s="646"/>
      <c r="AI7" s="1027">
        <f t="shared" si="1"/>
        <v>0</v>
      </c>
    </row>
    <row r="8" spans="1:35" s="639" customFormat="1" x14ac:dyDescent="0.2">
      <c r="A8" s="1014" t="s">
        <v>458</v>
      </c>
      <c r="B8" s="685" t="s">
        <v>980</v>
      </c>
      <c r="C8" s="648" t="s">
        <v>981</v>
      </c>
      <c r="D8" s="645"/>
      <c r="E8" s="645"/>
      <c r="F8" s="645"/>
      <c r="G8" s="645"/>
      <c r="H8" s="645">
        <v>1736</v>
      </c>
      <c r="I8" s="645"/>
      <c r="J8" s="645"/>
      <c r="K8" s="886"/>
      <c r="L8" s="646"/>
      <c r="M8" s="646"/>
      <c r="N8" s="645"/>
      <c r="O8" s="646"/>
      <c r="P8" s="645"/>
      <c r="Q8" s="645"/>
      <c r="R8" s="645"/>
      <c r="S8" s="645"/>
      <c r="T8" s="645"/>
      <c r="U8" s="646"/>
      <c r="V8" s="646"/>
      <c r="W8" s="1026">
        <f t="shared" si="0"/>
        <v>1736</v>
      </c>
      <c r="X8" s="644"/>
      <c r="Y8" s="645"/>
      <c r="Z8" s="645">
        <v>1736</v>
      </c>
      <c r="AA8" s="645"/>
      <c r="AB8" s="646"/>
      <c r="AC8" s="646"/>
      <c r="AD8" s="646"/>
      <c r="AE8" s="645"/>
      <c r="AF8" s="646"/>
      <c r="AG8" s="646"/>
      <c r="AH8" s="646"/>
      <c r="AI8" s="1027">
        <f t="shared" si="1"/>
        <v>1736</v>
      </c>
    </row>
    <row r="9" spans="1:35" s="639" customFormat="1" x14ac:dyDescent="0.2">
      <c r="A9" s="1014" t="s">
        <v>459</v>
      </c>
      <c r="B9" s="685" t="s">
        <v>1011</v>
      </c>
      <c r="C9" s="648" t="s">
        <v>982</v>
      </c>
      <c r="D9" s="645"/>
      <c r="E9" s="645"/>
      <c r="F9" s="645">
        <f>46+26</f>
        <v>72</v>
      </c>
      <c r="G9" s="645"/>
      <c r="H9" s="645"/>
      <c r="I9" s="645"/>
      <c r="J9" s="645"/>
      <c r="K9" s="886"/>
      <c r="L9" s="646"/>
      <c r="M9" s="646"/>
      <c r="N9" s="645"/>
      <c r="O9" s="646"/>
      <c r="P9" s="645"/>
      <c r="Q9" s="646"/>
      <c r="R9" s="645"/>
      <c r="S9" s="645"/>
      <c r="T9" s="645"/>
      <c r="U9" s="646"/>
      <c r="V9" s="646"/>
      <c r="W9" s="1026">
        <f t="shared" si="0"/>
        <v>72</v>
      </c>
      <c r="X9" s="644"/>
      <c r="Y9" s="645">
        <f>46+26</f>
        <v>72</v>
      </c>
      <c r="Z9" s="645"/>
      <c r="AA9" s="646"/>
      <c r="AB9" s="646"/>
      <c r="AC9" s="646"/>
      <c r="AD9" s="646"/>
      <c r="AE9" s="645"/>
      <c r="AF9" s="646"/>
      <c r="AG9" s="646"/>
      <c r="AH9" s="646"/>
      <c r="AI9" s="1027">
        <f t="shared" si="1"/>
        <v>72</v>
      </c>
    </row>
    <row r="10" spans="1:35" s="639" customFormat="1" x14ac:dyDescent="0.2">
      <c r="A10" s="1014" t="s">
        <v>460</v>
      </c>
      <c r="B10" s="685" t="s">
        <v>983</v>
      </c>
      <c r="C10" s="648" t="s">
        <v>984</v>
      </c>
      <c r="D10" s="645"/>
      <c r="E10" s="645"/>
      <c r="F10" s="645">
        <v>402</v>
      </c>
      <c r="G10" s="645"/>
      <c r="H10" s="645"/>
      <c r="I10" s="645"/>
      <c r="J10" s="645"/>
      <c r="K10" s="886"/>
      <c r="L10" s="646"/>
      <c r="M10" s="646"/>
      <c r="N10" s="645"/>
      <c r="O10" s="646"/>
      <c r="P10" s="645">
        <v>-402</v>
      </c>
      <c r="Q10" s="646"/>
      <c r="R10" s="645"/>
      <c r="S10" s="645"/>
      <c r="T10" s="645"/>
      <c r="U10" s="646"/>
      <c r="V10" s="646"/>
      <c r="W10" s="1026">
        <f t="shared" si="0"/>
        <v>0</v>
      </c>
      <c r="X10" s="644"/>
      <c r="Y10" s="645"/>
      <c r="Z10" s="645"/>
      <c r="AA10" s="646"/>
      <c r="AB10" s="645"/>
      <c r="AC10" s="646"/>
      <c r="AD10" s="645"/>
      <c r="AE10" s="645"/>
      <c r="AF10" s="646"/>
      <c r="AG10" s="646"/>
      <c r="AH10" s="646"/>
      <c r="AI10" s="1027">
        <f t="shared" si="1"/>
        <v>0</v>
      </c>
    </row>
    <row r="11" spans="1:35" s="639" customFormat="1" x14ac:dyDescent="0.2">
      <c r="A11" s="1014" t="s">
        <v>461</v>
      </c>
      <c r="B11" s="685" t="s">
        <v>985</v>
      </c>
      <c r="C11" s="648" t="s">
        <v>986</v>
      </c>
      <c r="D11" s="645"/>
      <c r="E11" s="645"/>
      <c r="F11" s="645">
        <v>32040</v>
      </c>
      <c r="G11" s="645"/>
      <c r="H11" s="645"/>
      <c r="I11" s="645"/>
      <c r="J11" s="645"/>
      <c r="K11" s="886"/>
      <c r="L11" s="646"/>
      <c r="M11" s="646"/>
      <c r="N11" s="645"/>
      <c r="O11" s="646"/>
      <c r="P11" s="645"/>
      <c r="Q11" s="646"/>
      <c r="R11" s="645"/>
      <c r="S11" s="645"/>
      <c r="T11" s="645"/>
      <c r="U11" s="645"/>
      <c r="V11" s="646"/>
      <c r="W11" s="1026">
        <f t="shared" si="0"/>
        <v>32040</v>
      </c>
      <c r="X11" s="644"/>
      <c r="Y11" s="645"/>
      <c r="Z11" s="645"/>
      <c r="AA11" s="645"/>
      <c r="AB11" s="646"/>
      <c r="AC11" s="645">
        <v>32040</v>
      </c>
      <c r="AD11" s="646"/>
      <c r="AE11" s="645"/>
      <c r="AF11" s="646"/>
      <c r="AG11" s="646"/>
      <c r="AH11" s="646"/>
      <c r="AI11" s="1027">
        <f t="shared" si="1"/>
        <v>32040</v>
      </c>
    </row>
    <row r="12" spans="1:35" s="639" customFormat="1" ht="12.75" customHeight="1" x14ac:dyDescent="0.2">
      <c r="A12" s="1014" t="s">
        <v>462</v>
      </c>
      <c r="B12" s="685" t="s">
        <v>987</v>
      </c>
      <c r="C12" s="648" t="s">
        <v>988</v>
      </c>
      <c r="D12" s="645"/>
      <c r="E12" s="645"/>
      <c r="F12" s="645">
        <v>-3781</v>
      </c>
      <c r="G12" s="645"/>
      <c r="H12" s="645"/>
      <c r="I12" s="645"/>
      <c r="J12" s="645"/>
      <c r="K12" s="886"/>
      <c r="L12" s="646"/>
      <c r="M12" s="646"/>
      <c r="N12" s="645"/>
      <c r="O12" s="646"/>
      <c r="P12" s="645"/>
      <c r="Q12" s="646"/>
      <c r="R12" s="645"/>
      <c r="S12" s="645"/>
      <c r="T12" s="645"/>
      <c r="U12" s="645">
        <v>3781</v>
      </c>
      <c r="V12" s="646"/>
      <c r="W12" s="1026">
        <f t="shared" si="0"/>
        <v>0</v>
      </c>
      <c r="X12" s="644"/>
      <c r="Y12" s="645"/>
      <c r="Z12" s="645"/>
      <c r="AA12" s="645"/>
      <c r="AB12" s="646"/>
      <c r="AC12" s="646"/>
      <c r="AD12" s="646"/>
      <c r="AE12" s="645"/>
      <c r="AF12" s="646"/>
      <c r="AG12" s="646"/>
      <c r="AH12" s="646"/>
      <c r="AI12" s="1027">
        <f t="shared" si="1"/>
        <v>0</v>
      </c>
    </row>
    <row r="13" spans="1:35" s="639" customFormat="1" ht="12.75" customHeight="1" x14ac:dyDescent="0.2">
      <c r="A13" s="1014" t="s">
        <v>463</v>
      </c>
      <c r="B13" s="685" t="s">
        <v>1020</v>
      </c>
      <c r="C13" s="648" t="s">
        <v>989</v>
      </c>
      <c r="D13" s="645"/>
      <c r="E13" s="645"/>
      <c r="F13" s="645">
        <f>47+193</f>
        <v>240</v>
      </c>
      <c r="G13" s="645"/>
      <c r="H13" s="645"/>
      <c r="I13" s="645"/>
      <c r="J13" s="645"/>
      <c r="K13" s="886"/>
      <c r="L13" s="646"/>
      <c r="M13" s="645"/>
      <c r="N13" s="645"/>
      <c r="O13" s="646"/>
      <c r="P13" s="645"/>
      <c r="Q13" s="645"/>
      <c r="R13" s="645"/>
      <c r="S13" s="645"/>
      <c r="T13" s="645"/>
      <c r="U13" s="645"/>
      <c r="V13" s="645"/>
      <c r="W13" s="1026">
        <f t="shared" si="0"/>
        <v>240</v>
      </c>
      <c r="X13" s="644"/>
      <c r="Y13" s="645">
        <f>47+193</f>
        <v>240</v>
      </c>
      <c r="Z13" s="645"/>
      <c r="AA13" s="646"/>
      <c r="AB13" s="646"/>
      <c r="AC13" s="646"/>
      <c r="AD13" s="646"/>
      <c r="AE13" s="645"/>
      <c r="AF13" s="646"/>
      <c r="AG13" s="646"/>
      <c r="AH13" s="645"/>
      <c r="AI13" s="1027">
        <f t="shared" si="1"/>
        <v>240</v>
      </c>
    </row>
    <row r="14" spans="1:35" ht="13.9" customHeight="1" x14ac:dyDescent="0.2">
      <c r="A14" s="1014" t="s">
        <v>464</v>
      </c>
      <c r="B14" s="685" t="s">
        <v>990</v>
      </c>
      <c r="C14" s="648" t="s">
        <v>991</v>
      </c>
      <c r="D14" s="645"/>
      <c r="E14" s="645"/>
      <c r="F14" s="645">
        <v>-350</v>
      </c>
      <c r="G14" s="645"/>
      <c r="H14" s="645"/>
      <c r="I14" s="645"/>
      <c r="J14" s="645">
        <v>350</v>
      </c>
      <c r="K14" s="886"/>
      <c r="L14" s="645"/>
      <c r="M14" s="645"/>
      <c r="N14" s="645"/>
      <c r="O14" s="645"/>
      <c r="P14" s="645"/>
      <c r="Q14" s="645"/>
      <c r="R14" s="645"/>
      <c r="S14" s="645"/>
      <c r="T14" s="645"/>
      <c r="U14" s="645"/>
      <c r="V14" s="1028"/>
      <c r="W14" s="1026">
        <f t="shared" si="0"/>
        <v>0</v>
      </c>
      <c r="X14" s="644"/>
      <c r="Y14" s="1028"/>
      <c r="Z14" s="1028"/>
      <c r="AA14" s="1028"/>
      <c r="AB14" s="1028"/>
      <c r="AC14" s="1028"/>
      <c r="AD14" s="1028"/>
      <c r="AE14" s="1028"/>
      <c r="AF14" s="1028"/>
      <c r="AG14" s="1029"/>
      <c r="AH14" s="1029"/>
      <c r="AI14" s="1027">
        <f t="shared" si="1"/>
        <v>0</v>
      </c>
    </row>
    <row r="15" spans="1:35" s="681" customFormat="1" x14ac:dyDescent="0.2">
      <c r="A15" s="1014" t="s">
        <v>817</v>
      </c>
      <c r="B15" s="685" t="s">
        <v>992</v>
      </c>
      <c r="C15" s="648" t="s">
        <v>993</v>
      </c>
      <c r="D15" s="645">
        <v>-2000</v>
      </c>
      <c r="E15" s="645"/>
      <c r="F15" s="645"/>
      <c r="G15" s="645"/>
      <c r="H15" s="645"/>
      <c r="I15" s="645"/>
      <c r="J15" s="645">
        <v>2000</v>
      </c>
      <c r="K15" s="887"/>
      <c r="L15" s="686"/>
      <c r="M15" s="686"/>
      <c r="N15" s="686"/>
      <c r="O15" s="686"/>
      <c r="P15" s="686"/>
      <c r="Q15" s="686"/>
      <c r="R15" s="686"/>
      <c r="S15" s="686"/>
      <c r="T15" s="686"/>
      <c r="U15" s="686"/>
      <c r="V15" s="1030"/>
      <c r="W15" s="1031">
        <f>SUM(K15:V15)</f>
        <v>0</v>
      </c>
      <c r="X15" s="684"/>
      <c r="Y15" s="1030"/>
      <c r="Z15" s="1030"/>
      <c r="AA15" s="1030"/>
      <c r="AB15" s="1030"/>
      <c r="AC15" s="1030"/>
      <c r="AD15" s="1030"/>
      <c r="AE15" s="1030"/>
      <c r="AF15" s="1030"/>
      <c r="AG15" s="1032"/>
      <c r="AH15" s="1032"/>
      <c r="AI15" s="1033">
        <f t="shared" si="1"/>
        <v>0</v>
      </c>
    </row>
    <row r="16" spans="1:35" s="639" customFormat="1" x14ac:dyDescent="0.2">
      <c r="A16" s="1014" t="s">
        <v>818</v>
      </c>
      <c r="B16" s="685" t="s">
        <v>1041</v>
      </c>
      <c r="C16" s="675" t="s">
        <v>994</v>
      </c>
      <c r="D16" s="686"/>
      <c r="E16" s="686"/>
      <c r="F16" s="686">
        <f>4759+9443</f>
        <v>14202</v>
      </c>
      <c r="G16" s="686"/>
      <c r="H16" s="686"/>
      <c r="I16" s="686"/>
      <c r="J16" s="686"/>
      <c r="K16" s="886"/>
      <c r="L16" s="645"/>
      <c r="M16" s="646"/>
      <c r="N16" s="645">
        <f>2418+2848</f>
        <v>5266</v>
      </c>
      <c r="O16" s="646"/>
      <c r="P16" s="645">
        <v>-8702</v>
      </c>
      <c r="Q16" s="645">
        <f>-3513-574</f>
        <v>-4087</v>
      </c>
      <c r="R16" s="645"/>
      <c r="S16" s="645"/>
      <c r="T16" s="645"/>
      <c r="U16" s="645"/>
      <c r="V16" s="646"/>
      <c r="W16" s="1026">
        <f t="shared" si="0"/>
        <v>6679</v>
      </c>
      <c r="X16" s="644"/>
      <c r="Y16" s="645">
        <f>1099+3015</f>
        <v>4114</v>
      </c>
      <c r="Z16" s="645">
        <v>2565</v>
      </c>
      <c r="AA16" s="646"/>
      <c r="AB16" s="646"/>
      <c r="AC16" s="646"/>
      <c r="AD16" s="646"/>
      <c r="AE16" s="645"/>
      <c r="AF16" s="646"/>
      <c r="AG16" s="646"/>
      <c r="AH16" s="646"/>
      <c r="AI16" s="1027">
        <f t="shared" si="1"/>
        <v>6679</v>
      </c>
    </row>
    <row r="17" spans="1:35" s="639" customFormat="1" x14ac:dyDescent="0.2">
      <c r="A17" s="1014" t="s">
        <v>819</v>
      </c>
      <c r="B17" s="648" t="s">
        <v>996</v>
      </c>
      <c r="C17" s="1034" t="s">
        <v>997</v>
      </c>
      <c r="D17" s="645">
        <v>-508</v>
      </c>
      <c r="E17" s="1068"/>
      <c r="F17" s="645"/>
      <c r="G17" s="645"/>
      <c r="H17" s="1068"/>
      <c r="I17" s="645"/>
      <c r="J17" s="645">
        <v>508</v>
      </c>
      <c r="K17" s="887"/>
      <c r="L17" s="686"/>
      <c r="M17" s="874"/>
      <c r="N17" s="686"/>
      <c r="O17" s="874"/>
      <c r="P17" s="686"/>
      <c r="Q17" s="686"/>
      <c r="R17" s="686"/>
      <c r="S17" s="686"/>
      <c r="T17" s="686"/>
      <c r="U17" s="686"/>
      <c r="V17" s="686"/>
      <c r="W17" s="1031">
        <f t="shared" si="0"/>
        <v>0</v>
      </c>
      <c r="X17" s="684"/>
      <c r="Y17" s="686"/>
      <c r="Z17" s="686"/>
      <c r="AA17" s="874"/>
      <c r="AB17" s="874"/>
      <c r="AC17" s="874"/>
      <c r="AD17" s="874"/>
      <c r="AE17" s="686"/>
      <c r="AF17" s="874"/>
      <c r="AG17" s="874"/>
      <c r="AH17" s="874"/>
      <c r="AI17" s="1033">
        <f t="shared" si="1"/>
        <v>0</v>
      </c>
    </row>
    <row r="18" spans="1:35" s="639" customFormat="1" ht="25.5" x14ac:dyDescent="0.2">
      <c r="A18" s="1014" t="s">
        <v>820</v>
      </c>
      <c r="B18" s="648" t="s">
        <v>998</v>
      </c>
      <c r="C18" s="1034" t="s">
        <v>999</v>
      </c>
      <c r="D18" s="645"/>
      <c r="E18" s="1068"/>
      <c r="F18" s="645"/>
      <c r="G18" s="645"/>
      <c r="H18" s="1068">
        <f>1812+340</f>
        <v>2152</v>
      </c>
      <c r="I18" s="645"/>
      <c r="J18" s="645"/>
      <c r="K18" s="886"/>
      <c r="L18" s="645"/>
      <c r="M18" s="646"/>
      <c r="N18" s="645"/>
      <c r="O18" s="646"/>
      <c r="P18" s="645">
        <v>-340</v>
      </c>
      <c r="Q18" s="645"/>
      <c r="R18" s="645"/>
      <c r="S18" s="645"/>
      <c r="T18" s="645"/>
      <c r="U18" s="645"/>
      <c r="V18" s="645"/>
      <c r="W18" s="1026">
        <f t="shared" si="0"/>
        <v>1812</v>
      </c>
      <c r="X18" s="644"/>
      <c r="Y18" s="645"/>
      <c r="Z18" s="645">
        <v>1812</v>
      </c>
      <c r="AA18" s="646"/>
      <c r="AB18" s="646"/>
      <c r="AC18" s="646"/>
      <c r="AD18" s="646"/>
      <c r="AE18" s="645"/>
      <c r="AF18" s="646"/>
      <c r="AG18" s="646"/>
      <c r="AH18" s="646"/>
      <c r="AI18" s="1027">
        <f t="shared" si="1"/>
        <v>1812</v>
      </c>
    </row>
    <row r="19" spans="1:35" s="639" customFormat="1" x14ac:dyDescent="0.2">
      <c r="A19" s="1014" t="s">
        <v>821</v>
      </c>
      <c r="B19" s="648" t="s">
        <v>1000</v>
      </c>
      <c r="C19" s="648" t="s">
        <v>1001</v>
      </c>
      <c r="D19" s="645">
        <v>-495</v>
      </c>
      <c r="E19" s="645"/>
      <c r="F19" s="645"/>
      <c r="G19" s="645"/>
      <c r="H19" s="645"/>
      <c r="I19" s="645"/>
      <c r="J19" s="645">
        <v>495</v>
      </c>
      <c r="K19" s="886"/>
      <c r="L19" s="645"/>
      <c r="M19" s="646"/>
      <c r="N19" s="645"/>
      <c r="O19" s="646"/>
      <c r="P19" s="645"/>
      <c r="Q19" s="645"/>
      <c r="R19" s="645"/>
      <c r="S19" s="645"/>
      <c r="T19" s="645"/>
      <c r="U19" s="645"/>
      <c r="V19" s="645"/>
      <c r="W19" s="1026">
        <f t="shared" si="0"/>
        <v>0</v>
      </c>
      <c r="X19" s="644"/>
      <c r="Y19" s="645"/>
      <c r="Z19" s="645"/>
      <c r="AA19" s="646"/>
      <c r="AB19" s="646"/>
      <c r="AC19" s="646"/>
      <c r="AD19" s="646"/>
      <c r="AE19" s="645"/>
      <c r="AF19" s="646"/>
      <c r="AG19" s="646"/>
      <c r="AH19" s="646"/>
      <c r="AI19" s="1027">
        <f t="shared" si="1"/>
        <v>0</v>
      </c>
    </row>
    <row r="20" spans="1:35" s="639" customFormat="1" x14ac:dyDescent="0.2">
      <c r="A20" s="1014" t="s">
        <v>822</v>
      </c>
      <c r="B20" s="648" t="s">
        <v>1002</v>
      </c>
      <c r="C20" s="648" t="s">
        <v>1003</v>
      </c>
      <c r="D20" s="645"/>
      <c r="E20" s="645"/>
      <c r="F20" s="645">
        <f>91+125+1</f>
        <v>217</v>
      </c>
      <c r="G20" s="645"/>
      <c r="H20" s="645"/>
      <c r="I20" s="645"/>
      <c r="J20" s="645">
        <f>-91-1</f>
        <v>-92</v>
      </c>
      <c r="K20" s="886">
        <v>-125</v>
      </c>
      <c r="L20" s="645"/>
      <c r="M20" s="646"/>
      <c r="N20" s="645"/>
      <c r="O20" s="646"/>
      <c r="P20" s="645"/>
      <c r="Q20" s="645"/>
      <c r="R20" s="645"/>
      <c r="S20" s="645"/>
      <c r="T20" s="645"/>
      <c r="U20" s="645"/>
      <c r="V20" s="645"/>
      <c r="W20" s="1026">
        <f t="shared" si="0"/>
        <v>0</v>
      </c>
      <c r="X20" s="644"/>
      <c r="Y20" s="645"/>
      <c r="Z20" s="645"/>
      <c r="AA20" s="646"/>
      <c r="AB20" s="646"/>
      <c r="AC20" s="646"/>
      <c r="AD20" s="646"/>
      <c r="AE20" s="645"/>
      <c r="AF20" s="646"/>
      <c r="AG20" s="646"/>
      <c r="AH20" s="646"/>
      <c r="AI20" s="1027">
        <f t="shared" si="1"/>
        <v>0</v>
      </c>
    </row>
    <row r="21" spans="1:35" s="639" customFormat="1" x14ac:dyDescent="0.2">
      <c r="A21" s="1014" t="s">
        <v>823</v>
      </c>
      <c r="B21" s="648" t="s">
        <v>1004</v>
      </c>
      <c r="C21" s="648" t="s">
        <v>1005</v>
      </c>
      <c r="D21" s="645"/>
      <c r="E21" s="645"/>
      <c r="F21" s="645">
        <v>254</v>
      </c>
      <c r="G21" s="645"/>
      <c r="H21" s="645"/>
      <c r="I21" s="645"/>
      <c r="J21" s="645">
        <v>-254</v>
      </c>
      <c r="K21" s="886"/>
      <c r="L21" s="645"/>
      <c r="M21" s="646"/>
      <c r="N21" s="645"/>
      <c r="O21" s="646"/>
      <c r="P21" s="645"/>
      <c r="Q21" s="645"/>
      <c r="R21" s="645"/>
      <c r="S21" s="645"/>
      <c r="T21" s="645"/>
      <c r="U21" s="645"/>
      <c r="V21" s="645"/>
      <c r="W21" s="1026">
        <f t="shared" si="0"/>
        <v>0</v>
      </c>
      <c r="X21" s="644"/>
      <c r="Y21" s="645"/>
      <c r="Z21" s="645"/>
      <c r="AA21" s="646"/>
      <c r="AB21" s="646"/>
      <c r="AC21" s="646"/>
      <c r="AD21" s="646"/>
      <c r="AE21" s="645"/>
      <c r="AF21" s="646"/>
      <c r="AG21" s="646"/>
      <c r="AH21" s="646"/>
      <c r="AI21" s="1027">
        <f t="shared" si="1"/>
        <v>0</v>
      </c>
    </row>
    <row r="22" spans="1:35" s="639" customFormat="1" x14ac:dyDescent="0.2">
      <c r="A22" s="1014" t="s">
        <v>824</v>
      </c>
      <c r="B22" s="685" t="s">
        <v>1006</v>
      </c>
      <c r="C22" s="648" t="s">
        <v>1007</v>
      </c>
      <c r="D22" s="645"/>
      <c r="E22" s="645"/>
      <c r="F22" s="645"/>
      <c r="G22" s="645"/>
      <c r="H22" s="645">
        <v>4</v>
      </c>
      <c r="I22" s="645"/>
      <c r="J22" s="645"/>
      <c r="K22" s="886"/>
      <c r="L22" s="645"/>
      <c r="M22" s="645"/>
      <c r="N22" s="645"/>
      <c r="O22" s="646"/>
      <c r="P22" s="645">
        <v>-4</v>
      </c>
      <c r="Q22" s="645"/>
      <c r="R22" s="645"/>
      <c r="S22" s="645"/>
      <c r="T22" s="645"/>
      <c r="U22" s="645"/>
      <c r="V22" s="645"/>
      <c r="W22" s="1026">
        <f t="shared" si="0"/>
        <v>0</v>
      </c>
      <c r="X22" s="644"/>
      <c r="Y22" s="645"/>
      <c r="Z22" s="645"/>
      <c r="AA22" s="646"/>
      <c r="AB22" s="646"/>
      <c r="AC22" s="646"/>
      <c r="AD22" s="643"/>
      <c r="AE22" s="645"/>
      <c r="AF22" s="646"/>
      <c r="AG22" s="646"/>
      <c r="AH22" s="645"/>
      <c r="AI22" s="1027">
        <f t="shared" si="1"/>
        <v>0</v>
      </c>
    </row>
    <row r="23" spans="1:35" s="639" customFormat="1" x14ac:dyDescent="0.2">
      <c r="A23" s="1014" t="s">
        <v>825</v>
      </c>
      <c r="B23" s="685" t="s">
        <v>1051</v>
      </c>
      <c r="C23" s="648" t="s">
        <v>1008</v>
      </c>
      <c r="D23" s="645"/>
      <c r="E23" s="645"/>
      <c r="F23" s="645"/>
      <c r="G23" s="645"/>
      <c r="H23" s="645">
        <f>59+59</f>
        <v>118</v>
      </c>
      <c r="I23" s="645"/>
      <c r="J23" s="645"/>
      <c r="K23" s="886"/>
      <c r="L23" s="645"/>
      <c r="M23" s="646"/>
      <c r="N23" s="645">
        <f>10+15+147+10+15+147</f>
        <v>344</v>
      </c>
      <c r="O23" s="646"/>
      <c r="P23" s="645"/>
      <c r="Q23" s="645"/>
      <c r="R23" s="645"/>
      <c r="S23" s="645"/>
      <c r="T23" s="645"/>
      <c r="U23" s="645"/>
      <c r="V23" s="645"/>
      <c r="W23" s="1026">
        <f t="shared" si="0"/>
        <v>462</v>
      </c>
      <c r="X23" s="644"/>
      <c r="Y23" s="645"/>
      <c r="Z23" s="645">
        <f>84+147+84+147</f>
        <v>462</v>
      </c>
      <c r="AA23" s="645"/>
      <c r="AB23" s="645"/>
      <c r="AC23" s="646"/>
      <c r="AD23" s="646"/>
      <c r="AE23" s="646"/>
      <c r="AF23" s="646"/>
      <c r="AG23" s="646"/>
      <c r="AH23" s="646"/>
      <c r="AI23" s="1027">
        <f t="shared" si="1"/>
        <v>462</v>
      </c>
    </row>
    <row r="24" spans="1:35" s="639" customFormat="1" x14ac:dyDescent="0.2">
      <c r="A24" s="1014" t="s">
        <v>826</v>
      </c>
      <c r="B24" s="685" t="s">
        <v>1009</v>
      </c>
      <c r="C24" s="648" t="s">
        <v>1010</v>
      </c>
      <c r="D24" s="645"/>
      <c r="E24" s="645"/>
      <c r="F24" s="645">
        <v>-1063</v>
      </c>
      <c r="G24" s="645"/>
      <c r="H24" s="645"/>
      <c r="I24" s="645"/>
      <c r="J24" s="645">
        <v>1063</v>
      </c>
      <c r="K24" s="886"/>
      <c r="L24" s="645"/>
      <c r="M24" s="646"/>
      <c r="N24" s="645"/>
      <c r="O24" s="646"/>
      <c r="P24" s="645"/>
      <c r="Q24" s="645"/>
      <c r="R24" s="645"/>
      <c r="S24" s="645"/>
      <c r="T24" s="645"/>
      <c r="U24" s="645"/>
      <c r="V24" s="645"/>
      <c r="W24" s="1026">
        <f t="shared" si="0"/>
        <v>0</v>
      </c>
      <c r="X24" s="644"/>
      <c r="Y24" s="645"/>
      <c r="Z24" s="645"/>
      <c r="AA24" s="646"/>
      <c r="AB24" s="646"/>
      <c r="AC24" s="645"/>
      <c r="AD24" s="645"/>
      <c r="AE24" s="646"/>
      <c r="AF24" s="646"/>
      <c r="AG24" s="646"/>
      <c r="AH24" s="646"/>
      <c r="AI24" s="1027">
        <f t="shared" si="1"/>
        <v>0</v>
      </c>
    </row>
    <row r="25" spans="1:35" s="639" customFormat="1" x14ac:dyDescent="0.2">
      <c r="A25" s="1014" t="s">
        <v>827</v>
      </c>
      <c r="B25" s="685" t="s">
        <v>1012</v>
      </c>
      <c r="C25" s="648" t="s">
        <v>1013</v>
      </c>
      <c r="D25" s="642"/>
      <c r="E25" s="645"/>
      <c r="F25" s="645">
        <v>161</v>
      </c>
      <c r="G25" s="645"/>
      <c r="H25" s="645"/>
      <c r="I25" s="645"/>
      <c r="J25" s="645"/>
      <c r="K25" s="643"/>
      <c r="L25" s="645"/>
      <c r="M25" s="646"/>
      <c r="N25" s="645"/>
      <c r="O25" s="645"/>
      <c r="P25" s="645">
        <v>-161</v>
      </c>
      <c r="Q25" s="645"/>
      <c r="R25" s="645"/>
      <c r="S25" s="645"/>
      <c r="T25" s="645"/>
      <c r="U25" s="645"/>
      <c r="V25" s="645"/>
      <c r="W25" s="1026">
        <f t="shared" ref="W25" si="2">SUM(D25:V25)</f>
        <v>0</v>
      </c>
      <c r="X25" s="644"/>
      <c r="Y25" s="645"/>
      <c r="Z25" s="645"/>
      <c r="AA25" s="646"/>
      <c r="AB25" s="646"/>
      <c r="AC25" s="646"/>
      <c r="AD25" s="646"/>
      <c r="AE25" s="646"/>
      <c r="AF25" s="646"/>
      <c r="AG25" s="646"/>
      <c r="AH25" s="646"/>
      <c r="AI25" s="1027">
        <f t="shared" ref="AI25" si="3">SUM(X25:AH25)</f>
        <v>0</v>
      </c>
    </row>
    <row r="26" spans="1:35" s="639" customFormat="1" x14ac:dyDescent="0.2">
      <c r="A26" s="1014" t="s">
        <v>828</v>
      </c>
      <c r="B26" s="685" t="s">
        <v>1014</v>
      </c>
      <c r="C26" s="648" t="s">
        <v>1015</v>
      </c>
      <c r="D26" s="645"/>
      <c r="E26" s="645"/>
      <c r="F26" s="645"/>
      <c r="G26" s="645"/>
      <c r="H26" s="645"/>
      <c r="I26" s="645"/>
      <c r="J26" s="645">
        <v>6795</v>
      </c>
      <c r="K26" s="886"/>
      <c r="L26" s="645"/>
      <c r="M26" s="646"/>
      <c r="N26" s="645"/>
      <c r="O26" s="646"/>
      <c r="P26" s="645"/>
      <c r="Q26" s="645"/>
      <c r="R26" s="645"/>
      <c r="S26" s="645">
        <v>-6795</v>
      </c>
      <c r="T26" s="645"/>
      <c r="U26" s="645"/>
      <c r="V26" s="645"/>
      <c r="W26" s="1026">
        <f t="shared" si="0"/>
        <v>0</v>
      </c>
      <c r="X26" s="644"/>
      <c r="Y26" s="645"/>
      <c r="Z26" s="645"/>
      <c r="AA26" s="645"/>
      <c r="AB26" s="646"/>
      <c r="AC26" s="646"/>
      <c r="AD26" s="646"/>
      <c r="AE26" s="646"/>
      <c r="AF26" s="646"/>
      <c r="AG26" s="646"/>
      <c r="AH26" s="646"/>
      <c r="AI26" s="1027">
        <f t="shared" si="1"/>
        <v>0</v>
      </c>
    </row>
    <row r="27" spans="1:35" s="639" customFormat="1" x14ac:dyDescent="0.2">
      <c r="A27" s="1014" t="s">
        <v>829</v>
      </c>
      <c r="B27" s="685" t="s">
        <v>1016</v>
      </c>
      <c r="C27" s="648" t="s">
        <v>1017</v>
      </c>
      <c r="D27" s="642">
        <v>300</v>
      </c>
      <c r="E27" s="645">
        <v>53</v>
      </c>
      <c r="F27" s="645">
        <v>-353</v>
      </c>
      <c r="G27" s="645"/>
      <c r="H27" s="645"/>
      <c r="I27" s="645"/>
      <c r="J27" s="645"/>
      <c r="K27" s="643"/>
      <c r="L27" s="645"/>
      <c r="M27" s="645"/>
      <c r="N27" s="645"/>
      <c r="O27" s="645"/>
      <c r="P27" s="645"/>
      <c r="Q27" s="645"/>
      <c r="R27" s="645"/>
      <c r="S27" s="645"/>
      <c r="T27" s="645"/>
      <c r="U27" s="645"/>
      <c r="V27" s="645"/>
      <c r="W27" s="1026">
        <f t="shared" si="0"/>
        <v>0</v>
      </c>
      <c r="X27" s="644"/>
      <c r="Y27" s="645"/>
      <c r="Z27" s="645"/>
      <c r="AA27" s="645"/>
      <c r="AB27" s="645"/>
      <c r="AC27" s="645"/>
      <c r="AD27" s="645"/>
      <c r="AE27" s="645"/>
      <c r="AF27" s="645"/>
      <c r="AG27" s="645"/>
      <c r="AH27" s="645"/>
      <c r="AI27" s="1027">
        <f t="shared" si="1"/>
        <v>0</v>
      </c>
    </row>
    <row r="28" spans="1:35" s="639" customFormat="1" x14ac:dyDescent="0.2">
      <c r="A28" s="1014" t="s">
        <v>830</v>
      </c>
      <c r="B28" s="685" t="s">
        <v>1018</v>
      </c>
      <c r="C28" s="648" t="s">
        <v>1019</v>
      </c>
      <c r="D28" s="642">
        <v>-254</v>
      </c>
      <c r="E28" s="645"/>
      <c r="F28" s="645">
        <v>254</v>
      </c>
      <c r="G28" s="645"/>
      <c r="H28" s="645"/>
      <c r="I28" s="645"/>
      <c r="J28" s="645"/>
      <c r="K28" s="643"/>
      <c r="L28" s="645"/>
      <c r="M28" s="646"/>
      <c r="N28" s="645"/>
      <c r="O28" s="646"/>
      <c r="P28" s="645"/>
      <c r="Q28" s="645"/>
      <c r="R28" s="645"/>
      <c r="S28" s="645"/>
      <c r="T28" s="645"/>
      <c r="U28" s="645"/>
      <c r="V28" s="645"/>
      <c r="W28" s="1026">
        <f t="shared" si="0"/>
        <v>0</v>
      </c>
      <c r="X28" s="644"/>
      <c r="Y28" s="645"/>
      <c r="Z28" s="645"/>
      <c r="AA28" s="646"/>
      <c r="AB28" s="646"/>
      <c r="AC28" s="646"/>
      <c r="AD28" s="646"/>
      <c r="AE28" s="646"/>
      <c r="AF28" s="646"/>
      <c r="AG28" s="646"/>
      <c r="AH28" s="646"/>
      <c r="AI28" s="1027">
        <f t="shared" si="1"/>
        <v>0</v>
      </c>
    </row>
    <row r="29" spans="1:35" s="639" customFormat="1" x14ac:dyDescent="0.2">
      <c r="A29" s="1014" t="s">
        <v>831</v>
      </c>
      <c r="B29" s="685" t="s">
        <v>1021</v>
      </c>
      <c r="C29" s="648" t="s">
        <v>1022</v>
      </c>
      <c r="D29" s="642"/>
      <c r="E29" s="645"/>
      <c r="F29" s="645"/>
      <c r="G29" s="645"/>
      <c r="H29" s="645"/>
      <c r="I29" s="645"/>
      <c r="J29" s="645"/>
      <c r="K29" s="643"/>
      <c r="L29" s="645"/>
      <c r="M29" s="646"/>
      <c r="N29" s="645">
        <v>332</v>
      </c>
      <c r="O29" s="646"/>
      <c r="P29" s="645">
        <v>-332</v>
      </c>
      <c r="Q29" s="645"/>
      <c r="R29" s="645"/>
      <c r="S29" s="645"/>
      <c r="T29" s="645"/>
      <c r="U29" s="645"/>
      <c r="V29" s="645"/>
      <c r="W29" s="1026">
        <f t="shared" si="0"/>
        <v>0</v>
      </c>
      <c r="X29" s="644"/>
      <c r="Y29" s="645"/>
      <c r="Z29" s="645"/>
      <c r="AA29" s="646"/>
      <c r="AB29" s="646"/>
      <c r="AC29" s="646"/>
      <c r="AD29" s="646"/>
      <c r="AE29" s="646"/>
      <c r="AF29" s="646"/>
      <c r="AG29" s="646"/>
      <c r="AH29" s="646"/>
      <c r="AI29" s="1027">
        <f t="shared" si="1"/>
        <v>0</v>
      </c>
    </row>
    <row r="30" spans="1:35" s="639" customFormat="1" x14ac:dyDescent="0.2">
      <c r="A30" s="1014" t="s">
        <v>832</v>
      </c>
      <c r="B30" s="685" t="s">
        <v>1023</v>
      </c>
      <c r="C30" s="648" t="s">
        <v>1024</v>
      </c>
      <c r="D30" s="642"/>
      <c r="E30" s="645"/>
      <c r="F30" s="645"/>
      <c r="G30" s="645"/>
      <c r="H30" s="645"/>
      <c r="I30" s="645">
        <v>3700</v>
      </c>
      <c r="J30" s="645"/>
      <c r="K30" s="643"/>
      <c r="L30" s="645"/>
      <c r="M30" s="646"/>
      <c r="N30" s="645"/>
      <c r="O30" s="646"/>
      <c r="P30" s="645">
        <v>-3700</v>
      </c>
      <c r="Q30" s="645"/>
      <c r="R30" s="645"/>
      <c r="S30" s="645"/>
      <c r="T30" s="645"/>
      <c r="U30" s="645"/>
      <c r="V30" s="645"/>
      <c r="W30" s="1026">
        <f t="shared" si="0"/>
        <v>0</v>
      </c>
      <c r="X30" s="644"/>
      <c r="Y30" s="645"/>
      <c r="Z30" s="645"/>
      <c r="AA30" s="646"/>
      <c r="AB30" s="646"/>
      <c r="AC30" s="646"/>
      <c r="AD30" s="646"/>
      <c r="AE30" s="646"/>
      <c r="AF30" s="646"/>
      <c r="AG30" s="646"/>
      <c r="AH30" s="646"/>
      <c r="AI30" s="1027">
        <f t="shared" si="1"/>
        <v>0</v>
      </c>
    </row>
    <row r="31" spans="1:35" s="639" customFormat="1" ht="25.5" x14ac:dyDescent="0.2">
      <c r="A31" s="1014" t="s">
        <v>833</v>
      </c>
      <c r="B31" s="685" t="s">
        <v>1025</v>
      </c>
      <c r="C31" s="648" t="s">
        <v>1026</v>
      </c>
      <c r="D31" s="642"/>
      <c r="E31" s="645"/>
      <c r="F31" s="645">
        <f>273+282</f>
        <v>555</v>
      </c>
      <c r="G31" s="645"/>
      <c r="H31" s="645"/>
      <c r="I31" s="645"/>
      <c r="J31" s="645"/>
      <c r="K31" s="643"/>
      <c r="L31" s="645"/>
      <c r="M31" s="646"/>
      <c r="N31" s="645"/>
      <c r="O31" s="646"/>
      <c r="P31" s="645"/>
      <c r="Q31" s="645"/>
      <c r="R31" s="645"/>
      <c r="S31" s="645"/>
      <c r="T31" s="645"/>
      <c r="U31" s="645">
        <v>-555</v>
      </c>
      <c r="V31" s="645"/>
      <c r="W31" s="1026">
        <f t="shared" si="0"/>
        <v>0</v>
      </c>
      <c r="X31" s="644"/>
      <c r="Y31" s="645"/>
      <c r="Z31" s="645"/>
      <c r="AA31" s="646"/>
      <c r="AB31" s="646"/>
      <c r="AC31" s="646"/>
      <c r="AD31" s="646"/>
      <c r="AE31" s="646"/>
      <c r="AF31" s="646"/>
      <c r="AG31" s="646"/>
      <c r="AH31" s="646"/>
      <c r="AI31" s="1027">
        <f t="shared" si="1"/>
        <v>0</v>
      </c>
    </row>
    <row r="32" spans="1:35" s="639" customFormat="1" x14ac:dyDescent="0.2">
      <c r="A32" s="1014" t="s">
        <v>834</v>
      </c>
      <c r="B32" s="685" t="s">
        <v>1027</v>
      </c>
      <c r="C32" s="648" t="s">
        <v>1028</v>
      </c>
      <c r="D32" s="642"/>
      <c r="E32" s="645"/>
      <c r="F32" s="645">
        <v>3090</v>
      </c>
      <c r="G32" s="645"/>
      <c r="H32" s="645"/>
      <c r="I32" s="645"/>
      <c r="J32" s="645">
        <v>-3090</v>
      </c>
      <c r="K32" s="643"/>
      <c r="L32" s="645"/>
      <c r="M32" s="646"/>
      <c r="N32" s="645"/>
      <c r="O32" s="646"/>
      <c r="P32" s="645"/>
      <c r="Q32" s="645"/>
      <c r="R32" s="645"/>
      <c r="S32" s="645"/>
      <c r="T32" s="645"/>
      <c r="U32" s="645"/>
      <c r="V32" s="645"/>
      <c r="W32" s="1026">
        <f t="shared" si="0"/>
        <v>0</v>
      </c>
      <c r="X32" s="644"/>
      <c r="Y32" s="645"/>
      <c r="Z32" s="645"/>
      <c r="AA32" s="646"/>
      <c r="AB32" s="646"/>
      <c r="AC32" s="646"/>
      <c r="AD32" s="646"/>
      <c r="AE32" s="646"/>
      <c r="AF32" s="646"/>
      <c r="AG32" s="646"/>
      <c r="AH32" s="646"/>
      <c r="AI32" s="1027">
        <f t="shared" si="1"/>
        <v>0</v>
      </c>
    </row>
    <row r="33" spans="1:35" s="639" customFormat="1" x14ac:dyDescent="0.2">
      <c r="A33" s="1014" t="s">
        <v>835</v>
      </c>
      <c r="B33" s="685" t="s">
        <v>1029</v>
      </c>
      <c r="C33" s="648" t="s">
        <v>1030</v>
      </c>
      <c r="D33" s="642"/>
      <c r="E33" s="645"/>
      <c r="F33" s="645">
        <v>-2794</v>
      </c>
      <c r="G33" s="645"/>
      <c r="H33" s="645"/>
      <c r="I33" s="645"/>
      <c r="J33" s="645">
        <v>2794</v>
      </c>
      <c r="K33" s="643"/>
      <c r="L33" s="645"/>
      <c r="M33" s="646"/>
      <c r="N33" s="645"/>
      <c r="O33" s="646"/>
      <c r="P33" s="645"/>
      <c r="Q33" s="645"/>
      <c r="R33" s="645"/>
      <c r="S33" s="645"/>
      <c r="T33" s="645"/>
      <c r="U33" s="645"/>
      <c r="V33" s="645"/>
      <c r="W33" s="1026">
        <f t="shared" si="0"/>
        <v>0</v>
      </c>
      <c r="X33" s="644"/>
      <c r="Y33" s="645"/>
      <c r="Z33" s="645"/>
      <c r="AA33" s="646"/>
      <c r="AB33" s="646"/>
      <c r="AC33" s="646"/>
      <c r="AD33" s="646"/>
      <c r="AE33" s="646"/>
      <c r="AF33" s="646"/>
      <c r="AG33" s="646"/>
      <c r="AH33" s="646"/>
      <c r="AI33" s="1027">
        <f t="shared" si="1"/>
        <v>0</v>
      </c>
    </row>
    <row r="34" spans="1:35" x14ac:dyDescent="0.2">
      <c r="A34" s="1014" t="s">
        <v>836</v>
      </c>
      <c r="B34" s="685" t="s">
        <v>1031</v>
      </c>
      <c r="C34" s="647" t="s">
        <v>1032</v>
      </c>
      <c r="D34" s="642"/>
      <c r="E34" s="645"/>
      <c r="F34" s="645">
        <v>-96</v>
      </c>
      <c r="G34" s="645"/>
      <c r="H34" s="645"/>
      <c r="I34" s="645"/>
      <c r="J34" s="645">
        <v>96</v>
      </c>
      <c r="K34" s="643"/>
      <c r="L34" s="645"/>
      <c r="M34" s="645"/>
      <c r="N34" s="645"/>
      <c r="O34" s="645"/>
      <c r="P34" s="645"/>
      <c r="Q34" s="645"/>
      <c r="R34" s="645"/>
      <c r="S34" s="645"/>
      <c r="T34" s="645"/>
      <c r="U34" s="645"/>
      <c r="V34" s="1028"/>
      <c r="W34" s="1026">
        <f t="shared" si="0"/>
        <v>0</v>
      </c>
      <c r="X34" s="644"/>
      <c r="Y34" s="1028"/>
      <c r="Z34" s="1028"/>
      <c r="AA34" s="1028"/>
      <c r="AB34" s="1028"/>
      <c r="AC34" s="1028"/>
      <c r="AD34" s="1028"/>
      <c r="AE34" s="1028"/>
      <c r="AF34" s="1028"/>
      <c r="AG34" s="1028"/>
      <c r="AH34" s="1028"/>
      <c r="AI34" s="1027">
        <f t="shared" si="1"/>
        <v>0</v>
      </c>
    </row>
    <row r="35" spans="1:35" x14ac:dyDescent="0.2">
      <c r="A35" s="1014" t="s">
        <v>837</v>
      </c>
      <c r="B35" s="685" t="s">
        <v>1033</v>
      </c>
      <c r="C35" s="647" t="s">
        <v>1034</v>
      </c>
      <c r="D35" s="642"/>
      <c r="E35" s="645"/>
      <c r="F35" s="645"/>
      <c r="G35" s="645"/>
      <c r="H35" s="645"/>
      <c r="I35" s="645">
        <v>-200</v>
      </c>
      <c r="J35" s="645">
        <v>200</v>
      </c>
      <c r="K35" s="643"/>
      <c r="L35" s="645"/>
      <c r="M35" s="645"/>
      <c r="N35" s="645"/>
      <c r="O35" s="646"/>
      <c r="P35" s="645"/>
      <c r="Q35" s="646"/>
      <c r="R35" s="645"/>
      <c r="S35" s="645"/>
      <c r="T35" s="645"/>
      <c r="U35" s="645"/>
      <c r="V35" s="1028"/>
      <c r="W35" s="1026">
        <f t="shared" si="0"/>
        <v>0</v>
      </c>
      <c r="X35" s="644"/>
      <c r="Y35" s="1028"/>
      <c r="Z35" s="1028"/>
      <c r="AA35" s="1028"/>
      <c r="AB35" s="1028"/>
      <c r="AC35" s="1028"/>
      <c r="AD35" s="1028"/>
      <c r="AE35" s="1028"/>
      <c r="AF35" s="1028"/>
      <c r="AG35" s="1029"/>
      <c r="AH35" s="1029"/>
      <c r="AI35" s="1027">
        <f t="shared" si="1"/>
        <v>0</v>
      </c>
    </row>
    <row r="36" spans="1:35" ht="15" customHeight="1" x14ac:dyDescent="0.2">
      <c r="A36" s="1014" t="s">
        <v>838</v>
      </c>
      <c r="B36" s="685" t="s">
        <v>1035</v>
      </c>
      <c r="C36" s="648" t="s">
        <v>1036</v>
      </c>
      <c r="D36" s="644"/>
      <c r="E36" s="644"/>
      <c r="F36" s="644">
        <v>-5286</v>
      </c>
      <c r="G36" s="644"/>
      <c r="H36" s="644"/>
      <c r="I36" s="644"/>
      <c r="J36" s="644">
        <v>5286</v>
      </c>
      <c r="K36" s="1067"/>
      <c r="L36" s="644"/>
      <c r="M36" s="644"/>
      <c r="N36" s="644"/>
      <c r="O36" s="644"/>
      <c r="P36" s="644"/>
      <c r="Q36" s="644"/>
      <c r="R36" s="644"/>
      <c r="S36" s="644"/>
      <c r="T36" s="644"/>
      <c r="U36" s="644"/>
      <c r="V36" s="649"/>
      <c r="W36" s="1026">
        <f t="shared" si="0"/>
        <v>0</v>
      </c>
      <c r="X36" s="644"/>
      <c r="Y36" s="649"/>
      <c r="Z36" s="649"/>
      <c r="AA36" s="649"/>
      <c r="AB36" s="649"/>
      <c r="AC36" s="649"/>
      <c r="AD36" s="649"/>
      <c r="AE36" s="649"/>
      <c r="AF36" s="649"/>
      <c r="AG36" s="649"/>
      <c r="AH36" s="649"/>
      <c r="AI36" s="1027">
        <f t="shared" si="1"/>
        <v>0</v>
      </c>
    </row>
    <row r="37" spans="1:35" x14ac:dyDescent="0.2">
      <c r="A37" s="1014" t="s">
        <v>921</v>
      </c>
      <c r="B37" s="685" t="s">
        <v>1037</v>
      </c>
      <c r="C37" s="647" t="s">
        <v>1038</v>
      </c>
      <c r="D37" s="644"/>
      <c r="E37" s="644"/>
      <c r="F37" s="644">
        <v>481</v>
      </c>
      <c r="G37" s="644"/>
      <c r="H37" s="644"/>
      <c r="I37" s="644"/>
      <c r="J37" s="644"/>
      <c r="K37" s="1067"/>
      <c r="L37" s="644"/>
      <c r="M37" s="644"/>
      <c r="N37" s="644"/>
      <c r="O37" s="644"/>
      <c r="P37" s="644"/>
      <c r="Q37" s="644"/>
      <c r="R37" s="644"/>
      <c r="S37" s="644">
        <v>-481</v>
      </c>
      <c r="T37" s="644"/>
      <c r="U37" s="644"/>
      <c r="V37" s="649"/>
      <c r="W37" s="1026">
        <f t="shared" si="0"/>
        <v>0</v>
      </c>
      <c r="X37" s="644"/>
      <c r="Y37" s="649"/>
      <c r="Z37" s="649"/>
      <c r="AA37" s="649"/>
      <c r="AB37" s="649"/>
      <c r="AC37" s="649"/>
      <c r="AD37" s="649"/>
      <c r="AE37" s="649"/>
      <c r="AF37" s="649"/>
      <c r="AG37" s="649"/>
      <c r="AH37" s="649"/>
      <c r="AI37" s="1027">
        <f t="shared" si="1"/>
        <v>0</v>
      </c>
    </row>
    <row r="38" spans="1:35" x14ac:dyDescent="0.2">
      <c r="A38" s="1014" t="s">
        <v>922</v>
      </c>
      <c r="B38" s="685" t="s">
        <v>1039</v>
      </c>
      <c r="C38" s="648" t="s">
        <v>1040</v>
      </c>
      <c r="D38" s="644"/>
      <c r="E38" s="644"/>
      <c r="F38" s="644">
        <v>-593</v>
      </c>
      <c r="G38" s="644"/>
      <c r="H38" s="644"/>
      <c r="I38" s="644"/>
      <c r="J38" s="644">
        <v>593</v>
      </c>
      <c r="K38" s="1067"/>
      <c r="L38" s="644"/>
      <c r="M38" s="644"/>
      <c r="N38" s="644"/>
      <c r="O38" s="644"/>
      <c r="P38" s="644"/>
      <c r="Q38" s="644"/>
      <c r="R38" s="644"/>
      <c r="S38" s="644"/>
      <c r="T38" s="644"/>
      <c r="U38" s="644"/>
      <c r="V38" s="649"/>
      <c r="W38" s="1026">
        <f t="shared" si="0"/>
        <v>0</v>
      </c>
      <c r="X38" s="644"/>
      <c r="Y38" s="649"/>
      <c r="Z38" s="649"/>
      <c r="AA38" s="649"/>
      <c r="AB38" s="649"/>
      <c r="AC38" s="649"/>
      <c r="AD38" s="649"/>
      <c r="AE38" s="649"/>
      <c r="AF38" s="649"/>
      <c r="AG38" s="649"/>
      <c r="AH38" s="649"/>
      <c r="AI38" s="1027">
        <f t="shared" si="1"/>
        <v>0</v>
      </c>
    </row>
    <row r="39" spans="1:35" x14ac:dyDescent="0.2">
      <c r="A39" s="1014" t="s">
        <v>923</v>
      </c>
      <c r="B39" s="685" t="s">
        <v>1042</v>
      </c>
      <c r="C39" s="647" t="s">
        <v>1043</v>
      </c>
      <c r="D39" s="644"/>
      <c r="E39" s="644"/>
      <c r="F39" s="644"/>
      <c r="G39" s="644">
        <v>42</v>
      </c>
      <c r="H39" s="644"/>
      <c r="I39" s="644"/>
      <c r="J39" s="644"/>
      <c r="K39" s="1067"/>
      <c r="L39" s="644"/>
      <c r="M39" s="644"/>
      <c r="N39" s="644"/>
      <c r="O39" s="644"/>
      <c r="P39" s="644"/>
      <c r="Q39" s="644"/>
      <c r="R39" s="644"/>
      <c r="S39" s="644"/>
      <c r="T39" s="644"/>
      <c r="U39" s="644"/>
      <c r="V39" s="649"/>
      <c r="W39" s="1026">
        <f t="shared" si="0"/>
        <v>42</v>
      </c>
      <c r="X39" s="644"/>
      <c r="Y39" s="649"/>
      <c r="Z39" s="649"/>
      <c r="AA39" s="649">
        <v>42</v>
      </c>
      <c r="AB39" s="649"/>
      <c r="AC39" s="649"/>
      <c r="AD39" s="649"/>
      <c r="AE39" s="649"/>
      <c r="AF39" s="649"/>
      <c r="AG39" s="649"/>
      <c r="AH39" s="649"/>
      <c r="AI39" s="1027">
        <f t="shared" si="1"/>
        <v>42</v>
      </c>
    </row>
    <row r="40" spans="1:35" x14ac:dyDescent="0.2">
      <c r="A40" s="1014" t="s">
        <v>924</v>
      </c>
      <c r="B40" s="685" t="s">
        <v>1044</v>
      </c>
      <c r="C40" s="648" t="s">
        <v>1045</v>
      </c>
      <c r="D40" s="644"/>
      <c r="E40" s="644"/>
      <c r="F40" s="644">
        <v>42</v>
      </c>
      <c r="G40" s="644"/>
      <c r="H40" s="644"/>
      <c r="I40" s="644"/>
      <c r="J40" s="644">
        <v>-42</v>
      </c>
      <c r="K40" s="1067"/>
      <c r="L40" s="644"/>
      <c r="M40" s="644"/>
      <c r="N40" s="644"/>
      <c r="O40" s="644"/>
      <c r="P40" s="644"/>
      <c r="Q40" s="644"/>
      <c r="R40" s="644"/>
      <c r="S40" s="644"/>
      <c r="T40" s="644"/>
      <c r="U40" s="644"/>
      <c r="V40" s="649"/>
      <c r="W40" s="1026">
        <f t="shared" si="0"/>
        <v>0</v>
      </c>
      <c r="X40" s="644"/>
      <c r="Y40" s="649"/>
      <c r="Z40" s="649"/>
      <c r="AA40" s="649"/>
      <c r="AB40" s="649"/>
      <c r="AC40" s="649"/>
      <c r="AD40" s="649"/>
      <c r="AE40" s="649"/>
      <c r="AF40" s="649"/>
      <c r="AG40" s="649"/>
      <c r="AH40" s="649"/>
      <c r="AI40" s="1027">
        <f t="shared" si="1"/>
        <v>0</v>
      </c>
    </row>
    <row r="41" spans="1:35" x14ac:dyDescent="0.2">
      <c r="A41" s="1014" t="s">
        <v>925</v>
      </c>
      <c r="B41" s="685" t="s">
        <v>1046</v>
      </c>
      <c r="C41" s="648" t="s">
        <v>1047</v>
      </c>
      <c r="D41" s="1108">
        <v>-5841</v>
      </c>
      <c r="E41" s="1108"/>
      <c r="F41" s="644">
        <v>39759</v>
      </c>
      <c r="G41" s="644"/>
      <c r="H41" s="644"/>
      <c r="I41" s="644"/>
      <c r="J41" s="644">
        <v>-123918</v>
      </c>
      <c r="K41" s="886">
        <v>90000</v>
      </c>
      <c r="L41" s="644"/>
      <c r="M41" s="644"/>
      <c r="N41" s="644"/>
      <c r="O41" s="644"/>
      <c r="P41" s="644"/>
      <c r="Q41" s="644"/>
      <c r="R41" s="644"/>
      <c r="S41" s="644"/>
      <c r="T41" s="644"/>
      <c r="U41" s="644"/>
      <c r="V41" s="649"/>
      <c r="W41" s="1026">
        <f t="shared" si="0"/>
        <v>0</v>
      </c>
      <c r="X41" s="644"/>
      <c r="Y41" s="649"/>
      <c r="Z41" s="649"/>
      <c r="AA41" s="649"/>
      <c r="AB41" s="649"/>
      <c r="AC41" s="649"/>
      <c r="AD41" s="649"/>
      <c r="AE41" s="649"/>
      <c r="AF41" s="649"/>
      <c r="AG41" s="649"/>
      <c r="AH41" s="649"/>
      <c r="AI41" s="1027">
        <f t="shared" si="1"/>
        <v>0</v>
      </c>
    </row>
    <row r="42" spans="1:35" ht="25.5" x14ac:dyDescent="0.2">
      <c r="A42" s="1014" t="s">
        <v>926</v>
      </c>
      <c r="B42" s="685" t="s">
        <v>1048</v>
      </c>
      <c r="C42" s="648" t="s">
        <v>1049</v>
      </c>
      <c r="D42" s="644"/>
      <c r="E42" s="644"/>
      <c r="F42" s="644">
        <v>-9491</v>
      </c>
      <c r="G42" s="644"/>
      <c r="H42" s="644"/>
      <c r="I42" s="644"/>
      <c r="J42" s="644">
        <v>54957</v>
      </c>
      <c r="K42" s="1067"/>
      <c r="L42" s="644"/>
      <c r="M42" s="644"/>
      <c r="N42" s="644"/>
      <c r="O42" s="644"/>
      <c r="P42" s="644"/>
      <c r="Q42" s="644"/>
      <c r="R42" s="644"/>
      <c r="S42" s="644">
        <v>-45466</v>
      </c>
      <c r="T42" s="644"/>
      <c r="U42" s="644"/>
      <c r="V42" s="649"/>
      <c r="W42" s="1026">
        <f t="shared" si="0"/>
        <v>0</v>
      </c>
      <c r="X42" s="644"/>
      <c r="Y42" s="649"/>
      <c r="Z42" s="649"/>
      <c r="AA42" s="649"/>
      <c r="AB42" s="649"/>
      <c r="AC42" s="649"/>
      <c r="AD42" s="649"/>
      <c r="AE42" s="649"/>
      <c r="AF42" s="649"/>
      <c r="AG42" s="649"/>
      <c r="AH42" s="649"/>
      <c r="AI42" s="1027">
        <f t="shared" si="1"/>
        <v>0</v>
      </c>
    </row>
    <row r="43" spans="1:35" x14ac:dyDescent="0.2">
      <c r="A43" s="1014" t="s">
        <v>927</v>
      </c>
      <c r="B43" s="685" t="s">
        <v>1052</v>
      </c>
      <c r="C43" s="648" t="s">
        <v>1053</v>
      </c>
      <c r="D43" s="644"/>
      <c r="E43" s="644"/>
      <c r="F43" s="644"/>
      <c r="G43" s="644"/>
      <c r="H43" s="644"/>
      <c r="I43" s="644"/>
      <c r="J43" s="644"/>
      <c r="K43" s="886">
        <v>20014</v>
      </c>
      <c r="L43" s="644"/>
      <c r="M43" s="644"/>
      <c r="N43" s="644"/>
      <c r="O43" s="644"/>
      <c r="P43" s="644"/>
      <c r="Q43" s="644"/>
      <c r="R43" s="644"/>
      <c r="S43" s="644">
        <v>-20014</v>
      </c>
      <c r="T43" s="644"/>
      <c r="U43" s="644"/>
      <c r="V43" s="649"/>
      <c r="W43" s="1026">
        <f t="shared" si="0"/>
        <v>0</v>
      </c>
      <c r="X43" s="644"/>
      <c r="Y43" s="649"/>
      <c r="Z43" s="649"/>
      <c r="AA43" s="649"/>
      <c r="AB43" s="649"/>
      <c r="AC43" s="649"/>
      <c r="AD43" s="649"/>
      <c r="AE43" s="649"/>
      <c r="AF43" s="649"/>
      <c r="AG43" s="649"/>
      <c r="AH43" s="649"/>
      <c r="AI43" s="1027">
        <f t="shared" si="1"/>
        <v>0</v>
      </c>
    </row>
    <row r="44" spans="1:35" x14ac:dyDescent="0.2">
      <c r="A44" s="1014" t="s">
        <v>928</v>
      </c>
      <c r="B44" s="685" t="s">
        <v>1054</v>
      </c>
      <c r="C44" s="648" t="s">
        <v>1055</v>
      </c>
      <c r="D44" s="644"/>
      <c r="E44" s="644"/>
      <c r="F44" s="644">
        <v>-206</v>
      </c>
      <c r="G44" s="644"/>
      <c r="H44" s="644"/>
      <c r="I44" s="644"/>
      <c r="J44" s="644">
        <v>206</v>
      </c>
      <c r="K44" s="1067"/>
      <c r="L44" s="644"/>
      <c r="M44" s="644"/>
      <c r="N44" s="644"/>
      <c r="O44" s="644"/>
      <c r="P44" s="644"/>
      <c r="Q44" s="644"/>
      <c r="R44" s="644"/>
      <c r="S44" s="644"/>
      <c r="T44" s="644"/>
      <c r="U44" s="644"/>
      <c r="V44" s="649"/>
      <c r="W44" s="1026">
        <f t="shared" si="0"/>
        <v>0</v>
      </c>
      <c r="X44" s="644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1027">
        <f t="shared" si="1"/>
        <v>0</v>
      </c>
    </row>
    <row r="45" spans="1:35" x14ac:dyDescent="0.2">
      <c r="A45" s="1014" t="s">
        <v>929</v>
      </c>
      <c r="B45" s="685" t="s">
        <v>1056</v>
      </c>
      <c r="C45" s="648" t="s">
        <v>1057</v>
      </c>
      <c r="D45" s="644"/>
      <c r="E45" s="644"/>
      <c r="F45" s="644">
        <v>-627</v>
      </c>
      <c r="G45" s="644"/>
      <c r="H45" s="644"/>
      <c r="I45" s="644"/>
      <c r="J45" s="644">
        <v>627</v>
      </c>
      <c r="K45" s="1067"/>
      <c r="L45" s="644"/>
      <c r="M45" s="644"/>
      <c r="N45" s="644"/>
      <c r="O45" s="644"/>
      <c r="P45" s="644"/>
      <c r="Q45" s="644"/>
      <c r="R45" s="644"/>
      <c r="S45" s="644"/>
      <c r="T45" s="644"/>
      <c r="U45" s="644"/>
      <c r="V45" s="649"/>
      <c r="W45" s="1026">
        <f t="shared" si="0"/>
        <v>0</v>
      </c>
      <c r="X45" s="644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1027">
        <f t="shared" si="1"/>
        <v>0</v>
      </c>
    </row>
    <row r="46" spans="1:35" x14ac:dyDescent="0.2">
      <c r="A46" s="1014" t="s">
        <v>930</v>
      </c>
      <c r="B46" s="685" t="s">
        <v>1058</v>
      </c>
      <c r="C46" s="647" t="s">
        <v>1059</v>
      </c>
      <c r="D46" s="644">
        <v>1439</v>
      </c>
      <c r="E46" s="644">
        <v>252</v>
      </c>
      <c r="F46" s="644">
        <v>-170</v>
      </c>
      <c r="G46" s="644"/>
      <c r="H46" s="644"/>
      <c r="I46" s="644"/>
      <c r="J46" s="644"/>
      <c r="K46" s="1067"/>
      <c r="L46" s="644"/>
      <c r="M46" s="644"/>
      <c r="N46" s="644"/>
      <c r="O46" s="644"/>
      <c r="P46" s="644"/>
      <c r="Q46" s="644"/>
      <c r="R46" s="644"/>
      <c r="S46" s="644"/>
      <c r="T46" s="644"/>
      <c r="U46" s="644"/>
      <c r="V46" s="649"/>
      <c r="W46" s="1026">
        <f t="shared" ref="W46:W47" si="4">SUM(D46:V46)</f>
        <v>1521</v>
      </c>
      <c r="X46" s="644"/>
      <c r="Y46" s="649"/>
      <c r="Z46" s="649"/>
      <c r="AA46" s="649">
        <v>1521</v>
      </c>
      <c r="AB46" s="649"/>
      <c r="AC46" s="649"/>
      <c r="AD46" s="649"/>
      <c r="AE46" s="649"/>
      <c r="AF46" s="649"/>
      <c r="AG46" s="649"/>
      <c r="AH46" s="649"/>
      <c r="AI46" s="1027">
        <f t="shared" ref="AI46:AI47" si="5">SUM(X46:AH46)</f>
        <v>1521</v>
      </c>
    </row>
    <row r="47" spans="1:35" x14ac:dyDescent="0.2">
      <c r="A47" s="1014" t="s">
        <v>931</v>
      </c>
      <c r="B47" s="685" t="s">
        <v>1060</v>
      </c>
      <c r="C47" s="648" t="s">
        <v>1061</v>
      </c>
      <c r="D47" s="644">
        <v>1354</v>
      </c>
      <c r="E47" s="644">
        <v>218</v>
      </c>
      <c r="F47" s="644"/>
      <c r="G47" s="644"/>
      <c r="H47" s="644"/>
      <c r="I47" s="644"/>
      <c r="J47" s="644"/>
      <c r="K47" s="1067"/>
      <c r="L47" s="644"/>
      <c r="M47" s="644"/>
      <c r="N47" s="644"/>
      <c r="O47" s="644"/>
      <c r="P47" s="644">
        <v>-1572</v>
      </c>
      <c r="Q47" s="644"/>
      <c r="R47" s="644"/>
      <c r="S47" s="644"/>
      <c r="T47" s="644"/>
      <c r="U47" s="644"/>
      <c r="V47" s="649"/>
      <c r="W47" s="1026">
        <f t="shared" si="4"/>
        <v>0</v>
      </c>
      <c r="X47" s="644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1027">
        <f t="shared" si="5"/>
        <v>0</v>
      </c>
    </row>
    <row r="48" spans="1:35" x14ac:dyDescent="0.2">
      <c r="A48" s="1014" t="s">
        <v>932</v>
      </c>
      <c r="B48" s="685" t="s">
        <v>1062</v>
      </c>
      <c r="C48" s="647" t="s">
        <v>1063</v>
      </c>
      <c r="D48" s="644"/>
      <c r="E48" s="644"/>
      <c r="F48" s="644"/>
      <c r="G48" s="644"/>
      <c r="H48" s="644"/>
      <c r="I48" s="644"/>
      <c r="J48" s="644">
        <v>131</v>
      </c>
      <c r="K48" s="1067"/>
      <c r="L48" s="644"/>
      <c r="M48" s="644"/>
      <c r="N48" s="644"/>
      <c r="O48" s="644"/>
      <c r="P48" s="644">
        <v>-131</v>
      </c>
      <c r="Q48" s="644"/>
      <c r="R48" s="644"/>
      <c r="S48" s="644"/>
      <c r="T48" s="644"/>
      <c r="U48" s="644"/>
      <c r="V48" s="649"/>
      <c r="W48" s="1026">
        <f t="shared" si="0"/>
        <v>0</v>
      </c>
      <c r="X48" s="644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1027">
        <f t="shared" si="1"/>
        <v>0</v>
      </c>
    </row>
    <row r="49" spans="1:35" x14ac:dyDescent="0.2">
      <c r="A49" s="1014" t="s">
        <v>933</v>
      </c>
      <c r="B49" s="685" t="s">
        <v>1064</v>
      </c>
      <c r="C49" s="647" t="s">
        <v>1065</v>
      </c>
      <c r="D49" s="649">
        <v>50</v>
      </c>
      <c r="E49" s="649"/>
      <c r="F49" s="644">
        <v>-50</v>
      </c>
      <c r="G49" s="649"/>
      <c r="H49" s="649"/>
      <c r="I49" s="649"/>
      <c r="J49" s="649"/>
      <c r="K49" s="1035"/>
      <c r="L49" s="649"/>
      <c r="M49" s="649"/>
      <c r="N49" s="649"/>
      <c r="O49" s="649"/>
      <c r="P49" s="644"/>
      <c r="Q49" s="644"/>
      <c r="R49" s="644"/>
      <c r="S49" s="644"/>
      <c r="T49" s="649"/>
      <c r="U49" s="649"/>
      <c r="V49" s="649"/>
      <c r="W49" s="1026">
        <f t="shared" si="0"/>
        <v>0</v>
      </c>
      <c r="X49" s="644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1027">
        <f t="shared" si="1"/>
        <v>0</v>
      </c>
    </row>
    <row r="50" spans="1:35" x14ac:dyDescent="0.2">
      <c r="A50" s="1014" t="s">
        <v>1066</v>
      </c>
      <c r="B50" s="685" t="s">
        <v>1067</v>
      </c>
      <c r="C50" s="647" t="s">
        <v>1068</v>
      </c>
      <c r="D50" s="649"/>
      <c r="E50" s="649"/>
      <c r="F50" s="644"/>
      <c r="G50" s="649"/>
      <c r="H50" s="649"/>
      <c r="I50" s="649">
        <v>72</v>
      </c>
      <c r="J50" s="649"/>
      <c r="K50" s="1035"/>
      <c r="L50" s="649"/>
      <c r="M50" s="649"/>
      <c r="N50" s="649"/>
      <c r="O50" s="649"/>
      <c r="P50" s="644"/>
      <c r="Q50" s="644"/>
      <c r="R50" s="644"/>
      <c r="S50" s="644"/>
      <c r="T50" s="649"/>
      <c r="U50" s="649"/>
      <c r="V50" s="649"/>
      <c r="W50" s="1026">
        <f t="shared" si="0"/>
        <v>72</v>
      </c>
      <c r="X50" s="644"/>
      <c r="Y50" s="649"/>
      <c r="Z50" s="649">
        <v>72</v>
      </c>
      <c r="AA50" s="649"/>
      <c r="AB50" s="649"/>
      <c r="AC50" s="649"/>
      <c r="AD50" s="649"/>
      <c r="AE50" s="649"/>
      <c r="AF50" s="649"/>
      <c r="AG50" s="649"/>
      <c r="AH50" s="649"/>
      <c r="AI50" s="1027">
        <f t="shared" si="1"/>
        <v>72</v>
      </c>
    </row>
    <row r="51" spans="1:35" x14ac:dyDescent="0.2">
      <c r="A51" s="1014" t="s">
        <v>1069</v>
      </c>
      <c r="B51" s="685" t="s">
        <v>1070</v>
      </c>
      <c r="C51" s="647" t="s">
        <v>1071</v>
      </c>
      <c r="D51" s="649"/>
      <c r="E51" s="649"/>
      <c r="F51" s="644">
        <v>11120</v>
      </c>
      <c r="G51" s="649"/>
      <c r="H51" s="649"/>
      <c r="I51" s="649"/>
      <c r="J51" s="649"/>
      <c r="K51" s="1035"/>
      <c r="L51" s="649"/>
      <c r="M51" s="649"/>
      <c r="N51" s="649"/>
      <c r="O51" s="649"/>
      <c r="P51" s="644"/>
      <c r="Q51" s="644"/>
      <c r="R51" s="644"/>
      <c r="S51" s="644"/>
      <c r="T51" s="649"/>
      <c r="U51" s="649"/>
      <c r="V51" s="649"/>
      <c r="W51" s="1026">
        <f t="shared" si="0"/>
        <v>11120</v>
      </c>
      <c r="X51" s="644"/>
      <c r="Y51" s="649"/>
      <c r="Z51" s="649"/>
      <c r="AA51" s="649"/>
      <c r="AB51" s="649"/>
      <c r="AC51" s="649">
        <v>10400</v>
      </c>
      <c r="AD51" s="649"/>
      <c r="AE51" s="649"/>
      <c r="AF51" s="649">
        <v>720</v>
      </c>
      <c r="AG51" s="649"/>
      <c r="AH51" s="649"/>
      <c r="AI51" s="1027">
        <f t="shared" si="1"/>
        <v>11120</v>
      </c>
    </row>
    <row r="52" spans="1:35" x14ac:dyDescent="0.2">
      <c r="A52" s="1014" t="s">
        <v>1072</v>
      </c>
      <c r="B52" s="685" t="s">
        <v>1073</v>
      </c>
      <c r="C52" s="647" t="s">
        <v>1074</v>
      </c>
      <c r="D52" s="649"/>
      <c r="E52" s="649"/>
      <c r="F52" s="644"/>
      <c r="G52" s="649"/>
      <c r="H52" s="649">
        <v>25</v>
      </c>
      <c r="I52" s="649"/>
      <c r="J52" s="649"/>
      <c r="K52" s="1035"/>
      <c r="L52" s="649"/>
      <c r="M52" s="649"/>
      <c r="N52" s="649"/>
      <c r="O52" s="649"/>
      <c r="P52" s="644"/>
      <c r="Q52" s="644"/>
      <c r="R52" s="644"/>
      <c r="S52" s="644"/>
      <c r="T52" s="649"/>
      <c r="U52" s="649"/>
      <c r="V52" s="649"/>
      <c r="W52" s="1026">
        <f t="shared" si="0"/>
        <v>25</v>
      </c>
      <c r="X52" s="644"/>
      <c r="Y52" s="649"/>
      <c r="Z52" s="649"/>
      <c r="AA52" s="649">
        <v>25</v>
      </c>
      <c r="AB52" s="649"/>
      <c r="AC52" s="649"/>
      <c r="AD52" s="649"/>
      <c r="AE52" s="649"/>
      <c r="AF52" s="649"/>
      <c r="AG52" s="649"/>
      <c r="AH52" s="649"/>
      <c r="AI52" s="1027">
        <f t="shared" si="1"/>
        <v>25</v>
      </c>
    </row>
    <row r="53" spans="1:35" x14ac:dyDescent="0.2">
      <c r="A53" s="1014" t="s">
        <v>1075</v>
      </c>
      <c r="B53" s="685" t="s">
        <v>1076</v>
      </c>
      <c r="C53" s="647" t="s">
        <v>1077</v>
      </c>
      <c r="D53" s="649"/>
      <c r="E53" s="649"/>
      <c r="F53" s="644"/>
      <c r="G53" s="649"/>
      <c r="H53" s="649">
        <f>59+237+1785-246</f>
        <v>1835</v>
      </c>
      <c r="I53" s="649"/>
      <c r="J53" s="649"/>
      <c r="K53" s="1035"/>
      <c r="L53" s="649"/>
      <c r="M53" s="649"/>
      <c r="N53" s="649">
        <f>10+15+144+144</f>
        <v>313</v>
      </c>
      <c r="O53" s="649"/>
      <c r="P53" s="644">
        <v>2652</v>
      </c>
      <c r="Q53" s="644"/>
      <c r="R53" s="644"/>
      <c r="S53" s="644"/>
      <c r="T53" s="649"/>
      <c r="U53" s="649"/>
      <c r="V53" s="649"/>
      <c r="W53" s="1026">
        <f t="shared" ref="W53" si="6">SUM(D53:V53)</f>
        <v>4800</v>
      </c>
      <c r="X53" s="644"/>
      <c r="Y53" s="649"/>
      <c r="Z53" s="649">
        <f>84+237+1785+144+2550</f>
        <v>4800</v>
      </c>
      <c r="AA53" s="649"/>
      <c r="AB53" s="649"/>
      <c r="AC53" s="649"/>
      <c r="AD53" s="649"/>
      <c r="AE53" s="649"/>
      <c r="AF53" s="649"/>
      <c r="AG53" s="649"/>
      <c r="AH53" s="649"/>
      <c r="AI53" s="1027">
        <f t="shared" ref="AI53" si="7">SUM(X53:AH53)</f>
        <v>4800</v>
      </c>
    </row>
    <row r="54" spans="1:35" x14ac:dyDescent="0.2">
      <c r="A54" s="1014" t="s">
        <v>1080</v>
      </c>
      <c r="B54" s="685" t="s">
        <v>1078</v>
      </c>
      <c r="C54" s="647" t="s">
        <v>1079</v>
      </c>
      <c r="D54" s="649"/>
      <c r="E54" s="649"/>
      <c r="F54" s="644">
        <v>218</v>
      </c>
      <c r="G54" s="649">
        <v>-218</v>
      </c>
      <c r="H54" s="649"/>
      <c r="I54" s="649"/>
      <c r="J54" s="649"/>
      <c r="K54" s="1035"/>
      <c r="L54" s="649"/>
      <c r="M54" s="649"/>
      <c r="N54" s="649"/>
      <c r="O54" s="649"/>
      <c r="P54" s="644"/>
      <c r="Q54" s="644"/>
      <c r="R54" s="644"/>
      <c r="S54" s="644"/>
      <c r="T54" s="649"/>
      <c r="U54" s="649"/>
      <c r="V54" s="649"/>
      <c r="W54" s="1026">
        <f t="shared" si="0"/>
        <v>0</v>
      </c>
      <c r="X54" s="644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027">
        <f t="shared" si="1"/>
        <v>0</v>
      </c>
    </row>
    <row r="55" spans="1:35" x14ac:dyDescent="0.2">
      <c r="A55" s="1014" t="s">
        <v>1081</v>
      </c>
      <c r="B55" s="685" t="s">
        <v>1082</v>
      </c>
      <c r="C55" s="647" t="s">
        <v>1083</v>
      </c>
      <c r="D55" s="649"/>
      <c r="E55" s="649"/>
      <c r="F55" s="644">
        <v>-376</v>
      </c>
      <c r="G55" s="649"/>
      <c r="H55" s="649"/>
      <c r="I55" s="649"/>
      <c r="J55" s="649">
        <v>376</v>
      </c>
      <c r="K55" s="1035"/>
      <c r="L55" s="649"/>
      <c r="M55" s="649"/>
      <c r="N55" s="649"/>
      <c r="O55" s="649"/>
      <c r="P55" s="644"/>
      <c r="Q55" s="644"/>
      <c r="R55" s="644"/>
      <c r="S55" s="644"/>
      <c r="T55" s="649"/>
      <c r="U55" s="649"/>
      <c r="V55" s="649"/>
      <c r="W55" s="1026">
        <f t="shared" ref="W55" si="8">SUM(D55:V55)</f>
        <v>0</v>
      </c>
      <c r="X55" s="644"/>
      <c r="Y55" s="649"/>
      <c r="Z55" s="649"/>
      <c r="AA55" s="649"/>
      <c r="AB55" s="649"/>
      <c r="AC55" s="649"/>
      <c r="AD55" s="649"/>
      <c r="AE55" s="649"/>
      <c r="AF55" s="649"/>
      <c r="AG55" s="649"/>
      <c r="AH55" s="649"/>
      <c r="AI55" s="1027">
        <f t="shared" ref="AI55" si="9">SUM(X55:AH55)</f>
        <v>0</v>
      </c>
    </row>
    <row r="56" spans="1:35" x14ac:dyDescent="0.2">
      <c r="A56" s="1014"/>
      <c r="B56" s="685"/>
      <c r="C56" s="647"/>
      <c r="D56" s="649"/>
      <c r="E56" s="649"/>
      <c r="F56" s="644"/>
      <c r="G56" s="649"/>
      <c r="H56" s="649"/>
      <c r="I56" s="649"/>
      <c r="J56" s="649"/>
      <c r="K56" s="1035"/>
      <c r="L56" s="649"/>
      <c r="M56" s="649"/>
      <c r="N56" s="649"/>
      <c r="O56" s="649"/>
      <c r="P56" s="644"/>
      <c r="Q56" s="644"/>
      <c r="R56" s="644"/>
      <c r="S56" s="644"/>
      <c r="T56" s="649"/>
      <c r="U56" s="649"/>
      <c r="V56" s="649"/>
      <c r="W56" s="1026">
        <f t="shared" si="0"/>
        <v>0</v>
      </c>
      <c r="X56" s="644"/>
      <c r="Y56" s="649"/>
      <c r="Z56" s="649"/>
      <c r="AA56" s="649"/>
      <c r="AB56" s="649"/>
      <c r="AC56" s="649"/>
      <c r="AD56" s="649"/>
      <c r="AE56" s="649"/>
      <c r="AF56" s="649"/>
      <c r="AG56" s="649"/>
      <c r="AH56" s="649"/>
      <c r="AI56" s="1027">
        <f t="shared" si="1"/>
        <v>0</v>
      </c>
    </row>
    <row r="57" spans="1:35" s="1040" customFormat="1" ht="13.5" thickBot="1" x14ac:dyDescent="0.25">
      <c r="A57" s="1036"/>
      <c r="B57" s="1037"/>
      <c r="C57" s="1038" t="s">
        <v>180</v>
      </c>
      <c r="D57" s="1039">
        <f t="shared" ref="D57:V57" si="10">SUM(D5:D56)</f>
        <v>-5652</v>
      </c>
      <c r="E57" s="1039">
        <f t="shared" si="10"/>
        <v>645</v>
      </c>
      <c r="F57" s="650">
        <f t="shared" si="10"/>
        <v>77351</v>
      </c>
      <c r="G57" s="1039">
        <f t="shared" si="10"/>
        <v>-176</v>
      </c>
      <c r="H57" s="1039">
        <f t="shared" si="10"/>
        <v>5870</v>
      </c>
      <c r="I57" s="1039">
        <f t="shared" si="10"/>
        <v>3572</v>
      </c>
      <c r="J57" s="1039">
        <f t="shared" si="10"/>
        <v>-50507</v>
      </c>
      <c r="K57" s="1039">
        <f t="shared" si="10"/>
        <v>109889</v>
      </c>
      <c r="L57" s="1039">
        <f t="shared" si="10"/>
        <v>0</v>
      </c>
      <c r="M57" s="1039">
        <f t="shared" si="10"/>
        <v>0</v>
      </c>
      <c r="N57" s="1039">
        <f t="shared" si="10"/>
        <v>6255</v>
      </c>
      <c r="O57" s="1039">
        <f t="shared" si="10"/>
        <v>0</v>
      </c>
      <c r="P57" s="650">
        <f t="shared" si="10"/>
        <v>-12692</v>
      </c>
      <c r="Q57" s="650">
        <f t="shared" si="10"/>
        <v>-4087</v>
      </c>
      <c r="R57" s="650">
        <f t="shared" si="10"/>
        <v>0</v>
      </c>
      <c r="S57" s="650">
        <f t="shared" si="10"/>
        <v>-73073</v>
      </c>
      <c r="T57" s="1039">
        <f t="shared" si="10"/>
        <v>0</v>
      </c>
      <c r="U57" s="1039">
        <f t="shared" si="10"/>
        <v>3226</v>
      </c>
      <c r="V57" s="1039">
        <f t="shared" si="10"/>
        <v>0</v>
      </c>
      <c r="W57" s="1026">
        <f>SUM(D57:V57)</f>
        <v>60621</v>
      </c>
      <c r="X57" s="651">
        <f>SUM(X5:X56)</f>
        <v>0</v>
      </c>
      <c r="Y57" s="651">
        <f>SUM(Y6:Y56)</f>
        <v>4426</v>
      </c>
      <c r="Z57" s="651">
        <f t="shared" ref="Z57:AG57" si="11">SUM(Z5:Z56)</f>
        <v>11447</v>
      </c>
      <c r="AA57" s="651">
        <f t="shared" si="11"/>
        <v>1588</v>
      </c>
      <c r="AB57" s="651">
        <f t="shared" si="11"/>
        <v>0</v>
      </c>
      <c r="AC57" s="651">
        <f t="shared" si="11"/>
        <v>42440</v>
      </c>
      <c r="AD57" s="651">
        <f t="shared" si="11"/>
        <v>0</v>
      </c>
      <c r="AE57" s="651">
        <f t="shared" si="11"/>
        <v>0</v>
      </c>
      <c r="AF57" s="651">
        <f t="shared" si="11"/>
        <v>720</v>
      </c>
      <c r="AG57" s="651">
        <f t="shared" si="11"/>
        <v>0</v>
      </c>
      <c r="AH57" s="651">
        <f>SUM(AH6:AH56)</f>
        <v>0</v>
      </c>
      <c r="AI57" s="1027">
        <f t="shared" si="1"/>
        <v>60621</v>
      </c>
    </row>
    <row r="60" spans="1:35" x14ac:dyDescent="0.2">
      <c r="W60" s="1042"/>
    </row>
    <row r="61" spans="1:35" x14ac:dyDescent="0.2">
      <c r="K61" s="640"/>
      <c r="P61" s="640"/>
      <c r="Q61" s="640"/>
      <c r="R61" s="640"/>
      <c r="S61" s="640"/>
      <c r="X61" s="640"/>
    </row>
  </sheetData>
  <mergeCells count="38">
    <mergeCell ref="K3:K4"/>
    <mergeCell ref="A1:W1"/>
    <mergeCell ref="AG1:AI1"/>
    <mergeCell ref="A2:A4"/>
    <mergeCell ref="B2:B4"/>
    <mergeCell ref="C2:C4"/>
    <mergeCell ref="D2:U2"/>
    <mergeCell ref="W2:W4"/>
    <mergeCell ref="X2:AH2"/>
    <mergeCell ref="AI2:AI4"/>
    <mergeCell ref="D3:D4"/>
    <mergeCell ref="E3:E4"/>
    <mergeCell ref="F3:F4"/>
    <mergeCell ref="G3:G4"/>
    <mergeCell ref="H3:I3"/>
    <mergeCell ref="J3:J4"/>
    <mergeCell ref="X3:X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E3:AE4"/>
    <mergeCell ref="AF3:AF4"/>
    <mergeCell ref="AG3:AG4"/>
    <mergeCell ref="AH3:AH4"/>
    <mergeCell ref="Y3:Y4"/>
    <mergeCell ref="Z3:Z4"/>
    <mergeCell ref="AA3:AA4"/>
    <mergeCell ref="AB3:AB4"/>
    <mergeCell ref="AC3:AC4"/>
    <mergeCell ref="AD3:AD4"/>
  </mergeCells>
  <pageMargins left="0.70866141732283472" right="0.70866141732283472" top="0.74803149606299213" bottom="0.74803149606299213" header="0.31496062992125984" footer="0.31496062992125984"/>
  <pageSetup paperSize="8" scale="75" fitToWidth="2" orientation="landscape" r:id="rId1"/>
  <headerFooter>
    <oddHeader>&amp;C&amp;"Times New Roman,Félkövér"&amp;12Martonvásár Város Önkormányzatának 2019. évi költségvetés módosításainak részletezése&amp;R&amp;"Times New Roman,Félkövér"&amp;12 12.a melléklet</oddHeader>
  </headerFooter>
  <colBreaks count="1" manualBreakCount="1">
    <brk id="2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zoomScaleNormal="100" workbookViewId="0">
      <selection activeCell="L21" sqref="L21"/>
    </sheetView>
  </sheetViews>
  <sheetFormatPr defaultColWidth="9.140625" defaultRowHeight="12.75" x14ac:dyDescent="0.2"/>
  <cols>
    <col min="1" max="1" width="5.7109375" style="640" customWidth="1"/>
    <col min="2" max="2" width="61.5703125" style="640" bestFit="1" customWidth="1"/>
    <col min="3" max="3" width="7.42578125" style="640" customWidth="1"/>
    <col min="4" max="4" width="5.7109375" style="640" customWidth="1"/>
    <col min="5" max="5" width="9" style="640" hidden="1" customWidth="1"/>
    <col min="6" max="6" width="11.140625" style="640" hidden="1" customWidth="1"/>
    <col min="7" max="7" width="12.7109375" style="640" hidden="1" customWidth="1"/>
    <col min="8" max="8" width="4.140625" style="640" hidden="1" customWidth="1"/>
    <col min="9" max="9" width="9.42578125" style="640" hidden="1" customWidth="1"/>
    <col min="10" max="10" width="0.140625" style="640" customWidth="1"/>
    <col min="11" max="11" width="8.140625" style="640" customWidth="1"/>
    <col min="12" max="12" width="7.85546875" style="640" customWidth="1"/>
    <col min="13" max="13" width="8.5703125" style="640" customWidth="1"/>
    <col min="14" max="14" width="7.28515625" style="640" customWidth="1"/>
    <col min="15" max="15" width="6.5703125" style="640" customWidth="1"/>
    <col min="16" max="16" width="8.140625" style="640" customWidth="1"/>
    <col min="17" max="17" width="9" style="640" customWidth="1"/>
    <col min="18" max="18" width="8.85546875" style="640" customWidth="1"/>
    <col min="19" max="19" width="8.28515625" style="640" customWidth="1"/>
    <col min="20" max="21" width="9.140625" style="640"/>
    <col min="22" max="23" width="9" style="640" customWidth="1"/>
    <col min="24" max="24" width="6.85546875" style="640" customWidth="1"/>
    <col min="25" max="25" width="7.85546875" style="640" customWidth="1"/>
    <col min="26" max="26" width="9.28515625" style="640" customWidth="1"/>
    <col min="27" max="27" width="7" style="640" hidden="1" customWidth="1"/>
    <col min="28" max="16384" width="9.140625" style="640"/>
  </cols>
  <sheetData>
    <row r="1" spans="1:28" ht="15" customHeight="1" thickBot="1" x14ac:dyDescent="0.25">
      <c r="Y1" s="1392" t="s">
        <v>391</v>
      </c>
      <c r="Z1" s="1392"/>
      <c r="AA1" s="1392"/>
      <c r="AB1" s="1392"/>
    </row>
    <row r="2" spans="1:28" ht="31.5" customHeight="1" x14ac:dyDescent="0.2">
      <c r="A2" s="1393" t="s">
        <v>348</v>
      </c>
      <c r="B2" s="1404" t="s">
        <v>728</v>
      </c>
      <c r="C2" s="1407" t="s">
        <v>309</v>
      </c>
      <c r="D2" s="1407"/>
      <c r="E2" s="1407"/>
      <c r="F2" s="1407"/>
      <c r="G2" s="1407"/>
      <c r="H2" s="1407"/>
      <c r="I2" s="1407"/>
      <c r="J2" s="1407"/>
      <c r="K2" s="1407"/>
      <c r="L2" s="1407"/>
      <c r="M2" s="1407"/>
      <c r="N2" s="1407"/>
      <c r="O2" s="1407"/>
      <c r="P2" s="1407"/>
      <c r="Q2" s="1408" t="s">
        <v>288</v>
      </c>
      <c r="R2" s="1407" t="s">
        <v>302</v>
      </c>
      <c r="S2" s="1407"/>
      <c r="T2" s="1407"/>
      <c r="U2" s="1407"/>
      <c r="V2" s="1407"/>
      <c r="W2" s="1407"/>
      <c r="X2" s="1407"/>
      <c r="Y2" s="1407"/>
      <c r="Z2" s="1410"/>
      <c r="AA2" s="1408" t="s">
        <v>729</v>
      </c>
      <c r="AB2" s="1414" t="s">
        <v>755</v>
      </c>
    </row>
    <row r="3" spans="1:28" s="652" customFormat="1" ht="25.5" customHeight="1" x14ac:dyDescent="0.25">
      <c r="A3" s="1394"/>
      <c r="B3" s="1405"/>
      <c r="C3" s="1411" t="s">
        <v>756</v>
      </c>
      <c r="D3" s="1411" t="s">
        <v>757</v>
      </c>
      <c r="E3" s="1411" t="s">
        <v>758</v>
      </c>
      <c r="F3" s="1411"/>
      <c r="G3" s="1411"/>
      <c r="H3" s="1411"/>
      <c r="I3" s="1411"/>
      <c r="J3" s="1411"/>
      <c r="K3" s="1411" t="s">
        <v>151</v>
      </c>
      <c r="L3" s="1411" t="s">
        <v>163</v>
      </c>
      <c r="M3" s="1385"/>
      <c r="N3" s="1411" t="s">
        <v>733</v>
      </c>
      <c r="O3" s="1411" t="s">
        <v>668</v>
      </c>
      <c r="P3" s="1411" t="s">
        <v>759</v>
      </c>
      <c r="Q3" s="1409"/>
      <c r="R3" s="1411" t="s">
        <v>744</v>
      </c>
      <c r="S3" s="1411" t="s">
        <v>745</v>
      </c>
      <c r="T3" s="1411" t="s">
        <v>737</v>
      </c>
      <c r="U3" s="1411" t="s">
        <v>760</v>
      </c>
      <c r="V3" s="1385"/>
      <c r="W3" s="1412" t="s">
        <v>761</v>
      </c>
      <c r="X3" s="1411" t="s">
        <v>762</v>
      </c>
      <c r="Y3" s="1385"/>
      <c r="Z3" s="1412" t="s">
        <v>777</v>
      </c>
      <c r="AA3" s="1409"/>
      <c r="AB3" s="1415"/>
    </row>
    <row r="4" spans="1:28" s="652" customFormat="1" ht="23.25" customHeight="1" x14ac:dyDescent="0.25">
      <c r="A4" s="1394"/>
      <c r="B4" s="1406"/>
      <c r="C4" s="1411"/>
      <c r="D4" s="1411"/>
      <c r="E4" s="653" t="s">
        <v>763</v>
      </c>
      <c r="F4" s="653" t="s">
        <v>764</v>
      </c>
      <c r="G4" s="653" t="s">
        <v>765</v>
      </c>
      <c r="H4" s="653" t="s">
        <v>766</v>
      </c>
      <c r="I4" s="653" t="s">
        <v>767</v>
      </c>
      <c r="J4" s="653" t="s">
        <v>768</v>
      </c>
      <c r="K4" s="1411"/>
      <c r="L4" s="1075" t="s">
        <v>753</v>
      </c>
      <c r="M4" s="1075" t="s">
        <v>754</v>
      </c>
      <c r="N4" s="1411"/>
      <c r="O4" s="1411"/>
      <c r="P4" s="1411"/>
      <c r="Q4" s="1409"/>
      <c r="R4" s="1411"/>
      <c r="S4" s="1411"/>
      <c r="T4" s="1411"/>
      <c r="U4" s="1075" t="s">
        <v>769</v>
      </c>
      <c r="V4" s="1075" t="s">
        <v>770</v>
      </c>
      <c r="W4" s="1413"/>
      <c r="X4" s="1075" t="s">
        <v>769</v>
      </c>
      <c r="Y4" s="1075" t="s">
        <v>770</v>
      </c>
      <c r="Z4" s="1416"/>
      <c r="AA4" s="1409"/>
      <c r="AB4" s="1415"/>
    </row>
    <row r="5" spans="1:28" s="681" customFormat="1" x14ac:dyDescent="0.25">
      <c r="A5" s="1074" t="s">
        <v>308</v>
      </c>
      <c r="B5" s="675" t="s">
        <v>954</v>
      </c>
      <c r="C5" s="677">
        <v>91</v>
      </c>
      <c r="D5" s="677"/>
      <c r="E5" s="677"/>
      <c r="F5" s="677"/>
      <c r="G5" s="677"/>
      <c r="H5" s="677"/>
      <c r="I5" s="677"/>
      <c r="J5" s="677"/>
      <c r="K5" s="683">
        <v>-91</v>
      </c>
      <c r="L5" s="677"/>
      <c r="M5" s="677"/>
      <c r="N5" s="677"/>
      <c r="O5" s="677"/>
      <c r="P5" s="677"/>
      <c r="Q5" s="678">
        <f>SUM(C5:P5)</f>
        <v>0</v>
      </c>
      <c r="R5" s="677"/>
      <c r="S5" s="677"/>
      <c r="T5" s="677"/>
      <c r="U5" s="677"/>
      <c r="V5" s="677"/>
      <c r="W5" s="677"/>
      <c r="X5" s="677"/>
      <c r="Y5" s="677"/>
      <c r="Z5" s="679"/>
      <c r="AA5" s="678"/>
      <c r="AB5" s="680">
        <f>SUM(R5:AA5)</f>
        <v>0</v>
      </c>
    </row>
    <row r="6" spans="1:28" s="681" customFormat="1" x14ac:dyDescent="0.25">
      <c r="A6" s="1074" t="s">
        <v>401</v>
      </c>
      <c r="B6" s="682" t="s">
        <v>553</v>
      </c>
      <c r="C6" s="677">
        <f>13+13+13</f>
        <v>39</v>
      </c>
      <c r="D6" s="677">
        <f>2+2+2</f>
        <v>6</v>
      </c>
      <c r="E6" s="677"/>
      <c r="F6" s="677"/>
      <c r="G6" s="677"/>
      <c r="H6" s="677"/>
      <c r="I6" s="677"/>
      <c r="J6" s="677"/>
      <c r="K6" s="683"/>
      <c r="L6" s="677"/>
      <c r="M6" s="677"/>
      <c r="N6" s="677"/>
      <c r="O6" s="677"/>
      <c r="P6" s="677"/>
      <c r="Q6" s="678">
        <f t="shared" ref="Q6:Q10" si="0">SUM(C6:P6)</f>
        <v>45</v>
      </c>
      <c r="R6" s="677"/>
      <c r="S6" s="677"/>
      <c r="T6" s="677">
        <f>15+15+15</f>
        <v>45</v>
      </c>
      <c r="U6" s="677"/>
      <c r="V6" s="677"/>
      <c r="W6" s="677"/>
      <c r="X6" s="677"/>
      <c r="Y6" s="677"/>
      <c r="Z6" s="679"/>
      <c r="AA6" s="678"/>
      <c r="AB6" s="680">
        <f t="shared" ref="AB6:AB10" si="1">SUM(R6:AA6)</f>
        <v>45</v>
      </c>
    </row>
    <row r="7" spans="1:28" s="681" customFormat="1" x14ac:dyDescent="0.25">
      <c r="A7" s="1074" t="s">
        <v>457</v>
      </c>
      <c r="B7" s="682" t="s">
        <v>955</v>
      </c>
      <c r="C7" s="677"/>
      <c r="D7" s="677"/>
      <c r="E7" s="677"/>
      <c r="F7" s="677"/>
      <c r="G7" s="677"/>
      <c r="H7" s="677"/>
      <c r="I7" s="677"/>
      <c r="J7" s="677"/>
      <c r="K7" s="683">
        <v>122</v>
      </c>
      <c r="L7" s="677"/>
      <c r="M7" s="677"/>
      <c r="N7" s="677">
        <v>-122</v>
      </c>
      <c r="O7" s="677"/>
      <c r="P7" s="677"/>
      <c r="Q7" s="678">
        <f t="shared" si="0"/>
        <v>0</v>
      </c>
      <c r="R7" s="677"/>
      <c r="S7" s="677"/>
      <c r="T7" s="677"/>
      <c r="U7" s="677"/>
      <c r="V7" s="677"/>
      <c r="W7" s="677"/>
      <c r="X7" s="677"/>
      <c r="Y7" s="677"/>
      <c r="Z7" s="679"/>
      <c r="AA7" s="678"/>
      <c r="AB7" s="680">
        <f t="shared" si="1"/>
        <v>0</v>
      </c>
    </row>
    <row r="8" spans="1:28" s="681" customFormat="1" x14ac:dyDescent="0.25">
      <c r="A8" s="1074" t="s">
        <v>458</v>
      </c>
      <c r="B8" s="682" t="s">
        <v>956</v>
      </c>
      <c r="C8" s="677">
        <f>149</f>
        <v>149</v>
      </c>
      <c r="D8" s="677"/>
      <c r="E8" s="677"/>
      <c r="F8" s="677"/>
      <c r="G8" s="677"/>
      <c r="H8" s="677"/>
      <c r="I8" s="677"/>
      <c r="J8" s="677"/>
      <c r="K8" s="683"/>
      <c r="L8" s="677"/>
      <c r="M8" s="677"/>
      <c r="N8" s="677"/>
      <c r="O8" s="677"/>
      <c r="P8" s="677"/>
      <c r="Q8" s="678">
        <f t="shared" si="0"/>
        <v>149</v>
      </c>
      <c r="R8" s="677"/>
      <c r="S8" s="677">
        <f>149</f>
        <v>149</v>
      </c>
      <c r="T8" s="677"/>
      <c r="U8" s="677"/>
      <c r="V8" s="677"/>
      <c r="W8" s="677"/>
      <c r="X8" s="677"/>
      <c r="Y8" s="677"/>
      <c r="Z8" s="679"/>
      <c r="AA8" s="678"/>
      <c r="AB8" s="680">
        <f t="shared" si="1"/>
        <v>149</v>
      </c>
    </row>
    <row r="9" spans="1:28" s="681" customFormat="1" x14ac:dyDescent="0.25">
      <c r="A9" s="1074" t="s">
        <v>459</v>
      </c>
      <c r="B9" s="675" t="s">
        <v>957</v>
      </c>
      <c r="C9" s="683">
        <f>43</f>
        <v>43</v>
      </c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3"/>
      <c r="O9" s="683"/>
      <c r="P9" s="683"/>
      <c r="Q9" s="678">
        <f t="shared" si="0"/>
        <v>43</v>
      </c>
      <c r="R9" s="683"/>
      <c r="S9" s="683"/>
      <c r="T9" s="683"/>
      <c r="U9" s="683">
        <f>43</f>
        <v>43</v>
      </c>
      <c r="V9" s="683"/>
      <c r="W9" s="683"/>
      <c r="X9" s="683"/>
      <c r="Y9" s="683"/>
      <c r="Z9" s="684"/>
      <c r="AA9" s="676"/>
      <c r="AB9" s="680">
        <f t="shared" si="1"/>
        <v>43</v>
      </c>
    </row>
    <row r="10" spans="1:28" s="681" customFormat="1" ht="12.75" customHeight="1" x14ac:dyDescent="0.25">
      <c r="A10" s="1074" t="s">
        <v>460</v>
      </c>
      <c r="B10" s="682" t="s">
        <v>958</v>
      </c>
      <c r="C10" s="683"/>
      <c r="D10" s="683"/>
      <c r="E10" s="683"/>
      <c r="F10" s="683"/>
      <c r="G10" s="683"/>
      <c r="H10" s="683"/>
      <c r="I10" s="683"/>
      <c r="J10" s="683"/>
      <c r="K10" s="683">
        <v>120</v>
      </c>
      <c r="L10" s="683"/>
      <c r="M10" s="683"/>
      <c r="N10" s="683"/>
      <c r="O10" s="683"/>
      <c r="P10" s="683"/>
      <c r="Q10" s="678">
        <f t="shared" si="0"/>
        <v>120</v>
      </c>
      <c r="R10" s="683"/>
      <c r="S10" s="683">
        <v>120</v>
      </c>
      <c r="T10" s="683"/>
      <c r="U10" s="683"/>
      <c r="V10" s="683"/>
      <c r="W10" s="683"/>
      <c r="X10" s="683"/>
      <c r="Y10" s="683"/>
      <c r="Z10" s="684"/>
      <c r="AA10" s="676"/>
      <c r="AB10" s="680">
        <f t="shared" si="1"/>
        <v>120</v>
      </c>
    </row>
    <row r="11" spans="1:28" s="681" customFormat="1" ht="12.75" customHeight="1" x14ac:dyDescent="0.25">
      <c r="A11" s="1074" t="s">
        <v>462</v>
      </c>
      <c r="B11" s="682" t="s">
        <v>959</v>
      </c>
      <c r="C11" s="683">
        <v>37</v>
      </c>
      <c r="D11" s="683">
        <v>17</v>
      </c>
      <c r="E11" s="683"/>
      <c r="F11" s="683"/>
      <c r="G11" s="683"/>
      <c r="H11" s="683"/>
      <c r="I11" s="683"/>
      <c r="J11" s="683"/>
      <c r="K11" s="683">
        <v>-54</v>
      </c>
      <c r="L11" s="683"/>
      <c r="M11" s="683"/>
      <c r="N11" s="683"/>
      <c r="O11" s="683"/>
      <c r="P11" s="683"/>
      <c r="Q11" s="678">
        <f t="shared" ref="Q11:Q14" si="2">C11+D11+K11++L11+M11+N11+O11+P11</f>
        <v>0</v>
      </c>
      <c r="R11" s="683"/>
      <c r="S11" s="683"/>
      <c r="T11" s="683"/>
      <c r="U11" s="683"/>
      <c r="V11" s="683"/>
      <c r="W11" s="683"/>
      <c r="X11" s="683"/>
      <c r="Y11" s="683"/>
      <c r="Z11" s="684"/>
      <c r="AA11" s="676"/>
      <c r="AB11" s="680">
        <f t="shared" ref="AB11:AB14" si="3">SUM(R11:AA11)</f>
        <v>0</v>
      </c>
    </row>
    <row r="12" spans="1:28" s="681" customFormat="1" ht="12.75" customHeight="1" x14ac:dyDescent="0.25">
      <c r="A12" s="1074" t="s">
        <v>463</v>
      </c>
      <c r="B12" s="682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78">
        <f t="shared" si="2"/>
        <v>0</v>
      </c>
      <c r="R12" s="683"/>
      <c r="S12" s="683"/>
      <c r="T12" s="683"/>
      <c r="U12" s="683"/>
      <c r="V12" s="683"/>
      <c r="W12" s="683"/>
      <c r="X12" s="683"/>
      <c r="Y12" s="683"/>
      <c r="Z12" s="684"/>
      <c r="AA12" s="676"/>
      <c r="AB12" s="680">
        <f t="shared" si="3"/>
        <v>0</v>
      </c>
    </row>
    <row r="13" spans="1:28" s="681" customFormat="1" ht="12.75" customHeight="1" x14ac:dyDescent="0.25">
      <c r="A13" s="1074"/>
      <c r="B13" s="682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78">
        <f t="shared" si="2"/>
        <v>0</v>
      </c>
      <c r="R13" s="683"/>
      <c r="S13" s="683"/>
      <c r="T13" s="683"/>
      <c r="U13" s="683"/>
      <c r="V13" s="683"/>
      <c r="W13" s="683"/>
      <c r="X13" s="683"/>
      <c r="Y13" s="683"/>
      <c r="Z13" s="684"/>
      <c r="AA13" s="676"/>
      <c r="AB13" s="680">
        <f t="shared" si="3"/>
        <v>0</v>
      </c>
    </row>
    <row r="14" spans="1:28" s="681" customFormat="1" ht="12.75" customHeight="1" x14ac:dyDescent="0.25">
      <c r="A14" s="1074"/>
      <c r="B14" s="682"/>
      <c r="C14" s="683"/>
      <c r="D14" s="683"/>
      <c r="E14" s="683"/>
      <c r="F14" s="683"/>
      <c r="G14" s="683"/>
      <c r="H14" s="683"/>
      <c r="I14" s="683"/>
      <c r="J14" s="683"/>
      <c r="K14" s="683">
        <f t="shared" ref="K14" si="4">SUM(E14:J14)</f>
        <v>0</v>
      </c>
      <c r="L14" s="683"/>
      <c r="M14" s="683"/>
      <c r="N14" s="683"/>
      <c r="O14" s="683"/>
      <c r="P14" s="683"/>
      <c r="Q14" s="678">
        <f t="shared" si="2"/>
        <v>0</v>
      </c>
      <c r="R14" s="683"/>
      <c r="S14" s="683"/>
      <c r="T14" s="683"/>
      <c r="U14" s="683"/>
      <c r="V14" s="683"/>
      <c r="W14" s="683"/>
      <c r="X14" s="683"/>
      <c r="Y14" s="683"/>
      <c r="Z14" s="684"/>
      <c r="AA14" s="676"/>
      <c r="AB14" s="678">
        <f t="shared" si="3"/>
        <v>0</v>
      </c>
    </row>
    <row r="15" spans="1:28" ht="13.5" thickBot="1" x14ac:dyDescent="0.25">
      <c r="A15" s="660"/>
      <c r="B15" s="872" t="s">
        <v>180</v>
      </c>
      <c r="C15" s="873">
        <f t="shared" ref="C15:P15" si="5">SUM(C5:C14)</f>
        <v>359</v>
      </c>
      <c r="D15" s="873">
        <f t="shared" si="5"/>
        <v>23</v>
      </c>
      <c r="E15" s="873">
        <f t="shared" si="5"/>
        <v>0</v>
      </c>
      <c r="F15" s="873">
        <f t="shared" si="5"/>
        <v>0</v>
      </c>
      <c r="G15" s="873">
        <f t="shared" si="5"/>
        <v>0</v>
      </c>
      <c r="H15" s="873">
        <f t="shared" si="5"/>
        <v>0</v>
      </c>
      <c r="I15" s="873">
        <f t="shared" si="5"/>
        <v>0</v>
      </c>
      <c r="J15" s="873">
        <f t="shared" si="5"/>
        <v>0</v>
      </c>
      <c r="K15" s="873">
        <f t="shared" si="5"/>
        <v>97</v>
      </c>
      <c r="L15" s="873">
        <f t="shared" si="5"/>
        <v>0</v>
      </c>
      <c r="M15" s="873">
        <f t="shared" si="5"/>
        <v>0</v>
      </c>
      <c r="N15" s="873">
        <f t="shared" si="5"/>
        <v>-122</v>
      </c>
      <c r="O15" s="873">
        <f t="shared" si="5"/>
        <v>0</v>
      </c>
      <c r="P15" s="873">
        <f t="shared" si="5"/>
        <v>0</v>
      </c>
      <c r="Q15" s="678">
        <f>C15+D15+K15++L15+M15+N15+O15+P15</f>
        <v>357</v>
      </c>
      <c r="R15" s="873">
        <f>SUM(R5:R14)</f>
        <v>0</v>
      </c>
      <c r="S15" s="873">
        <f t="shared" ref="S15:AB15" si="6">SUM(S5:S14)</f>
        <v>269</v>
      </c>
      <c r="T15" s="873">
        <f t="shared" si="6"/>
        <v>45</v>
      </c>
      <c r="U15" s="873">
        <f t="shared" si="6"/>
        <v>43</v>
      </c>
      <c r="V15" s="873">
        <f t="shared" si="6"/>
        <v>0</v>
      </c>
      <c r="W15" s="873">
        <f t="shared" si="6"/>
        <v>0</v>
      </c>
      <c r="X15" s="873">
        <f t="shared" si="6"/>
        <v>0</v>
      </c>
      <c r="Y15" s="873">
        <f t="shared" si="6"/>
        <v>0</v>
      </c>
      <c r="Z15" s="873">
        <f t="shared" si="6"/>
        <v>0</v>
      </c>
      <c r="AA15" s="873">
        <f t="shared" si="6"/>
        <v>0</v>
      </c>
      <c r="AB15" s="678">
        <f t="shared" si="6"/>
        <v>357</v>
      </c>
    </row>
  </sheetData>
  <mergeCells count="23">
    <mergeCell ref="AB2:AB4"/>
    <mergeCell ref="D3:D4"/>
    <mergeCell ref="S3:S4"/>
    <mergeCell ref="T3:T4"/>
    <mergeCell ref="O3:O4"/>
    <mergeCell ref="Z3:Z4"/>
    <mergeCell ref="P3:P4"/>
    <mergeCell ref="A2:A4"/>
    <mergeCell ref="B2:B4"/>
    <mergeCell ref="Y1:AB1"/>
    <mergeCell ref="C2:P2"/>
    <mergeCell ref="Q2:Q4"/>
    <mergeCell ref="R2:Z2"/>
    <mergeCell ref="AA2:AA4"/>
    <mergeCell ref="C3:C4"/>
    <mergeCell ref="E3:J3"/>
    <mergeCell ref="K3:K4"/>
    <mergeCell ref="L3:M3"/>
    <mergeCell ref="N3:N4"/>
    <mergeCell ref="R3:R4"/>
    <mergeCell ref="U3:V3"/>
    <mergeCell ref="W3:W4"/>
    <mergeCell ref="X3:Y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&amp;C&amp;"Times New Roman,Félkövér"&amp;12Martonvásár Város Önkormányzatának 2019. évi költségvetés módosításainak részletezése
Polgármesteri Hivatal&amp;R&amp;"Times New Roman,Félkövér"&amp;12 12.b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zoomScaleNormal="100" workbookViewId="0">
      <selection activeCell="G41" sqref="G41"/>
    </sheetView>
  </sheetViews>
  <sheetFormatPr defaultColWidth="9.140625" defaultRowHeight="12.75" x14ac:dyDescent="0.2"/>
  <cols>
    <col min="1" max="1" width="5.7109375" style="640" customWidth="1"/>
    <col min="2" max="2" width="48.140625" style="640" bestFit="1" customWidth="1"/>
    <col min="3" max="3" width="7.28515625" style="640" bestFit="1" customWidth="1"/>
    <col min="4" max="4" width="5.5703125" style="640" bestFit="1" customWidth="1"/>
    <col min="5" max="5" width="6.7109375" style="640" bestFit="1" customWidth="1"/>
    <col min="6" max="6" width="5.28515625" style="640" bestFit="1" customWidth="1"/>
    <col min="7" max="7" width="8.5703125" style="640" customWidth="1"/>
    <col min="8" max="8" width="7.28515625" style="640" customWidth="1"/>
    <col min="9" max="9" width="6.5703125" style="640" customWidth="1"/>
    <col min="10" max="10" width="8.140625" style="640" customWidth="1"/>
    <col min="11" max="11" width="9" style="640" customWidth="1"/>
    <col min="12" max="12" width="8.85546875" style="640" customWidth="1"/>
    <col min="13" max="13" width="8.28515625" style="640" customWidth="1"/>
    <col min="14" max="15" width="9.140625" style="640"/>
    <col min="16" max="17" width="9" style="640" customWidth="1"/>
    <col min="18" max="18" width="6.85546875" style="640" customWidth="1"/>
    <col min="19" max="19" width="7.85546875" style="640" customWidth="1"/>
    <col min="20" max="20" width="9.28515625" style="640" customWidth="1"/>
    <col min="21" max="16384" width="9.140625" style="640"/>
  </cols>
  <sheetData>
    <row r="1" spans="1:21" ht="15" customHeight="1" thickBot="1" x14ac:dyDescent="0.25">
      <c r="S1" s="1392" t="s">
        <v>391</v>
      </c>
      <c r="T1" s="1392"/>
      <c r="U1" s="1392"/>
    </row>
    <row r="2" spans="1:21" ht="31.5" customHeight="1" x14ac:dyDescent="0.2">
      <c r="A2" s="1393" t="s">
        <v>348</v>
      </c>
      <c r="B2" s="1417" t="s">
        <v>728</v>
      </c>
      <c r="C2" s="1407" t="s">
        <v>309</v>
      </c>
      <c r="D2" s="1407"/>
      <c r="E2" s="1407"/>
      <c r="F2" s="1407"/>
      <c r="G2" s="1407"/>
      <c r="H2" s="1407"/>
      <c r="I2" s="1407"/>
      <c r="J2" s="1407"/>
      <c r="K2" s="1408" t="s">
        <v>288</v>
      </c>
      <c r="L2" s="1407" t="s">
        <v>302</v>
      </c>
      <c r="M2" s="1407"/>
      <c r="N2" s="1407"/>
      <c r="O2" s="1407"/>
      <c r="P2" s="1407"/>
      <c r="Q2" s="1407"/>
      <c r="R2" s="1407"/>
      <c r="S2" s="1407"/>
      <c r="T2" s="1410"/>
      <c r="U2" s="1414" t="s">
        <v>755</v>
      </c>
    </row>
    <row r="3" spans="1:21" s="652" customFormat="1" ht="25.5" customHeight="1" x14ac:dyDescent="0.25">
      <c r="A3" s="1394"/>
      <c r="B3" s="1411"/>
      <c r="C3" s="1411" t="s">
        <v>756</v>
      </c>
      <c r="D3" s="1411" t="s">
        <v>757</v>
      </c>
      <c r="E3" s="1411" t="s">
        <v>151</v>
      </c>
      <c r="F3" s="1411" t="s">
        <v>163</v>
      </c>
      <c r="G3" s="1385"/>
      <c r="H3" s="1411" t="s">
        <v>733</v>
      </c>
      <c r="I3" s="1411" t="s">
        <v>668</v>
      </c>
      <c r="J3" s="1411" t="s">
        <v>759</v>
      </c>
      <c r="K3" s="1409"/>
      <c r="L3" s="1411" t="s">
        <v>744</v>
      </c>
      <c r="M3" s="1411" t="s">
        <v>745</v>
      </c>
      <c r="N3" s="1411" t="s">
        <v>737</v>
      </c>
      <c r="O3" s="1411" t="s">
        <v>760</v>
      </c>
      <c r="P3" s="1385"/>
      <c r="Q3" s="1412" t="s">
        <v>761</v>
      </c>
      <c r="R3" s="1411" t="s">
        <v>762</v>
      </c>
      <c r="S3" s="1385"/>
      <c r="T3" s="1412" t="s">
        <v>777</v>
      </c>
      <c r="U3" s="1415"/>
    </row>
    <row r="4" spans="1:21" s="652" customFormat="1" ht="23.25" customHeight="1" x14ac:dyDescent="0.25">
      <c r="A4" s="1394"/>
      <c r="B4" s="1411"/>
      <c r="C4" s="1411"/>
      <c r="D4" s="1411"/>
      <c r="E4" s="1411"/>
      <c r="F4" s="1075" t="s">
        <v>753</v>
      </c>
      <c r="G4" s="1075" t="s">
        <v>754</v>
      </c>
      <c r="H4" s="1411"/>
      <c r="I4" s="1411"/>
      <c r="J4" s="1411"/>
      <c r="K4" s="1409"/>
      <c r="L4" s="1411"/>
      <c r="M4" s="1411"/>
      <c r="N4" s="1411"/>
      <c r="O4" s="1075" t="s">
        <v>769</v>
      </c>
      <c r="P4" s="1075" t="s">
        <v>770</v>
      </c>
      <c r="Q4" s="1413"/>
      <c r="R4" s="1075" t="s">
        <v>769</v>
      </c>
      <c r="S4" s="1075" t="s">
        <v>770</v>
      </c>
      <c r="T4" s="1416"/>
      <c r="U4" s="1415"/>
    </row>
    <row r="5" spans="1:21" x14ac:dyDescent="0.2">
      <c r="A5" s="771">
        <v>1</v>
      </c>
      <c r="B5" s="647" t="s">
        <v>553</v>
      </c>
      <c r="C5" s="677">
        <f>8+8+8</f>
        <v>24</v>
      </c>
      <c r="D5" s="677">
        <f>2+3</f>
        <v>5</v>
      </c>
      <c r="E5" s="677"/>
      <c r="F5" s="677"/>
      <c r="G5" s="677"/>
      <c r="H5" s="677"/>
      <c r="I5" s="677"/>
      <c r="J5" s="677"/>
      <c r="K5" s="657">
        <f>SUM(C5:J5)</f>
        <v>29</v>
      </c>
      <c r="M5" s="677"/>
      <c r="N5" s="677">
        <v>29</v>
      </c>
      <c r="O5" s="677"/>
      <c r="P5" s="677"/>
      <c r="Q5" s="677"/>
      <c r="R5" s="677"/>
      <c r="S5" s="677"/>
      <c r="T5" s="679"/>
      <c r="U5" s="680">
        <f t="shared" ref="U5:U26" si="0">SUM(L5:T5)</f>
        <v>29</v>
      </c>
    </row>
    <row r="6" spans="1:21" x14ac:dyDescent="0.2">
      <c r="A6" s="771">
        <v>2</v>
      </c>
      <c r="B6" s="647" t="s">
        <v>960</v>
      </c>
      <c r="C6" s="677"/>
      <c r="D6" s="677"/>
      <c r="E6" s="677">
        <f>2418-576+576+152+2696</f>
        <v>5266</v>
      </c>
      <c r="F6" s="677"/>
      <c r="G6" s="677"/>
      <c r="H6" s="677"/>
      <c r="I6" s="677"/>
      <c r="J6" s="677"/>
      <c r="K6" s="678">
        <f>SUM(C6:J6)</f>
        <v>5266</v>
      </c>
      <c r="L6" s="677"/>
      <c r="M6" s="677"/>
      <c r="N6" s="677">
        <f>2418+2848</f>
        <v>5266</v>
      </c>
      <c r="O6" s="677"/>
      <c r="P6" s="677"/>
      <c r="Q6" s="677"/>
      <c r="R6" s="677"/>
      <c r="S6" s="677"/>
      <c r="T6" s="679"/>
      <c r="U6" s="680">
        <f t="shared" si="0"/>
        <v>5266</v>
      </c>
    </row>
    <row r="7" spans="1:21" x14ac:dyDescent="0.2">
      <c r="A7" s="771">
        <v>3</v>
      </c>
      <c r="B7" s="647" t="s">
        <v>961</v>
      </c>
      <c r="C7" s="683"/>
      <c r="D7" s="683"/>
      <c r="E7" s="683">
        <f>-100-23-61-84</f>
        <v>-268</v>
      </c>
      <c r="F7" s="683"/>
      <c r="G7" s="683"/>
      <c r="H7" s="683">
        <f>100+23+61+84</f>
        <v>268</v>
      </c>
      <c r="I7" s="683"/>
      <c r="J7" s="683"/>
      <c r="K7" s="678">
        <f>SUM(C7:J7)</f>
        <v>0</v>
      </c>
      <c r="L7" s="683"/>
      <c r="M7" s="683"/>
      <c r="N7" s="683"/>
      <c r="O7" s="683"/>
      <c r="P7" s="683"/>
      <c r="Q7" s="683"/>
      <c r="R7" s="683"/>
      <c r="S7" s="683"/>
      <c r="T7" s="684"/>
      <c r="U7" s="680">
        <f t="shared" si="0"/>
        <v>0</v>
      </c>
    </row>
    <row r="8" spans="1:21" x14ac:dyDescent="0.2">
      <c r="A8" s="771">
        <v>4</v>
      </c>
      <c r="B8" s="647" t="s">
        <v>962</v>
      </c>
      <c r="C8" s="683"/>
      <c r="D8" s="683"/>
      <c r="E8" s="683">
        <v>-1</v>
      </c>
      <c r="F8" s="683"/>
      <c r="G8" s="683"/>
      <c r="H8" s="683">
        <f>151+93</f>
        <v>244</v>
      </c>
      <c r="I8" s="683"/>
      <c r="J8" s="683"/>
      <c r="K8" s="678">
        <f t="shared" ref="K8:K25" si="1">SUM(C8:J8)</f>
        <v>243</v>
      </c>
      <c r="L8" s="683"/>
      <c r="M8" s="683">
        <f>169+73+1</f>
        <v>243</v>
      </c>
      <c r="N8" s="683"/>
      <c r="O8" s="683"/>
      <c r="P8" s="683"/>
      <c r="Q8" s="683"/>
      <c r="R8" s="683"/>
      <c r="S8" s="683"/>
      <c r="T8" s="684"/>
      <c r="U8" s="680">
        <f t="shared" si="0"/>
        <v>243</v>
      </c>
    </row>
    <row r="9" spans="1:21" x14ac:dyDescent="0.2">
      <c r="A9" s="771">
        <v>5</v>
      </c>
      <c r="B9" s="648" t="s">
        <v>963</v>
      </c>
      <c r="C9" s="683"/>
      <c r="D9" s="683"/>
      <c r="E9" s="683">
        <v>23</v>
      </c>
      <c r="F9" s="683"/>
      <c r="G9" s="683"/>
      <c r="H9" s="683"/>
      <c r="I9" s="683"/>
      <c r="J9" s="683"/>
      <c r="K9" s="678">
        <f t="shared" si="1"/>
        <v>23</v>
      </c>
      <c r="L9" s="683"/>
      <c r="M9" s="683">
        <v>23</v>
      </c>
      <c r="N9" s="683"/>
      <c r="O9" s="683"/>
      <c r="P9" s="683"/>
      <c r="Q9" s="683"/>
      <c r="R9" s="683"/>
      <c r="S9" s="683"/>
      <c r="T9" s="684"/>
      <c r="U9" s="680">
        <f t="shared" si="0"/>
        <v>23</v>
      </c>
    </row>
    <row r="10" spans="1:21" hidden="1" x14ac:dyDescent="0.2">
      <c r="A10" s="654"/>
      <c r="B10" s="647"/>
      <c r="C10" s="683"/>
      <c r="D10" s="683"/>
      <c r="E10" s="683"/>
      <c r="F10" s="683"/>
      <c r="G10" s="683"/>
      <c r="H10" s="683"/>
      <c r="I10" s="683"/>
      <c r="J10" s="683"/>
      <c r="K10" s="678">
        <f t="shared" si="1"/>
        <v>0</v>
      </c>
      <c r="L10" s="683"/>
      <c r="M10" s="683"/>
      <c r="N10" s="683"/>
      <c r="O10" s="683"/>
      <c r="P10" s="683"/>
      <c r="Q10" s="683"/>
      <c r="R10" s="683"/>
      <c r="S10" s="683"/>
      <c r="T10" s="684"/>
      <c r="U10" s="680">
        <f t="shared" si="0"/>
        <v>0</v>
      </c>
    </row>
    <row r="11" spans="1:21" hidden="1" x14ac:dyDescent="0.2">
      <c r="A11" s="654"/>
      <c r="B11" s="647"/>
      <c r="C11" s="683"/>
      <c r="D11" s="683"/>
      <c r="E11" s="683"/>
      <c r="F11" s="683"/>
      <c r="G11" s="683"/>
      <c r="H11" s="683"/>
      <c r="I11" s="683"/>
      <c r="J11" s="683"/>
      <c r="K11" s="678">
        <f t="shared" si="1"/>
        <v>0</v>
      </c>
      <c r="L11" s="683"/>
      <c r="M11" s="683"/>
      <c r="N11" s="683"/>
      <c r="O11" s="683"/>
      <c r="P11" s="683"/>
      <c r="Q11" s="683"/>
      <c r="R11" s="683"/>
      <c r="S11" s="683"/>
      <c r="T11" s="684"/>
      <c r="U11" s="680">
        <f t="shared" si="0"/>
        <v>0</v>
      </c>
    </row>
    <row r="12" spans="1:21" hidden="1" x14ac:dyDescent="0.2">
      <c r="A12" s="654"/>
      <c r="B12" s="647"/>
      <c r="C12" s="683"/>
      <c r="D12" s="683"/>
      <c r="E12" s="683"/>
      <c r="F12" s="683"/>
      <c r="G12" s="683"/>
      <c r="H12" s="683"/>
      <c r="I12" s="683"/>
      <c r="J12" s="683"/>
      <c r="K12" s="678">
        <f t="shared" si="1"/>
        <v>0</v>
      </c>
      <c r="L12" s="683"/>
      <c r="M12" s="683"/>
      <c r="N12" s="683"/>
      <c r="O12" s="683"/>
      <c r="P12" s="683"/>
      <c r="Q12" s="683"/>
      <c r="R12" s="683"/>
      <c r="S12" s="683"/>
      <c r="T12" s="684"/>
      <c r="U12" s="680">
        <f t="shared" si="0"/>
        <v>0</v>
      </c>
    </row>
    <row r="13" spans="1:21" hidden="1" x14ac:dyDescent="0.2">
      <c r="A13" s="654"/>
      <c r="B13" s="647"/>
      <c r="C13" s="683"/>
      <c r="D13" s="683"/>
      <c r="E13" s="683"/>
      <c r="F13" s="683"/>
      <c r="G13" s="683"/>
      <c r="H13" s="683"/>
      <c r="I13" s="683"/>
      <c r="J13" s="683"/>
      <c r="K13" s="678">
        <f t="shared" si="1"/>
        <v>0</v>
      </c>
      <c r="L13" s="683"/>
      <c r="M13" s="683"/>
      <c r="N13" s="683"/>
      <c r="O13" s="683"/>
      <c r="P13" s="683"/>
      <c r="Q13" s="683"/>
      <c r="R13" s="683"/>
      <c r="S13" s="683"/>
      <c r="T13" s="684"/>
      <c r="U13" s="680">
        <f t="shared" si="0"/>
        <v>0</v>
      </c>
    </row>
    <row r="14" spans="1:21" hidden="1" x14ac:dyDescent="0.2">
      <c r="A14" s="654"/>
      <c r="B14" s="647"/>
      <c r="C14" s="683"/>
      <c r="D14" s="683"/>
      <c r="E14" s="683"/>
      <c r="F14" s="683"/>
      <c r="G14" s="683"/>
      <c r="H14" s="683"/>
      <c r="I14" s="683"/>
      <c r="J14" s="683"/>
      <c r="K14" s="678">
        <f t="shared" si="1"/>
        <v>0</v>
      </c>
      <c r="L14" s="683"/>
      <c r="M14" s="683"/>
      <c r="N14" s="683"/>
      <c r="O14" s="683"/>
      <c r="P14" s="683"/>
      <c r="Q14" s="683"/>
      <c r="R14" s="683"/>
      <c r="S14" s="683"/>
      <c r="T14" s="684"/>
      <c r="U14" s="680">
        <f t="shared" si="0"/>
        <v>0</v>
      </c>
    </row>
    <row r="15" spans="1:21" hidden="1" x14ac:dyDescent="0.2">
      <c r="A15" s="654"/>
      <c r="B15" s="647"/>
      <c r="C15" s="683"/>
      <c r="D15" s="683"/>
      <c r="E15" s="683"/>
      <c r="F15" s="683"/>
      <c r="G15" s="683"/>
      <c r="H15" s="683"/>
      <c r="I15" s="683"/>
      <c r="J15" s="683"/>
      <c r="K15" s="678">
        <f t="shared" si="1"/>
        <v>0</v>
      </c>
      <c r="L15" s="683"/>
      <c r="M15" s="683"/>
      <c r="N15" s="683"/>
      <c r="O15" s="683"/>
      <c r="P15" s="683"/>
      <c r="Q15" s="683"/>
      <c r="R15" s="683"/>
      <c r="S15" s="683"/>
      <c r="T15" s="684"/>
      <c r="U15" s="680">
        <f t="shared" si="0"/>
        <v>0</v>
      </c>
    </row>
    <row r="16" spans="1:21" hidden="1" x14ac:dyDescent="0.2">
      <c r="A16" s="654"/>
      <c r="B16" s="647"/>
      <c r="C16" s="683"/>
      <c r="D16" s="683"/>
      <c r="E16" s="683"/>
      <c r="F16" s="683"/>
      <c r="G16" s="683"/>
      <c r="H16" s="683"/>
      <c r="I16" s="683"/>
      <c r="J16" s="683"/>
      <c r="K16" s="678">
        <f t="shared" si="1"/>
        <v>0</v>
      </c>
      <c r="L16" s="683"/>
      <c r="M16" s="683"/>
      <c r="N16" s="683"/>
      <c r="O16" s="683"/>
      <c r="P16" s="683"/>
      <c r="Q16" s="683"/>
      <c r="R16" s="683"/>
      <c r="S16" s="683"/>
      <c r="T16" s="684"/>
      <c r="U16" s="680">
        <f t="shared" si="0"/>
        <v>0</v>
      </c>
    </row>
    <row r="17" spans="1:21" hidden="1" x14ac:dyDescent="0.2">
      <c r="A17" s="654"/>
      <c r="B17" s="647"/>
      <c r="C17" s="683"/>
      <c r="D17" s="683"/>
      <c r="E17" s="683"/>
      <c r="F17" s="683"/>
      <c r="G17" s="683"/>
      <c r="H17" s="683"/>
      <c r="I17" s="683"/>
      <c r="J17" s="683"/>
      <c r="K17" s="678">
        <f t="shared" si="1"/>
        <v>0</v>
      </c>
      <c r="L17" s="683"/>
      <c r="M17" s="683"/>
      <c r="N17" s="683"/>
      <c r="O17" s="683"/>
      <c r="P17" s="683"/>
      <c r="Q17" s="683"/>
      <c r="R17" s="683"/>
      <c r="S17" s="683"/>
      <c r="T17" s="684"/>
      <c r="U17" s="680">
        <f t="shared" si="0"/>
        <v>0</v>
      </c>
    </row>
    <row r="18" spans="1:21" hidden="1" x14ac:dyDescent="0.2">
      <c r="A18" s="654"/>
      <c r="B18" s="647"/>
      <c r="C18" s="683"/>
      <c r="D18" s="683"/>
      <c r="E18" s="683"/>
      <c r="F18" s="683"/>
      <c r="G18" s="683"/>
      <c r="H18" s="683"/>
      <c r="I18" s="683"/>
      <c r="J18" s="683"/>
      <c r="K18" s="678">
        <f t="shared" si="1"/>
        <v>0</v>
      </c>
      <c r="L18" s="683"/>
      <c r="M18" s="683"/>
      <c r="N18" s="683"/>
      <c r="O18" s="683"/>
      <c r="P18" s="683"/>
      <c r="Q18" s="683"/>
      <c r="R18" s="683"/>
      <c r="S18" s="683"/>
      <c r="T18" s="684"/>
      <c r="U18" s="680">
        <f t="shared" si="0"/>
        <v>0</v>
      </c>
    </row>
    <row r="19" spans="1:21" hidden="1" x14ac:dyDescent="0.2">
      <c r="A19" s="654"/>
      <c r="B19" s="647"/>
      <c r="C19" s="683"/>
      <c r="D19" s="683"/>
      <c r="E19" s="683"/>
      <c r="F19" s="683"/>
      <c r="G19" s="683"/>
      <c r="H19" s="683"/>
      <c r="I19" s="683"/>
      <c r="J19" s="683"/>
      <c r="K19" s="678">
        <f t="shared" si="1"/>
        <v>0</v>
      </c>
      <c r="L19" s="683"/>
      <c r="M19" s="683"/>
      <c r="N19" s="683"/>
      <c r="O19" s="683"/>
      <c r="P19" s="683"/>
      <c r="Q19" s="683"/>
      <c r="R19" s="683"/>
      <c r="S19" s="683"/>
      <c r="T19" s="684"/>
      <c r="U19" s="680">
        <f t="shared" si="0"/>
        <v>0</v>
      </c>
    </row>
    <row r="20" spans="1:21" ht="13.15" hidden="1" customHeight="1" x14ac:dyDescent="0.2">
      <c r="A20" s="654"/>
      <c r="B20" s="647"/>
      <c r="C20" s="683"/>
      <c r="D20" s="683"/>
      <c r="E20" s="683"/>
      <c r="F20" s="683"/>
      <c r="G20" s="683"/>
      <c r="H20" s="683"/>
      <c r="I20" s="683"/>
      <c r="J20" s="683"/>
      <c r="K20" s="678">
        <f t="shared" si="1"/>
        <v>0</v>
      </c>
      <c r="L20" s="683"/>
      <c r="M20" s="683"/>
      <c r="N20" s="683"/>
      <c r="O20" s="683"/>
      <c r="P20" s="683"/>
      <c r="Q20" s="683"/>
      <c r="R20" s="683"/>
      <c r="S20" s="683"/>
      <c r="T20" s="684"/>
      <c r="U20" s="680">
        <f t="shared" si="0"/>
        <v>0</v>
      </c>
    </row>
    <row r="21" spans="1:21" ht="13.15" customHeight="1" x14ac:dyDescent="0.2">
      <c r="A21" s="1077">
        <v>6</v>
      </c>
      <c r="B21" s="647" t="s">
        <v>964</v>
      </c>
      <c r="C21" s="683"/>
      <c r="D21" s="683"/>
      <c r="E21" s="683"/>
      <c r="F21" s="683"/>
      <c r="G21" s="683"/>
      <c r="H21" s="683">
        <v>332</v>
      </c>
      <c r="I21" s="683"/>
      <c r="J21" s="683"/>
      <c r="K21" s="678">
        <f t="shared" si="1"/>
        <v>332</v>
      </c>
      <c r="L21" s="683"/>
      <c r="M21" s="683"/>
      <c r="N21" s="683">
        <v>332</v>
      </c>
      <c r="O21" s="683"/>
      <c r="P21" s="683"/>
      <c r="Q21" s="683"/>
      <c r="R21" s="683"/>
      <c r="S21" s="683"/>
      <c r="T21" s="684"/>
      <c r="U21" s="680">
        <f t="shared" si="0"/>
        <v>332</v>
      </c>
    </row>
    <row r="22" spans="1:21" x14ac:dyDescent="0.2">
      <c r="A22" s="1078">
        <v>7</v>
      </c>
      <c r="B22" s="647" t="s">
        <v>965</v>
      </c>
      <c r="C22" s="683">
        <f>-110-50</f>
        <v>-160</v>
      </c>
      <c r="D22" s="683"/>
      <c r="E22" s="683">
        <f>110+50</f>
        <v>160</v>
      </c>
      <c r="F22" s="683"/>
      <c r="G22" s="683"/>
      <c r="H22" s="683"/>
      <c r="I22" s="683"/>
      <c r="J22" s="683"/>
      <c r="K22" s="678">
        <f t="shared" si="1"/>
        <v>0</v>
      </c>
      <c r="L22" s="683"/>
      <c r="M22" s="683"/>
      <c r="N22" s="683"/>
      <c r="O22" s="683"/>
      <c r="P22" s="683"/>
      <c r="Q22" s="683"/>
      <c r="R22" s="683"/>
      <c r="S22" s="683"/>
      <c r="T22" s="684"/>
      <c r="U22" s="680">
        <f t="shared" si="0"/>
        <v>0</v>
      </c>
    </row>
    <row r="23" spans="1:21" ht="13.15" customHeight="1" x14ac:dyDescent="0.2">
      <c r="A23" s="1078">
        <v>8</v>
      </c>
      <c r="B23" s="647"/>
      <c r="C23" s="683"/>
      <c r="D23" s="683"/>
      <c r="E23" s="683"/>
      <c r="F23" s="683"/>
      <c r="G23" s="683"/>
      <c r="H23" s="683"/>
      <c r="I23" s="683"/>
      <c r="J23" s="683"/>
      <c r="K23" s="678">
        <f t="shared" si="1"/>
        <v>0</v>
      </c>
      <c r="L23" s="683"/>
      <c r="M23" s="683"/>
      <c r="N23" s="683"/>
      <c r="O23" s="683"/>
      <c r="P23" s="683"/>
      <c r="Q23" s="683"/>
      <c r="R23" s="683"/>
      <c r="S23" s="683"/>
      <c r="T23" s="684"/>
      <c r="U23" s="680">
        <f t="shared" si="0"/>
        <v>0</v>
      </c>
    </row>
    <row r="24" spans="1:21" ht="13.15" customHeight="1" x14ac:dyDescent="0.2">
      <c r="A24" s="1078"/>
      <c r="B24" s="647"/>
      <c r="C24" s="683"/>
      <c r="D24" s="683"/>
      <c r="E24" s="683"/>
      <c r="F24" s="683"/>
      <c r="G24" s="683"/>
      <c r="H24" s="683"/>
      <c r="I24" s="683"/>
      <c r="J24" s="683"/>
      <c r="K24" s="678">
        <f t="shared" si="1"/>
        <v>0</v>
      </c>
      <c r="L24" s="683"/>
      <c r="M24" s="683"/>
      <c r="N24" s="683"/>
      <c r="O24" s="683"/>
      <c r="P24" s="683"/>
      <c r="Q24" s="683"/>
      <c r="R24" s="683"/>
      <c r="S24" s="683"/>
      <c r="T24" s="684"/>
      <c r="U24" s="680">
        <f t="shared" si="0"/>
        <v>0</v>
      </c>
    </row>
    <row r="25" spans="1:21" x14ac:dyDescent="0.2">
      <c r="A25" s="655"/>
      <c r="B25" s="655"/>
      <c r="C25" s="683"/>
      <c r="D25" s="683"/>
      <c r="E25" s="683"/>
      <c r="F25" s="683"/>
      <c r="G25" s="683"/>
      <c r="H25" s="683"/>
      <c r="I25" s="683"/>
      <c r="J25" s="683"/>
      <c r="K25" s="678">
        <f t="shared" si="1"/>
        <v>0</v>
      </c>
      <c r="L25" s="683"/>
      <c r="M25" s="683"/>
      <c r="N25" s="683"/>
      <c r="O25" s="683"/>
      <c r="P25" s="683"/>
      <c r="Q25" s="683"/>
      <c r="R25" s="683"/>
      <c r="S25" s="683"/>
      <c r="T25" s="684"/>
      <c r="U25" s="680">
        <f t="shared" si="0"/>
        <v>0</v>
      </c>
    </row>
    <row r="26" spans="1:21" ht="13.5" thickBot="1" x14ac:dyDescent="0.25">
      <c r="A26" s="660"/>
      <c r="B26" s="661" t="s">
        <v>180</v>
      </c>
      <c r="C26" s="772">
        <f t="shared" ref="C26:J26" si="2">SUM(C5:C25)</f>
        <v>-136</v>
      </c>
      <c r="D26" s="773">
        <f t="shared" si="2"/>
        <v>5</v>
      </c>
      <c r="E26" s="773">
        <f t="shared" si="2"/>
        <v>5180</v>
      </c>
      <c r="F26" s="773">
        <f t="shared" si="2"/>
        <v>0</v>
      </c>
      <c r="G26" s="773">
        <f t="shared" si="2"/>
        <v>0</v>
      </c>
      <c r="H26" s="773">
        <f t="shared" si="2"/>
        <v>844</v>
      </c>
      <c r="I26" s="772">
        <f t="shared" si="2"/>
        <v>0</v>
      </c>
      <c r="J26" s="772">
        <f t="shared" si="2"/>
        <v>0</v>
      </c>
      <c r="K26" s="774">
        <f>SUM(K5:K25)</f>
        <v>5893</v>
      </c>
      <c r="L26" s="772">
        <f>SUM(L5:L25)</f>
        <v>0</v>
      </c>
      <c r="M26" s="772">
        <f>SUM(M5:M25)</f>
        <v>266</v>
      </c>
      <c r="N26" s="772">
        <f>SUM(N5:N25)</f>
        <v>5627</v>
      </c>
      <c r="O26" s="772">
        <f>SUM(O5:O25)</f>
        <v>0</v>
      </c>
      <c r="P26" s="772">
        <f t="shared" ref="P26:T26" si="3">SUM(P5:P25)</f>
        <v>0</v>
      </c>
      <c r="Q26" s="772">
        <f t="shared" si="3"/>
        <v>0</v>
      </c>
      <c r="R26" s="772">
        <f t="shared" si="3"/>
        <v>0</v>
      </c>
      <c r="S26" s="772">
        <f t="shared" si="3"/>
        <v>0</v>
      </c>
      <c r="T26" s="772">
        <f t="shared" si="3"/>
        <v>0</v>
      </c>
      <c r="U26" s="775">
        <f t="shared" si="0"/>
        <v>5893</v>
      </c>
    </row>
  </sheetData>
  <mergeCells count="21">
    <mergeCell ref="S1:U1"/>
    <mergeCell ref="A2:A4"/>
    <mergeCell ref="B2:B4"/>
    <mergeCell ref="C2:J2"/>
    <mergeCell ref="K2:K4"/>
    <mergeCell ref="L2:T2"/>
    <mergeCell ref="U2:U4"/>
    <mergeCell ref="C3:C4"/>
    <mergeCell ref="D3:D4"/>
    <mergeCell ref="T3:T4"/>
    <mergeCell ref="E3:E4"/>
    <mergeCell ref="F3:G3"/>
    <mergeCell ref="H3:H4"/>
    <mergeCell ref="I3:I4"/>
    <mergeCell ref="J3:J4"/>
    <mergeCell ref="R3:S3"/>
    <mergeCell ref="L3:L4"/>
    <mergeCell ref="M3:M4"/>
    <mergeCell ref="N3:N4"/>
    <mergeCell ref="O3:P3"/>
    <mergeCell ref="Q3:Q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Roman,Félkövér"&amp;12Martonvásár Város Önkormányzatának 2019. évi költségvetés módosításainak részletezése
Brunszvik Teréz Óvoda&amp;R&amp;"Times New Roman,Félkövér"&amp;12 12.c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3"/>
  <sheetViews>
    <sheetView zoomScaleNormal="100" workbookViewId="0">
      <selection activeCell="F23" sqref="F23"/>
    </sheetView>
  </sheetViews>
  <sheetFormatPr defaultColWidth="8.7109375" defaultRowHeight="12.75" customHeight="1" x14ac:dyDescent="0.25"/>
  <cols>
    <col min="1" max="1" width="18.85546875" style="151" customWidth="1"/>
    <col min="2" max="2" width="35.140625" style="152" customWidth="1"/>
    <col min="3" max="3" width="11" style="152" bestFit="1" customWidth="1"/>
    <col min="4" max="4" width="11.7109375" style="152" customWidth="1"/>
    <col min="5" max="5" width="11" style="152" bestFit="1" customWidth="1"/>
    <col min="6" max="6" width="45.42578125" style="152" customWidth="1"/>
    <col min="7" max="7" width="11" style="152" bestFit="1" customWidth="1"/>
    <col min="8" max="8" width="12.42578125" style="152" customWidth="1"/>
    <col min="9" max="9" width="11" style="152" bestFit="1" customWidth="1"/>
    <col min="10" max="11" width="8.7109375" style="152"/>
    <col min="12" max="16384" width="8.7109375" style="151"/>
  </cols>
  <sheetData>
    <row r="1" spans="2:11" ht="16.5" customHeight="1" thickBot="1" x14ac:dyDescent="0.3">
      <c r="B1" s="153"/>
      <c r="C1" s="153"/>
      <c r="D1" s="153"/>
      <c r="E1" s="153"/>
      <c r="F1" s="153"/>
      <c r="G1" s="153"/>
      <c r="H1" s="153"/>
      <c r="I1" s="154"/>
      <c r="J1" s="150"/>
      <c r="K1" s="150"/>
    </row>
    <row r="2" spans="2:11" ht="26.25" customHeight="1" thickBot="1" x14ac:dyDescent="0.3">
      <c r="B2" s="155" t="s">
        <v>338</v>
      </c>
      <c r="C2" s="890" t="s">
        <v>912</v>
      </c>
      <c r="D2" s="890" t="s">
        <v>727</v>
      </c>
      <c r="E2" s="890" t="s">
        <v>950</v>
      </c>
      <c r="F2" s="155" t="s">
        <v>339</v>
      </c>
      <c r="G2" s="1070" t="s">
        <v>912</v>
      </c>
      <c r="H2" s="1070" t="s">
        <v>727</v>
      </c>
      <c r="I2" s="1070" t="s">
        <v>950</v>
      </c>
      <c r="J2" s="156"/>
      <c r="K2" s="150"/>
    </row>
    <row r="3" spans="2:11" ht="13.5" customHeight="1" x14ac:dyDescent="0.25">
      <c r="B3" s="157" t="s">
        <v>340</v>
      </c>
      <c r="C3" s="358">
        <f>SUM(C4:C8)</f>
        <v>954542</v>
      </c>
      <c r="D3" s="358">
        <f t="shared" ref="D3:E3" si="0">SUM(D4:D8)</f>
        <v>18069</v>
      </c>
      <c r="E3" s="358">
        <f t="shared" si="0"/>
        <v>972611</v>
      </c>
      <c r="F3" s="972" t="s">
        <v>441</v>
      </c>
      <c r="G3" s="973">
        <f>+G4+G5+G6+G8+G9+G10</f>
        <v>1383699</v>
      </c>
      <c r="H3" s="973">
        <f t="shared" ref="H3:I3" si="1">+H4+H5+H6+H8+H9+H10</f>
        <v>515</v>
      </c>
      <c r="I3" s="973">
        <f t="shared" si="1"/>
        <v>1384214</v>
      </c>
      <c r="J3" s="191"/>
      <c r="K3" s="150"/>
    </row>
    <row r="4" spans="2:11" ht="15" customHeight="1" x14ac:dyDescent="0.25">
      <c r="B4" s="158" t="s">
        <v>418</v>
      </c>
      <c r="C4" s="159">
        <f>+'1.mell. Mérleg'!C7</f>
        <v>556486</v>
      </c>
      <c r="D4" s="186">
        <f>+'1.mell. Mérleg'!D7</f>
        <v>13078</v>
      </c>
      <c r="E4" s="186">
        <f>+'1.mell. Mérleg'!E7</f>
        <v>569564</v>
      </c>
      <c r="F4" s="426" t="s">
        <v>341</v>
      </c>
      <c r="G4" s="427">
        <f>+'1.mell. Mérleg'!C31</f>
        <v>367217</v>
      </c>
      <c r="H4" s="427">
        <f>+'1.mell. Mérleg'!D31</f>
        <v>-4881</v>
      </c>
      <c r="I4" s="427">
        <f>+'1.mell. Mérleg'!E31</f>
        <v>362336</v>
      </c>
      <c r="J4" s="156"/>
      <c r="K4" s="150"/>
    </row>
    <row r="5" spans="2:11" ht="15" customHeight="1" x14ac:dyDescent="0.25">
      <c r="B5" s="158" t="s">
        <v>442</v>
      </c>
      <c r="C5" s="300">
        <f>+'3.mell. Bevétel'!C54</f>
        <v>298459</v>
      </c>
      <c r="D5" s="300">
        <f>+'3.mell. Bevétel'!D54</f>
        <v>0</v>
      </c>
      <c r="E5" s="300">
        <f>+'3.mell. Bevétel'!E54</f>
        <v>298459</v>
      </c>
      <c r="F5" s="189" t="s">
        <v>342</v>
      </c>
      <c r="G5" s="161">
        <f>+'1.mell. Mérleg'!C32</f>
        <v>75730</v>
      </c>
      <c r="H5" s="161">
        <f>+'1.mell. Mérleg'!D32</f>
        <v>739</v>
      </c>
      <c r="I5" s="161">
        <f>+'1.mell. Mérleg'!E32</f>
        <v>76469</v>
      </c>
      <c r="J5" s="156"/>
      <c r="K5" s="150"/>
    </row>
    <row r="6" spans="2:11" ht="15" customHeight="1" x14ac:dyDescent="0.25">
      <c r="B6" s="158" t="s">
        <v>340</v>
      </c>
      <c r="C6" s="300">
        <f>+'1.mell. Mérleg'!C13</f>
        <v>98854</v>
      </c>
      <c r="D6" s="300">
        <f>+'1.mell. Mérleg'!D13</f>
        <v>4991</v>
      </c>
      <c r="E6" s="300">
        <f>+'1.mell. Mérleg'!E13</f>
        <v>103845</v>
      </c>
      <c r="F6" s="189" t="s">
        <v>343</v>
      </c>
      <c r="G6" s="186">
        <f>+'1.mell. Mérleg'!C33</f>
        <v>492267</v>
      </c>
      <c r="H6" s="186">
        <f>+'1.mell. Mérleg'!D33</f>
        <v>82017</v>
      </c>
      <c r="I6" s="186">
        <f>+'1.mell. Mérleg'!E33</f>
        <v>574284</v>
      </c>
      <c r="J6" s="156"/>
      <c r="K6" s="150"/>
    </row>
    <row r="7" spans="2:11" ht="15" customHeight="1" x14ac:dyDescent="0.25">
      <c r="B7" s="184" t="s">
        <v>419</v>
      </c>
      <c r="C7" s="300">
        <f>+'1.mell. Mérleg'!C14</f>
        <v>743</v>
      </c>
      <c r="D7" s="300">
        <f>+'1.mell. Mérleg'!D14</f>
        <v>0</v>
      </c>
      <c r="E7" s="300">
        <f>+'1.mell. Mérleg'!E14</f>
        <v>743</v>
      </c>
      <c r="F7" s="424" t="s">
        <v>567</v>
      </c>
      <c r="G7" s="186">
        <f>+'5.b. mell. VF saját forrásból'!D30+'5.c. mell. VF Eu forrásból'!D30</f>
        <v>188699</v>
      </c>
      <c r="H7" s="186">
        <f>+'5.b. mell. VF saját forrásból'!E30+'5.c. mell. VF Eu forrásból'!E30</f>
        <v>44166</v>
      </c>
      <c r="I7" s="186">
        <f>+'5.b. mell. VF saját forrásból'!F30+'5.c. mell. VF Eu forrásból'!F30</f>
        <v>232865</v>
      </c>
      <c r="J7" s="156"/>
      <c r="K7" s="150"/>
    </row>
    <row r="8" spans="2:11" ht="15" customHeight="1" x14ac:dyDescent="0.25">
      <c r="B8" s="158"/>
      <c r="C8" s="300"/>
      <c r="D8" s="159"/>
      <c r="E8" s="287"/>
      <c r="F8" s="189" t="s">
        <v>344</v>
      </c>
      <c r="G8" s="186">
        <f>+'5. mell. Önk.össz kiadás'!D16</f>
        <v>16536</v>
      </c>
      <c r="H8" s="186">
        <f>+'5. mell. Önk.össz kiadás'!E16</f>
        <v>-176</v>
      </c>
      <c r="I8" s="186">
        <f>+'5. mell. Önk.össz kiadás'!F16</f>
        <v>16360</v>
      </c>
      <c r="J8" s="156"/>
      <c r="K8" s="150"/>
    </row>
    <row r="9" spans="2:11" ht="15" customHeight="1" x14ac:dyDescent="0.25">
      <c r="B9" s="158"/>
      <c r="C9" s="159"/>
      <c r="D9" s="159"/>
      <c r="E9" s="287"/>
      <c r="F9" s="189" t="s">
        <v>378</v>
      </c>
      <c r="G9" s="186">
        <f>+'1.mell. Mérleg'!C35</f>
        <v>314373</v>
      </c>
      <c r="H9" s="186">
        <f>+'1.mell. Mérleg'!D35</f>
        <v>9442</v>
      </c>
      <c r="I9" s="186">
        <f>+'1.mell. Mérleg'!E35</f>
        <v>323815</v>
      </c>
      <c r="J9" s="156"/>
      <c r="K9" s="150"/>
    </row>
    <row r="10" spans="2:11" ht="15" customHeight="1" x14ac:dyDescent="0.25">
      <c r="B10" s="162" t="s">
        <v>286</v>
      </c>
      <c r="C10" s="163">
        <f>+C11</f>
        <v>457469</v>
      </c>
      <c r="D10" s="163">
        <f t="shared" ref="D10:E10" si="2">+D11</f>
        <v>0</v>
      </c>
      <c r="E10" s="163">
        <f t="shared" si="2"/>
        <v>457469</v>
      </c>
      <c r="F10" s="189" t="s">
        <v>700</v>
      </c>
      <c r="G10" s="186">
        <f>+'5. mell. Önk.össz kiadás'!D19</f>
        <v>117576</v>
      </c>
      <c r="H10" s="186">
        <f>+'5. mell. Önk.össz kiadás'!E19</f>
        <v>-86626</v>
      </c>
      <c r="I10" s="186">
        <f>+'5. mell. Önk.össz kiadás'!F19</f>
        <v>30950</v>
      </c>
      <c r="J10" s="156"/>
      <c r="K10" s="150"/>
    </row>
    <row r="11" spans="2:11" ht="15" customHeight="1" x14ac:dyDescent="0.25">
      <c r="B11" s="158" t="s">
        <v>383</v>
      </c>
      <c r="C11" s="159">
        <f>+'1.mell. Mérleg'!C23</f>
        <v>457469</v>
      </c>
      <c r="D11" s="186">
        <f>+'1.mell. Mérleg'!D23</f>
        <v>0</v>
      </c>
      <c r="E11" s="186">
        <f>+'1.mell. Mérleg'!E23</f>
        <v>457469</v>
      </c>
      <c r="F11" s="576" t="s">
        <v>701</v>
      </c>
      <c r="G11" s="186">
        <f>+'5.g. mell. Egyéb tev.'!AE64</f>
        <v>356</v>
      </c>
      <c r="H11" s="186">
        <f>+'5.g. mell. Egyéb tev.'!AF64</f>
        <v>0</v>
      </c>
      <c r="I11" s="186">
        <f>+'5.g. mell. Egyéb tev.'!AG64</f>
        <v>356</v>
      </c>
      <c r="J11" s="156"/>
      <c r="K11" s="150"/>
    </row>
    <row r="12" spans="2:11" ht="15" customHeight="1" x14ac:dyDescent="0.25">
      <c r="B12" s="184"/>
      <c r="C12" s="185"/>
      <c r="D12" s="185"/>
      <c r="E12" s="185"/>
      <c r="F12" s="576" t="s">
        <v>688</v>
      </c>
      <c r="G12" s="186">
        <f>+'5.g. mell. Egyéb tev.'!AE68</f>
        <v>0</v>
      </c>
      <c r="H12" s="186">
        <f>+'5.g. mell. Egyéb tev.'!AF68</f>
        <v>0</v>
      </c>
      <c r="I12" s="186">
        <f>+'5.g. mell. Egyéb tev.'!AG68</f>
        <v>0</v>
      </c>
      <c r="J12" s="156"/>
      <c r="K12" s="150"/>
    </row>
    <row r="13" spans="2:11" ht="15" customHeight="1" x14ac:dyDescent="0.25">
      <c r="B13" s="158"/>
      <c r="C13" s="159"/>
      <c r="D13" s="186"/>
      <c r="E13" s="974"/>
      <c r="F13" s="975" t="s">
        <v>703</v>
      </c>
      <c r="G13" s="186">
        <f>+'5.g. mell. Egyéb tev.'!AE70</f>
        <v>4091</v>
      </c>
      <c r="H13" s="186">
        <f>+'5.g. mell. Egyéb tev.'!AF70</f>
        <v>-4087</v>
      </c>
      <c r="I13" s="186">
        <f>+'5.g. mell. Egyéb tev.'!AG70</f>
        <v>4</v>
      </c>
      <c r="J13" s="156"/>
      <c r="K13" s="150"/>
    </row>
    <row r="14" spans="2:11" s="167" customFormat="1" ht="15" customHeight="1" x14ac:dyDescent="0.25">
      <c r="B14" s="158"/>
      <c r="C14" s="159"/>
      <c r="D14" s="159"/>
      <c r="E14" s="287"/>
      <c r="F14" s="975" t="s">
        <v>618</v>
      </c>
      <c r="G14" s="186">
        <f>+'5.g. mell. Egyéb tev.'!AE73</f>
        <v>22176</v>
      </c>
      <c r="H14" s="186">
        <f>+'5.g. mell. Egyéb tev.'!AF73</f>
        <v>-12692</v>
      </c>
      <c r="I14" s="186">
        <f>+'5.g. mell. Egyéb tev.'!AG73</f>
        <v>9484</v>
      </c>
      <c r="J14" s="156"/>
      <c r="K14" s="150"/>
    </row>
    <row r="15" spans="2:11" s="170" customFormat="1" ht="15.75" thickBot="1" x14ac:dyDescent="0.3">
      <c r="B15" s="165"/>
      <c r="C15" s="166"/>
      <c r="D15" s="166"/>
      <c r="E15" s="288"/>
      <c r="F15" s="976" t="s">
        <v>599</v>
      </c>
      <c r="G15" s="186">
        <f>+'5.g. mell. Egyéb tev.'!AE74</f>
        <v>83780</v>
      </c>
      <c r="H15" s="186">
        <f>+'5.g. mell. Egyéb tev.'!AF74</f>
        <v>-73073</v>
      </c>
      <c r="I15" s="186">
        <f>+'5.g. mell. Egyéb tev.'!AG74</f>
        <v>10707</v>
      </c>
      <c r="J15" s="156"/>
      <c r="K15" s="150"/>
    </row>
    <row r="16" spans="2:11" ht="15.75" thickBot="1" x14ac:dyDescent="0.3">
      <c r="B16" s="168" t="s">
        <v>345</v>
      </c>
      <c r="C16" s="169">
        <f>+C10+C3</f>
        <v>1412011</v>
      </c>
      <c r="D16" s="169">
        <f t="shared" ref="D16:E16" si="3">+D10+D3</f>
        <v>18069</v>
      </c>
      <c r="E16" s="169">
        <f t="shared" si="3"/>
        <v>1430080</v>
      </c>
      <c r="F16" s="425" t="s">
        <v>345</v>
      </c>
      <c r="G16" s="169">
        <f>+G3</f>
        <v>1383699</v>
      </c>
      <c r="H16" s="169">
        <f>+H3</f>
        <v>515</v>
      </c>
      <c r="I16" s="169">
        <f t="shared" ref="I16" si="4">+I3</f>
        <v>1384214</v>
      </c>
      <c r="J16" s="150"/>
      <c r="K16" s="579"/>
    </row>
    <row r="17" spans="2:11" ht="13.5" customHeight="1" x14ac:dyDescent="0.25">
      <c r="B17" s="171"/>
      <c r="C17" s="171"/>
      <c r="D17" s="171"/>
      <c r="E17" s="172"/>
      <c r="F17" s="173"/>
      <c r="G17" s="418"/>
      <c r="H17" s="173"/>
      <c r="I17" s="172"/>
      <c r="J17" s="150"/>
      <c r="K17" s="150"/>
    </row>
    <row r="18" spans="2:11" s="152" customFormat="1" ht="25.5" customHeight="1" thickBot="1" x14ac:dyDescent="0.3">
      <c r="B18" s="191"/>
      <c r="C18" s="418"/>
      <c r="D18" s="418"/>
      <c r="E18" s="577"/>
      <c r="F18" s="174"/>
      <c r="G18" s="174"/>
      <c r="H18" s="174"/>
      <c r="I18" s="175"/>
      <c r="J18" s="191"/>
      <c r="K18" s="150"/>
    </row>
    <row r="19" spans="2:11" s="152" customFormat="1" ht="26.25" thickBot="1" x14ac:dyDescent="0.3">
      <c r="B19" s="187" t="s">
        <v>338</v>
      </c>
      <c r="C19" s="1076" t="s">
        <v>912</v>
      </c>
      <c r="D19" s="980" t="s">
        <v>727</v>
      </c>
      <c r="E19" s="981" t="s">
        <v>950</v>
      </c>
      <c r="F19" s="979" t="s">
        <v>339</v>
      </c>
      <c r="G19" s="1076" t="s">
        <v>912</v>
      </c>
      <c r="H19" s="980" t="s">
        <v>727</v>
      </c>
      <c r="I19" s="981" t="s">
        <v>950</v>
      </c>
      <c r="J19" s="156"/>
      <c r="K19" s="150"/>
    </row>
    <row r="20" spans="2:11" s="152" customFormat="1" ht="15" x14ac:dyDescent="0.25">
      <c r="B20" s="190" t="s">
        <v>455</v>
      </c>
      <c r="C20" s="578">
        <f>+C21+C22+C23</f>
        <v>216166</v>
      </c>
      <c r="D20" s="578">
        <f t="shared" ref="D20:E20" si="5">+D21+D22+D23</f>
        <v>43160</v>
      </c>
      <c r="E20" s="578">
        <f t="shared" si="5"/>
        <v>259326</v>
      </c>
      <c r="F20" s="977" t="s">
        <v>413</v>
      </c>
      <c r="G20" s="978">
        <f>(+G21+G22)+G23</f>
        <v>1560115</v>
      </c>
      <c r="H20" s="978">
        <f t="shared" ref="H20:I20" si="6">(+H21+H22)+H23</f>
        <v>60714</v>
      </c>
      <c r="I20" s="978">
        <f t="shared" si="6"/>
        <v>1620829</v>
      </c>
      <c r="J20" s="156"/>
      <c r="K20" s="177"/>
    </row>
    <row r="21" spans="2:11" s="152" customFormat="1" ht="15" x14ac:dyDescent="0.25">
      <c r="B21" s="189" t="s">
        <v>702</v>
      </c>
      <c r="C21" s="300">
        <f>+'1.mell. Mérleg'!C16</f>
        <v>196666</v>
      </c>
      <c r="D21" s="300">
        <f>+'1.mell. Mérleg'!D16</f>
        <v>0</v>
      </c>
      <c r="E21" s="300">
        <f>+'1.mell. Mérleg'!E16</f>
        <v>196666</v>
      </c>
      <c r="F21" s="158" t="s">
        <v>161</v>
      </c>
      <c r="G21" s="176">
        <f>+'1.mell. Mérleg'!C38</f>
        <v>1494006</v>
      </c>
      <c r="H21" s="176">
        <f>+'1.mell. Mérleg'!D38</f>
        <v>-49175</v>
      </c>
      <c r="I21" s="176">
        <f>+'1.mell. Mérleg'!E38</f>
        <v>1444831</v>
      </c>
      <c r="J21" s="156"/>
      <c r="K21" s="150"/>
    </row>
    <row r="22" spans="2:11" s="152" customFormat="1" ht="15" x14ac:dyDescent="0.25">
      <c r="B22" s="189" t="s">
        <v>346</v>
      </c>
      <c r="C22" s="300">
        <f>+'3.mell. Bevétel'!C70</f>
        <v>0</v>
      </c>
      <c r="D22" s="300">
        <f>+'3.mell. Bevétel'!D70</f>
        <v>720</v>
      </c>
      <c r="E22" s="300">
        <f>+'3.mell. Bevétel'!E70</f>
        <v>720</v>
      </c>
      <c r="F22" s="158" t="s">
        <v>314</v>
      </c>
      <c r="G22" s="176">
        <f>+'5. mell. Önk.össz kiadás'!D23</f>
        <v>61109</v>
      </c>
      <c r="H22" s="176">
        <f>+'5. mell. Önk.össz kiadás'!E23</f>
        <v>109889</v>
      </c>
      <c r="I22" s="176">
        <f>+'5. mell. Önk.össz kiadás'!F23</f>
        <v>170998</v>
      </c>
      <c r="J22" s="156"/>
      <c r="K22" s="150"/>
    </row>
    <row r="23" spans="2:11" s="152" customFormat="1" ht="15" x14ac:dyDescent="0.25">
      <c r="B23" s="189" t="s">
        <v>646</v>
      </c>
      <c r="C23" s="184">
        <f>+'3.mell. Bevétel'!C66</f>
        <v>19500</v>
      </c>
      <c r="D23" s="184">
        <f>+'3.mell. Bevétel'!D66</f>
        <v>42440</v>
      </c>
      <c r="E23" s="184">
        <f>+'3.mell. Bevétel'!E66</f>
        <v>61940</v>
      </c>
      <c r="F23" s="158" t="s">
        <v>420</v>
      </c>
      <c r="G23" s="176">
        <f>+'5. mell. Önk.össz kiadás'!D25</f>
        <v>5000</v>
      </c>
      <c r="H23" s="176">
        <f>+'5. mell. Önk.össz kiadás'!E25</f>
        <v>0</v>
      </c>
      <c r="I23" s="176">
        <f>+'5. mell. Önk.össz kiadás'!F25</f>
        <v>5000</v>
      </c>
      <c r="J23" s="156"/>
      <c r="K23" s="150"/>
    </row>
    <row r="24" spans="2:11" s="152" customFormat="1" ht="15" x14ac:dyDescent="0.25">
      <c r="B24" s="188" t="s">
        <v>286</v>
      </c>
      <c r="C24" s="359">
        <f>+C25+C26</f>
        <v>1331728</v>
      </c>
      <c r="D24" s="359">
        <f t="shared" ref="D24:E24" si="7">+D25+D26</f>
        <v>0</v>
      </c>
      <c r="E24" s="359">
        <f t="shared" si="7"/>
        <v>1331728</v>
      </c>
      <c r="F24" s="158"/>
      <c r="G24" s="158"/>
      <c r="H24" s="178"/>
      <c r="I24" s="160"/>
      <c r="J24" s="156"/>
      <c r="K24" s="150"/>
    </row>
    <row r="25" spans="2:11" s="152" customFormat="1" ht="15" x14ac:dyDescent="0.25">
      <c r="B25" s="189" t="s">
        <v>384</v>
      </c>
      <c r="C25" s="186">
        <f>+'3.mell. Bevétel'!C77</f>
        <v>1214228</v>
      </c>
      <c r="D25" s="186">
        <f>+'3.mell. Bevétel'!D77</f>
        <v>0</v>
      </c>
      <c r="E25" s="186">
        <f>+'3.mell. Bevétel'!E77</f>
        <v>1214228</v>
      </c>
      <c r="F25" s="164" t="s">
        <v>277</v>
      </c>
      <c r="G25" s="179">
        <f>+'1.mell. Mérleg'!C42</f>
        <v>16091</v>
      </c>
      <c r="H25" s="179">
        <f>+'1.mell. Mérleg'!D42</f>
        <v>0</v>
      </c>
      <c r="I25" s="179">
        <f>+'1.mell. Mérleg'!E42</f>
        <v>16091</v>
      </c>
      <c r="J25" s="156"/>
      <c r="K25" s="150"/>
    </row>
    <row r="26" spans="2:11" s="170" customFormat="1" ht="18.75" customHeight="1" x14ac:dyDescent="0.25">
      <c r="B26" s="571" t="s">
        <v>699</v>
      </c>
      <c r="C26" s="186">
        <f>+'3.mell. Bevétel'!C74</f>
        <v>117500</v>
      </c>
      <c r="D26" s="186">
        <f>+'3.mell. Bevétel'!D74</f>
        <v>0</v>
      </c>
      <c r="E26" s="186">
        <f>+'3.mell. Bevétel'!E74</f>
        <v>117500</v>
      </c>
      <c r="F26" s="158"/>
      <c r="G26" s="178"/>
      <c r="H26" s="176"/>
      <c r="I26" s="160"/>
      <c r="J26" s="156"/>
      <c r="K26" s="150"/>
    </row>
    <row r="27" spans="2:11" s="170" customFormat="1" ht="15.75" thickBot="1" x14ac:dyDescent="0.3">
      <c r="B27" s="420" t="s">
        <v>347</v>
      </c>
      <c r="C27" s="421">
        <f>+C20+C24</f>
        <v>1547894</v>
      </c>
      <c r="D27" s="421">
        <f t="shared" ref="D27:E27" si="8">+D20+D24</f>
        <v>43160</v>
      </c>
      <c r="E27" s="421">
        <f t="shared" si="8"/>
        <v>1591054</v>
      </c>
      <c r="F27" s="982" t="s">
        <v>347</v>
      </c>
      <c r="G27" s="983">
        <f>+G25+G20</f>
        <v>1576206</v>
      </c>
      <c r="H27" s="983">
        <f t="shared" ref="H27:I27" si="9">+H25+H20</f>
        <v>60714</v>
      </c>
      <c r="I27" s="983">
        <f t="shared" si="9"/>
        <v>1636920</v>
      </c>
      <c r="J27" s="156"/>
      <c r="K27" s="150"/>
    </row>
    <row r="28" spans="2:11" ht="15.75" thickBot="1" x14ac:dyDescent="0.3">
      <c r="B28" s="422" t="s">
        <v>281</v>
      </c>
      <c r="C28" s="423">
        <f>C16+C27</f>
        <v>2959905</v>
      </c>
      <c r="D28" s="423">
        <f t="shared" ref="D28:E28" si="10">D16+D27</f>
        <v>61229</v>
      </c>
      <c r="E28" s="423">
        <f t="shared" si="10"/>
        <v>3021134</v>
      </c>
      <c r="F28" s="984" t="s">
        <v>281</v>
      </c>
      <c r="G28" s="985">
        <f>G16+G27</f>
        <v>2959905</v>
      </c>
      <c r="H28" s="985">
        <f t="shared" ref="H28:I28" si="11">H16+H27</f>
        <v>61229</v>
      </c>
      <c r="I28" s="985">
        <f t="shared" si="11"/>
        <v>3021134</v>
      </c>
      <c r="J28" s="150"/>
      <c r="K28" s="580"/>
    </row>
    <row r="29" spans="2:11" ht="15" x14ac:dyDescent="0.25">
      <c r="B29" s="180"/>
      <c r="C29" s="419"/>
      <c r="D29" s="181"/>
      <c r="E29" s="181"/>
      <c r="F29" s="180"/>
      <c r="G29" s="180"/>
      <c r="H29" s="180"/>
      <c r="I29" s="180"/>
      <c r="J29" s="150"/>
      <c r="K29" s="150"/>
    </row>
    <row r="30" spans="2:11" ht="15" x14ac:dyDescent="0.25">
      <c r="B30" s="183"/>
      <c r="C30" s="182"/>
      <c r="D30" s="182"/>
      <c r="E30" s="182"/>
      <c r="F30" s="182"/>
      <c r="G30" s="182"/>
      <c r="H30" s="182"/>
      <c r="I30" s="182"/>
      <c r="J30" s="150"/>
      <c r="K30" s="150"/>
    </row>
    <row r="31" spans="2:11" ht="15" x14ac:dyDescent="0.25">
      <c r="B31" s="150"/>
      <c r="C31" s="182"/>
      <c r="D31" s="182"/>
      <c r="E31" s="182"/>
      <c r="F31" s="182"/>
      <c r="G31" s="182"/>
      <c r="H31" s="182"/>
      <c r="I31" s="150"/>
      <c r="J31" s="150"/>
      <c r="K31" s="150"/>
    </row>
    <row r="32" spans="2:11" ht="15" x14ac:dyDescent="0.25">
      <c r="B32" s="150"/>
      <c r="C32" s="150"/>
      <c r="D32" s="150"/>
      <c r="E32" s="150"/>
      <c r="F32" s="150"/>
      <c r="G32" s="150"/>
      <c r="H32" s="150"/>
      <c r="I32" s="150"/>
      <c r="J32" s="150"/>
      <c r="K32" s="150"/>
    </row>
    <row r="33" spans="2:9" ht="12.75" customHeight="1" x14ac:dyDescent="0.25">
      <c r="B33" s="150"/>
      <c r="C33" s="182"/>
      <c r="D33" s="182"/>
      <c r="E33" s="182"/>
      <c r="F33" s="150"/>
      <c r="G33" s="150"/>
      <c r="H33" s="150"/>
      <c r="I33" s="18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&amp;C&amp;"Times New Roman,Félkövér"&amp;14Martonvásár Város Önkormányzata 2019. évi költségvetésének pénzügyi mérlege&amp;R&amp;"Times New Roman,Félkövér"&amp;12 2. melléklet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Normal="100" workbookViewId="0">
      <selection activeCell="C5" sqref="C5:D5"/>
    </sheetView>
  </sheetViews>
  <sheetFormatPr defaultColWidth="9.140625" defaultRowHeight="12.75" x14ac:dyDescent="0.2"/>
  <cols>
    <col min="1" max="1" width="5.7109375" style="640" customWidth="1"/>
    <col min="2" max="2" width="45.42578125" style="640" customWidth="1"/>
    <col min="3" max="3" width="7.42578125" style="640" customWidth="1"/>
    <col min="4" max="4" width="5.5703125" style="640" bestFit="1" customWidth="1"/>
    <col min="5" max="5" width="6.7109375" style="640" bestFit="1" customWidth="1"/>
    <col min="6" max="6" width="7.85546875" style="640" customWidth="1"/>
    <col min="7" max="7" width="8.5703125" style="640" customWidth="1"/>
    <col min="8" max="8" width="7.28515625" style="640" customWidth="1"/>
    <col min="9" max="9" width="6.5703125" style="640" customWidth="1"/>
    <col min="10" max="10" width="8.140625" style="640" customWidth="1"/>
    <col min="11" max="11" width="9" style="640" customWidth="1"/>
    <col min="12" max="12" width="8.85546875" style="640" customWidth="1"/>
    <col min="13" max="13" width="8.28515625" style="640" customWidth="1"/>
    <col min="14" max="15" width="9.140625" style="640"/>
    <col min="16" max="17" width="9" style="640" customWidth="1"/>
    <col min="18" max="18" width="6.85546875" style="640" customWidth="1"/>
    <col min="19" max="19" width="7.85546875" style="640" customWidth="1"/>
    <col min="20" max="20" width="9.28515625" style="640" customWidth="1"/>
    <col min="21" max="21" width="7" style="640" hidden="1" customWidth="1"/>
    <col min="22" max="16384" width="9.140625" style="640"/>
  </cols>
  <sheetData>
    <row r="1" spans="1:22" ht="15" customHeight="1" thickBot="1" x14ac:dyDescent="0.25">
      <c r="S1" s="1392" t="s">
        <v>391</v>
      </c>
      <c r="T1" s="1392"/>
      <c r="U1" s="1392"/>
      <c r="V1" s="1392"/>
    </row>
    <row r="2" spans="1:22" ht="31.5" customHeight="1" x14ac:dyDescent="0.2">
      <c r="A2" s="1393" t="s">
        <v>348</v>
      </c>
      <c r="B2" s="1417" t="s">
        <v>728</v>
      </c>
      <c r="C2" s="1407" t="s">
        <v>309</v>
      </c>
      <c r="D2" s="1407"/>
      <c r="E2" s="1407"/>
      <c r="F2" s="1407"/>
      <c r="G2" s="1407"/>
      <c r="H2" s="1407"/>
      <c r="I2" s="1407"/>
      <c r="J2" s="1407"/>
      <c r="K2" s="1408" t="s">
        <v>288</v>
      </c>
      <c r="L2" s="1407" t="s">
        <v>302</v>
      </c>
      <c r="M2" s="1407"/>
      <c r="N2" s="1407"/>
      <c r="O2" s="1407"/>
      <c r="P2" s="1407"/>
      <c r="Q2" s="1407"/>
      <c r="R2" s="1407"/>
      <c r="S2" s="1407"/>
      <c r="T2" s="1410"/>
      <c r="U2" s="1408" t="s">
        <v>729</v>
      </c>
      <c r="V2" s="1414" t="s">
        <v>755</v>
      </c>
    </row>
    <row r="3" spans="1:22" s="652" customFormat="1" ht="25.5" customHeight="1" x14ac:dyDescent="0.25">
      <c r="A3" s="1394"/>
      <c r="B3" s="1411"/>
      <c r="C3" s="1411" t="s">
        <v>756</v>
      </c>
      <c r="D3" s="1411" t="s">
        <v>757</v>
      </c>
      <c r="E3" s="1418" t="s">
        <v>151</v>
      </c>
      <c r="F3" s="1411" t="s">
        <v>163</v>
      </c>
      <c r="G3" s="1385"/>
      <c r="H3" s="1411" t="s">
        <v>733</v>
      </c>
      <c r="I3" s="1411" t="s">
        <v>668</v>
      </c>
      <c r="J3" s="1411" t="s">
        <v>759</v>
      </c>
      <c r="K3" s="1409"/>
      <c r="L3" s="1411" t="s">
        <v>744</v>
      </c>
      <c r="M3" s="1411" t="s">
        <v>745</v>
      </c>
      <c r="N3" s="1411" t="s">
        <v>737</v>
      </c>
      <c r="O3" s="1411" t="s">
        <v>760</v>
      </c>
      <c r="P3" s="1385"/>
      <c r="Q3" s="1412" t="s">
        <v>761</v>
      </c>
      <c r="R3" s="1411" t="s">
        <v>762</v>
      </c>
      <c r="S3" s="1385"/>
      <c r="T3" s="1412" t="s">
        <v>777</v>
      </c>
      <c r="U3" s="1409"/>
      <c r="V3" s="1415"/>
    </row>
    <row r="4" spans="1:22" s="652" customFormat="1" ht="23.25" customHeight="1" x14ac:dyDescent="0.25">
      <c r="A4" s="1394"/>
      <c r="B4" s="1411"/>
      <c r="C4" s="1411"/>
      <c r="D4" s="1411"/>
      <c r="E4" s="1419"/>
      <c r="F4" s="1075" t="s">
        <v>753</v>
      </c>
      <c r="G4" s="1075" t="s">
        <v>754</v>
      </c>
      <c r="H4" s="1411"/>
      <c r="I4" s="1411"/>
      <c r="J4" s="1411"/>
      <c r="K4" s="1409"/>
      <c r="L4" s="1411"/>
      <c r="M4" s="1411"/>
      <c r="N4" s="1411"/>
      <c r="O4" s="1075" t="s">
        <v>769</v>
      </c>
      <c r="P4" s="1075" t="s">
        <v>770</v>
      </c>
      <c r="Q4" s="1413"/>
      <c r="R4" s="1075" t="s">
        <v>769</v>
      </c>
      <c r="S4" s="1075" t="s">
        <v>770</v>
      </c>
      <c r="T4" s="1416"/>
      <c r="U4" s="1409"/>
      <c r="V4" s="1415"/>
    </row>
    <row r="5" spans="1:22" x14ac:dyDescent="0.2">
      <c r="A5" s="654">
        <v>1</v>
      </c>
      <c r="B5" s="647" t="s">
        <v>966</v>
      </c>
      <c r="C5" s="677">
        <v>517</v>
      </c>
      <c r="D5" s="677">
        <f>8+14+8+14+14+8</f>
        <v>66</v>
      </c>
      <c r="E5" s="677"/>
      <c r="F5" s="677"/>
      <c r="G5" s="677"/>
      <c r="H5" s="677"/>
      <c r="I5" s="677"/>
      <c r="J5" s="677"/>
      <c r="K5" s="657">
        <f>SUM(C5:J5)</f>
        <v>583</v>
      </c>
      <c r="L5" s="677"/>
      <c r="M5" s="677"/>
      <c r="N5" s="677">
        <v>583</v>
      </c>
      <c r="O5" s="677"/>
      <c r="P5" s="677"/>
      <c r="Q5" s="677"/>
      <c r="R5" s="677"/>
      <c r="S5" s="677"/>
      <c r="T5" s="679"/>
      <c r="U5" s="657"/>
      <c r="V5" s="659">
        <f t="shared" ref="V5:V13" si="0">SUM(L5:U5)</f>
        <v>583</v>
      </c>
    </row>
    <row r="6" spans="1:22" x14ac:dyDescent="0.2">
      <c r="A6" s="654">
        <v>2</v>
      </c>
      <c r="B6" s="647" t="s">
        <v>967</v>
      </c>
      <c r="C6" s="683"/>
      <c r="D6" s="683"/>
      <c r="E6" s="683">
        <v>-39</v>
      </c>
      <c r="F6" s="683"/>
      <c r="G6" s="683"/>
      <c r="H6" s="683">
        <v>39</v>
      </c>
      <c r="I6" s="683"/>
      <c r="J6" s="683"/>
      <c r="K6" s="657">
        <f>SUM(C6:J6)</f>
        <v>0</v>
      </c>
      <c r="L6" s="683"/>
      <c r="M6" s="683"/>
      <c r="N6" s="683"/>
      <c r="O6" s="683"/>
      <c r="P6" s="683"/>
      <c r="Q6" s="683"/>
      <c r="R6" s="683"/>
      <c r="S6" s="683"/>
      <c r="T6" s="684"/>
      <c r="U6" s="657"/>
      <c r="V6" s="659">
        <f t="shared" si="0"/>
        <v>0</v>
      </c>
    </row>
    <row r="7" spans="1:22" ht="25.5" x14ac:dyDescent="0.2">
      <c r="A7" s="654">
        <v>3</v>
      </c>
      <c r="B7" s="648" t="s">
        <v>968</v>
      </c>
      <c r="C7" s="683"/>
      <c r="D7" s="683"/>
      <c r="E7" s="683">
        <v>-571</v>
      </c>
      <c r="F7" s="683"/>
      <c r="G7" s="683"/>
      <c r="H7" s="683">
        <v>571</v>
      </c>
      <c r="I7" s="683"/>
      <c r="J7" s="683"/>
      <c r="K7" s="657">
        <f>SUM(C7:J7)</f>
        <v>0</v>
      </c>
      <c r="L7" s="683"/>
      <c r="M7" s="683"/>
      <c r="N7" s="683"/>
      <c r="O7" s="683"/>
      <c r="P7" s="683"/>
      <c r="Q7" s="683"/>
      <c r="R7" s="683"/>
      <c r="S7" s="683"/>
      <c r="T7" s="684"/>
      <c r="U7" s="657"/>
      <c r="V7" s="659">
        <f t="shared" si="0"/>
        <v>0</v>
      </c>
    </row>
    <row r="8" spans="1:22" x14ac:dyDescent="0.2">
      <c r="A8" s="654">
        <v>4</v>
      </c>
      <c r="B8" s="655" t="s">
        <v>969</v>
      </c>
      <c r="C8" s="656">
        <v>-5</v>
      </c>
      <c r="D8" s="656"/>
      <c r="E8" s="656">
        <v>5</v>
      </c>
      <c r="F8" s="656"/>
      <c r="G8" s="656"/>
      <c r="H8" s="656"/>
      <c r="I8" s="656"/>
      <c r="J8" s="656"/>
      <c r="K8" s="657">
        <f>SUM(C8:J8)</f>
        <v>0</v>
      </c>
      <c r="L8" s="656"/>
      <c r="M8" s="656"/>
      <c r="N8" s="656"/>
      <c r="O8" s="656"/>
      <c r="P8" s="656"/>
      <c r="Q8" s="656"/>
      <c r="R8" s="656"/>
      <c r="S8" s="656"/>
      <c r="T8" s="658"/>
      <c r="U8" s="657"/>
      <c r="V8" s="659">
        <f t="shared" si="0"/>
        <v>0</v>
      </c>
    </row>
    <row r="9" spans="1:22" x14ac:dyDescent="0.2">
      <c r="A9" s="654">
        <v>5</v>
      </c>
      <c r="B9" s="655" t="s">
        <v>970</v>
      </c>
      <c r="C9" s="656"/>
      <c r="D9" s="656"/>
      <c r="E9" s="656">
        <v>30</v>
      </c>
      <c r="F9" s="656"/>
      <c r="G9" s="656"/>
      <c r="H9" s="656"/>
      <c r="I9" s="656"/>
      <c r="J9" s="656"/>
      <c r="K9" s="657">
        <f t="shared" ref="K9:K13" si="1">SUM(C9:J9)</f>
        <v>30</v>
      </c>
      <c r="L9" s="656"/>
      <c r="M9" s="656">
        <v>30</v>
      </c>
      <c r="N9" s="656"/>
      <c r="O9" s="656"/>
      <c r="P9" s="656"/>
      <c r="Q9" s="656"/>
      <c r="R9" s="656"/>
      <c r="S9" s="656"/>
      <c r="T9" s="658"/>
      <c r="U9" s="657"/>
      <c r="V9" s="659">
        <f t="shared" si="0"/>
        <v>30</v>
      </c>
    </row>
    <row r="10" spans="1:22" x14ac:dyDescent="0.2">
      <c r="A10" s="654">
        <v>6</v>
      </c>
      <c r="B10" s="655" t="s">
        <v>971</v>
      </c>
      <c r="C10" s="656">
        <v>36</v>
      </c>
      <c r="D10" s="656"/>
      <c r="E10" s="656">
        <v>-36</v>
      </c>
      <c r="F10" s="656"/>
      <c r="G10" s="656"/>
      <c r="H10" s="656"/>
      <c r="I10" s="656"/>
      <c r="J10" s="656"/>
      <c r="K10" s="657">
        <v>0</v>
      </c>
      <c r="L10" s="656"/>
      <c r="M10" s="656"/>
      <c r="N10" s="656"/>
      <c r="O10" s="656"/>
      <c r="P10" s="656"/>
      <c r="Q10" s="656"/>
      <c r="R10" s="656"/>
      <c r="S10" s="656"/>
      <c r="T10" s="658"/>
      <c r="U10" s="657"/>
      <c r="V10" s="659">
        <f t="shared" si="0"/>
        <v>0</v>
      </c>
    </row>
    <row r="11" spans="1:22" x14ac:dyDescent="0.2">
      <c r="A11" s="654">
        <v>7</v>
      </c>
      <c r="B11" s="648"/>
      <c r="C11" s="683"/>
      <c r="D11" s="683"/>
      <c r="E11" s="683"/>
      <c r="F11" s="683"/>
      <c r="G11" s="683"/>
      <c r="H11" s="649"/>
      <c r="I11" s="649"/>
      <c r="J11" s="649"/>
      <c r="K11" s="657">
        <f t="shared" si="1"/>
        <v>0</v>
      </c>
      <c r="L11" s="649"/>
      <c r="M11" s="649"/>
      <c r="N11" s="649"/>
      <c r="O11" s="649"/>
      <c r="P11" s="649"/>
      <c r="Q11" s="649"/>
      <c r="R11" s="649"/>
      <c r="S11" s="649"/>
      <c r="T11" s="644"/>
      <c r="U11" s="655"/>
      <c r="V11" s="659">
        <f t="shared" si="0"/>
        <v>0</v>
      </c>
    </row>
    <row r="12" spans="1:22" x14ac:dyDescent="0.2">
      <c r="A12" s="1019"/>
      <c r="B12" s="1020"/>
      <c r="C12" s="1021"/>
      <c r="D12" s="1021"/>
      <c r="E12" s="1021"/>
      <c r="F12" s="1021"/>
      <c r="G12" s="1021"/>
      <c r="H12" s="1022"/>
      <c r="I12" s="1022"/>
      <c r="J12" s="1022"/>
      <c r="K12" s="657"/>
      <c r="L12" s="1022"/>
      <c r="M12" s="1022"/>
      <c r="N12" s="1022"/>
      <c r="O12" s="1022"/>
      <c r="P12" s="1022"/>
      <c r="Q12" s="1022"/>
      <c r="R12" s="1022"/>
      <c r="S12" s="1022"/>
      <c r="T12" s="1023"/>
      <c r="U12" s="1024"/>
      <c r="V12" s="659"/>
    </row>
    <row r="13" spans="1:22" x14ac:dyDescent="0.2">
      <c r="A13" s="1019">
        <v>9</v>
      </c>
      <c r="B13" s="1020"/>
      <c r="C13" s="1021"/>
      <c r="D13" s="1021"/>
      <c r="E13" s="1021"/>
      <c r="F13" s="1021"/>
      <c r="G13" s="1021"/>
      <c r="H13" s="1022"/>
      <c r="I13" s="1022"/>
      <c r="J13" s="1022"/>
      <c r="K13" s="657">
        <f t="shared" si="1"/>
        <v>0</v>
      </c>
      <c r="L13" s="1022"/>
      <c r="M13" s="1022"/>
      <c r="N13" s="1022"/>
      <c r="O13" s="1022"/>
      <c r="P13" s="1022"/>
      <c r="Q13" s="1022"/>
      <c r="R13" s="1022"/>
      <c r="S13" s="1022"/>
      <c r="T13" s="1023"/>
      <c r="U13" s="1024"/>
      <c r="V13" s="659">
        <f t="shared" si="0"/>
        <v>0</v>
      </c>
    </row>
    <row r="14" spans="1:22" ht="13.5" thickBot="1" x14ac:dyDescent="0.25">
      <c r="A14" s="660"/>
      <c r="B14" s="661" t="s">
        <v>180</v>
      </c>
      <c r="C14" s="662">
        <f t="shared" ref="C14:J14" si="2">SUM(C5:C11)</f>
        <v>548</v>
      </c>
      <c r="D14" s="662">
        <f t="shared" si="2"/>
        <v>66</v>
      </c>
      <c r="E14" s="662">
        <f>SUM(E5:E13)</f>
        <v>-611</v>
      </c>
      <c r="F14" s="662">
        <f t="shared" si="2"/>
        <v>0</v>
      </c>
      <c r="G14" s="662">
        <f t="shared" si="2"/>
        <v>0</v>
      </c>
      <c r="H14" s="662">
        <f t="shared" si="2"/>
        <v>610</v>
      </c>
      <c r="I14" s="662">
        <f t="shared" si="2"/>
        <v>0</v>
      </c>
      <c r="J14" s="662">
        <f t="shared" si="2"/>
        <v>0</v>
      </c>
      <c r="K14" s="663">
        <f>SUM(K5:K13)</f>
        <v>613</v>
      </c>
      <c r="L14" s="662">
        <f t="shared" ref="L14:T14" si="3">SUM(L5:L11)</f>
        <v>0</v>
      </c>
      <c r="M14" s="662">
        <f t="shared" si="3"/>
        <v>30</v>
      </c>
      <c r="N14" s="662">
        <f>SUM(N5:N13)</f>
        <v>583</v>
      </c>
      <c r="O14" s="662">
        <f t="shared" si="3"/>
        <v>0</v>
      </c>
      <c r="P14" s="662">
        <f t="shared" si="3"/>
        <v>0</v>
      </c>
      <c r="Q14" s="662">
        <f t="shared" si="3"/>
        <v>0</v>
      </c>
      <c r="R14" s="662">
        <f t="shared" si="3"/>
        <v>0</v>
      </c>
      <c r="S14" s="662">
        <f t="shared" si="3"/>
        <v>0</v>
      </c>
      <c r="T14" s="662">
        <f t="shared" si="3"/>
        <v>0</v>
      </c>
      <c r="U14" s="662">
        <f>SUM(U5:U8)</f>
        <v>0</v>
      </c>
      <c r="V14" s="664">
        <f>SUM(V5:V13)</f>
        <v>613</v>
      </c>
    </row>
  </sheetData>
  <mergeCells count="22">
    <mergeCell ref="S1:V1"/>
    <mergeCell ref="C2:J2"/>
    <mergeCell ref="K2:K4"/>
    <mergeCell ref="L2:T2"/>
    <mergeCell ref="U2:U4"/>
    <mergeCell ref="C3:C4"/>
    <mergeCell ref="F3:G3"/>
    <mergeCell ref="H3:H4"/>
    <mergeCell ref="L3:L4"/>
    <mergeCell ref="O3:P3"/>
    <mergeCell ref="Q3:Q4"/>
    <mergeCell ref="R3:S3"/>
    <mergeCell ref="T3:T4"/>
    <mergeCell ref="J3:J4"/>
    <mergeCell ref="A2:A4"/>
    <mergeCell ref="B2:B4"/>
    <mergeCell ref="V2:V4"/>
    <mergeCell ref="D3:D4"/>
    <mergeCell ref="E3:E4"/>
    <mergeCell ref="I3:I4"/>
    <mergeCell ref="M3:M4"/>
    <mergeCell ref="N3:N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&amp;C&amp;"Times New Roman,Félkövér"&amp;12Martonvásár Város Önkormányzatának 2019. évi költségvetés módosításainak részletezése
Brunszvik Beethoven Kultúrális Központ&amp;R&amp;"Times New Roman,Félkövér"&amp;12 12.d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zoomScaleNormal="100" workbookViewId="0">
      <selection activeCell="X9" sqref="X9:Y9"/>
    </sheetView>
  </sheetViews>
  <sheetFormatPr defaultColWidth="9.140625" defaultRowHeight="12.75" x14ac:dyDescent="0.2"/>
  <cols>
    <col min="1" max="1" width="5.7109375" style="640" customWidth="1"/>
    <col min="2" max="2" width="21" style="640" customWidth="1"/>
    <col min="3" max="3" width="7.42578125" style="640" customWidth="1"/>
    <col min="4" max="4" width="7.5703125" style="640" customWidth="1"/>
    <col min="5" max="5" width="7.28515625" style="640" customWidth="1"/>
    <col min="6" max="6" width="7.42578125" style="640" customWidth="1"/>
    <col min="7" max="7" width="6.7109375" style="640" customWidth="1"/>
    <col min="8" max="8" width="7.85546875" style="640" customWidth="1"/>
    <col min="9" max="9" width="7.5703125" style="640" bestFit="1" customWidth="1"/>
    <col min="10" max="10" width="8.7109375" style="640" customWidth="1"/>
    <col min="11" max="11" width="8" style="640" hidden="1" customWidth="1"/>
    <col min="12" max="12" width="8.85546875" style="640" hidden="1" customWidth="1"/>
    <col min="13" max="13" width="8.140625" style="640" customWidth="1"/>
    <col min="14" max="14" width="8.5703125" style="640" hidden="1" customWidth="1"/>
    <col min="15" max="15" width="7.85546875" style="640" customWidth="1"/>
    <col min="16" max="18" width="8.140625" style="640" customWidth="1"/>
    <col min="19" max="19" width="10" style="640" customWidth="1"/>
    <col min="20" max="20" width="8.140625" style="640" customWidth="1"/>
    <col min="21" max="21" width="8.85546875" style="640" customWidth="1"/>
    <col min="22" max="22" width="9" style="640" customWidth="1"/>
    <col min="23" max="23" width="9.42578125" style="640" customWidth="1"/>
    <col min="24" max="25" width="7.140625" style="640" customWidth="1"/>
    <col min="26" max="27" width="8.140625" style="640" customWidth="1"/>
    <col min="28" max="28" width="7.28515625" style="640" customWidth="1"/>
    <col min="29" max="29" width="7.85546875" style="640" customWidth="1"/>
    <col min="30" max="30" width="9.140625" style="640" customWidth="1"/>
    <col min="31" max="31" width="8.5703125" style="640" customWidth="1"/>
    <col min="32" max="32" width="7.7109375" style="640" customWidth="1"/>
    <col min="33" max="33" width="7.5703125" style="640" customWidth="1"/>
    <col min="34" max="34" width="8.7109375" style="640" customWidth="1"/>
    <col min="35" max="35" width="9.28515625" style="640" customWidth="1"/>
    <col min="36" max="16384" width="9.140625" style="640"/>
  </cols>
  <sheetData>
    <row r="1" spans="1:40" ht="13.5" thickBot="1" x14ac:dyDescent="0.25">
      <c r="AG1" s="1392" t="s">
        <v>391</v>
      </c>
      <c r="AH1" s="1392"/>
      <c r="AI1" s="1392"/>
    </row>
    <row r="2" spans="1:40" ht="31.5" customHeight="1" x14ac:dyDescent="0.2">
      <c r="A2" s="1393" t="s">
        <v>348</v>
      </c>
      <c r="B2" s="1417" t="s">
        <v>728</v>
      </c>
      <c r="C2" s="1407" t="s">
        <v>309</v>
      </c>
      <c r="D2" s="1407"/>
      <c r="E2" s="1407"/>
      <c r="F2" s="1407"/>
      <c r="G2" s="1407"/>
      <c r="H2" s="1407"/>
      <c r="I2" s="1407"/>
      <c r="J2" s="1407"/>
      <c r="K2" s="1407"/>
      <c r="L2" s="1407"/>
      <c r="M2" s="1407"/>
      <c r="N2" s="1407"/>
      <c r="O2" s="1407"/>
      <c r="P2" s="1407"/>
      <c r="Q2" s="1407"/>
      <c r="R2" s="1407"/>
      <c r="S2" s="1407"/>
      <c r="T2" s="1407"/>
      <c r="U2" s="1407"/>
      <c r="V2" s="1422" t="s">
        <v>288</v>
      </c>
      <c r="W2" s="1424" t="s">
        <v>302</v>
      </c>
      <c r="X2" s="1425"/>
      <c r="Y2" s="1425"/>
      <c r="Z2" s="1425"/>
      <c r="AA2" s="1425"/>
      <c r="AB2" s="1425"/>
      <c r="AC2" s="1425"/>
      <c r="AD2" s="1425"/>
      <c r="AE2" s="1425"/>
      <c r="AF2" s="1425"/>
      <c r="AG2" s="1425"/>
      <c r="AH2" s="1425"/>
      <c r="AI2" s="1422" t="s">
        <v>729</v>
      </c>
      <c r="AN2" s="641"/>
    </row>
    <row r="3" spans="1:40" ht="25.5" customHeight="1" x14ac:dyDescent="0.2">
      <c r="A3" s="1394"/>
      <c r="B3" s="1411"/>
      <c r="C3" s="1411" t="s">
        <v>756</v>
      </c>
      <c r="D3" s="1411" t="s">
        <v>757</v>
      </c>
      <c r="E3" s="1411" t="s">
        <v>151</v>
      </c>
      <c r="F3" s="1411" t="s">
        <v>771</v>
      </c>
      <c r="G3" s="1411" t="s">
        <v>163</v>
      </c>
      <c r="H3" s="1420"/>
      <c r="I3" s="1411" t="s">
        <v>733</v>
      </c>
      <c r="J3" s="1411" t="s">
        <v>668</v>
      </c>
      <c r="K3" s="1411" t="s">
        <v>772</v>
      </c>
      <c r="L3" s="1411" t="s">
        <v>773</v>
      </c>
      <c r="M3" s="1411" t="s">
        <v>737</v>
      </c>
      <c r="N3" s="1411" t="s">
        <v>738</v>
      </c>
      <c r="O3" s="1411" t="s">
        <v>618</v>
      </c>
      <c r="P3" s="1411" t="s">
        <v>774</v>
      </c>
      <c r="Q3" s="1411" t="s">
        <v>742</v>
      </c>
      <c r="R3" s="1411" t="s">
        <v>741</v>
      </c>
      <c r="S3" s="1418" t="s">
        <v>875</v>
      </c>
      <c r="T3" s="1411" t="s">
        <v>740</v>
      </c>
      <c r="U3" s="1411" t="s">
        <v>775</v>
      </c>
      <c r="V3" s="1423"/>
      <c r="W3" s="1421" t="s">
        <v>744</v>
      </c>
      <c r="X3" s="1411" t="s">
        <v>745</v>
      </c>
      <c r="Y3" s="1418" t="s">
        <v>737</v>
      </c>
      <c r="Z3" s="1411" t="s">
        <v>746</v>
      </c>
      <c r="AA3" s="1411" t="s">
        <v>747</v>
      </c>
      <c r="AB3" s="1411" t="s">
        <v>748</v>
      </c>
      <c r="AC3" s="1411" t="s">
        <v>646</v>
      </c>
      <c r="AD3" s="1411" t="s">
        <v>749</v>
      </c>
      <c r="AE3" s="1411" t="s">
        <v>750</v>
      </c>
      <c r="AF3" s="1411" t="s">
        <v>751</v>
      </c>
      <c r="AG3" s="1411" t="s">
        <v>752</v>
      </c>
      <c r="AH3" s="1411" t="s">
        <v>777</v>
      </c>
      <c r="AI3" s="1423"/>
    </row>
    <row r="4" spans="1:40" ht="27" customHeight="1" x14ac:dyDescent="0.2">
      <c r="A4" s="1394"/>
      <c r="B4" s="1411"/>
      <c r="C4" s="1411"/>
      <c r="D4" s="1411"/>
      <c r="E4" s="1411"/>
      <c r="F4" s="1411"/>
      <c r="G4" s="694" t="s">
        <v>753</v>
      </c>
      <c r="H4" s="694" t="s">
        <v>754</v>
      </c>
      <c r="I4" s="1411"/>
      <c r="J4" s="1411"/>
      <c r="K4" s="1411"/>
      <c r="L4" s="1411"/>
      <c r="M4" s="1411"/>
      <c r="N4" s="1411"/>
      <c r="O4" s="1411"/>
      <c r="P4" s="1411"/>
      <c r="Q4" s="1420"/>
      <c r="R4" s="1411"/>
      <c r="S4" s="1419"/>
      <c r="T4" s="1420"/>
      <c r="U4" s="1420"/>
      <c r="V4" s="1423"/>
      <c r="W4" s="1421"/>
      <c r="X4" s="1411"/>
      <c r="Y4" s="1419"/>
      <c r="Z4" s="1385"/>
      <c r="AA4" s="1385"/>
      <c r="AB4" s="1411"/>
      <c r="AC4" s="1385"/>
      <c r="AD4" s="1385"/>
      <c r="AE4" s="1385"/>
      <c r="AF4" s="1411"/>
      <c r="AG4" s="1411"/>
      <c r="AH4" s="1411"/>
      <c r="AI4" s="1423"/>
    </row>
    <row r="5" spans="1:40" x14ac:dyDescent="0.2">
      <c r="A5" s="654">
        <v>1</v>
      </c>
      <c r="B5" s="665" t="s">
        <v>776</v>
      </c>
      <c r="C5" s="666">
        <f>+'12.a Tételes mód ÖNK'!D57</f>
        <v>-5652</v>
      </c>
      <c r="D5" s="666">
        <f>+'12.a Tételes mód ÖNK'!E57</f>
        <v>645</v>
      </c>
      <c r="E5" s="666">
        <f>+'12.a Tételes mód ÖNK'!F57</f>
        <v>77351</v>
      </c>
      <c r="F5" s="666">
        <f>+'12.a Tételes mód ÖNK'!G57</f>
        <v>-176</v>
      </c>
      <c r="G5" s="666">
        <f>+'12.a Tételes mód ÖNK'!H57</f>
        <v>5870</v>
      </c>
      <c r="H5" s="666">
        <f>+'12.a Tételes mód ÖNK'!I57</f>
        <v>3572</v>
      </c>
      <c r="I5" s="666">
        <f>+'12.a Tételes mód ÖNK'!J57</f>
        <v>-50507</v>
      </c>
      <c r="J5" s="666">
        <f>+'12.a Tételes mód ÖNK'!K57</f>
        <v>109889</v>
      </c>
      <c r="K5" s="666">
        <f>+'12.a Tételes mód ÖNK'!L57</f>
        <v>0</v>
      </c>
      <c r="L5" s="666">
        <f>+'12.a Tételes mód ÖNK'!M57</f>
        <v>0</v>
      </c>
      <c r="M5" s="666">
        <f>+'12.a Tételes mód ÖNK'!N57</f>
        <v>6255</v>
      </c>
      <c r="N5" s="666">
        <f>+'12.a Tételes mód ÖNK'!O57</f>
        <v>0</v>
      </c>
      <c r="O5" s="666">
        <f>+'12.a Tételes mód ÖNK'!P57</f>
        <v>-12692</v>
      </c>
      <c r="P5" s="666">
        <f>+'12.a Tételes mód ÖNK'!Q57</f>
        <v>-4087</v>
      </c>
      <c r="Q5" s="666">
        <f>+'12.a Tételes mód ÖNK'!R57</f>
        <v>0</v>
      </c>
      <c r="R5" s="666">
        <f>+'12.a Tételes mód ÖNK'!S57</f>
        <v>-73073</v>
      </c>
      <c r="S5" s="666">
        <f>+'12.a Tételes mód ÖNK'!T57</f>
        <v>0</v>
      </c>
      <c r="T5" s="666">
        <f>+'12.a Tételes mód ÖNK'!U57</f>
        <v>3226</v>
      </c>
      <c r="U5" s="666">
        <f>+'12.a Tételes mód ÖNK'!V57</f>
        <v>0</v>
      </c>
      <c r="V5" s="667">
        <f>SUM(C5:U5)</f>
        <v>60621</v>
      </c>
      <c r="W5" s="788">
        <f>+'12.a Tételes mód ÖNK'!X57</f>
        <v>0</v>
      </c>
      <c r="X5" s="788">
        <f>+'12.a Tételes mód ÖNK'!Y57</f>
        <v>4426</v>
      </c>
      <c r="Y5" s="788"/>
      <c r="Z5" s="788">
        <f>+'12.a Tételes mód ÖNK'!Z57</f>
        <v>11447</v>
      </c>
      <c r="AA5" s="788">
        <f>+'12.a Tételes mód ÖNK'!AA57</f>
        <v>1588</v>
      </c>
      <c r="AB5" s="788">
        <f>+'12.a Tételes mód ÖNK'!AB57</f>
        <v>0</v>
      </c>
      <c r="AC5" s="788">
        <f>+'12.a Tételes mód ÖNK'!AC57</f>
        <v>42440</v>
      </c>
      <c r="AD5" s="788">
        <f>+'12.a Tételes mód ÖNK'!AD57</f>
        <v>0</v>
      </c>
      <c r="AE5" s="788">
        <f>+'12.a Tételes mód ÖNK'!AE57</f>
        <v>0</v>
      </c>
      <c r="AF5" s="788">
        <f>+'12.a Tételes mód ÖNK'!AF57</f>
        <v>720</v>
      </c>
      <c r="AG5" s="788">
        <f>+'12.a Tételes mód ÖNK'!AG57</f>
        <v>0</v>
      </c>
      <c r="AH5" s="788">
        <f>+'12.a Tételes mód ÖNK'!AH57</f>
        <v>0</v>
      </c>
      <c r="AI5" s="667">
        <f>SUM(W5:AH5)</f>
        <v>60621</v>
      </c>
    </row>
    <row r="6" spans="1:40" x14ac:dyDescent="0.2">
      <c r="A6" s="654">
        <v>2</v>
      </c>
      <c r="B6" s="655"/>
      <c r="C6" s="655"/>
      <c r="D6" s="655"/>
      <c r="E6" s="655"/>
      <c r="F6" s="655"/>
      <c r="G6" s="655"/>
      <c r="H6" s="655"/>
      <c r="I6" s="655"/>
      <c r="J6" s="655"/>
      <c r="K6" s="655"/>
      <c r="L6" s="655"/>
      <c r="M6" s="655"/>
      <c r="N6" s="655"/>
      <c r="O6" s="655"/>
      <c r="P6" s="655"/>
      <c r="Q6" s="655"/>
      <c r="R6" s="655"/>
      <c r="S6" s="655"/>
      <c r="T6" s="655"/>
      <c r="U6" s="655"/>
      <c r="V6" s="667">
        <f t="shared" ref="V6:V8" si="0">SUM(C6:U6)</f>
        <v>0</v>
      </c>
      <c r="W6" s="789"/>
      <c r="X6" s="655"/>
      <c r="Y6" s="655"/>
      <c r="Z6" s="655"/>
      <c r="AA6" s="655"/>
      <c r="AB6" s="655"/>
      <c r="AC6" s="655"/>
      <c r="AD6" s="655"/>
      <c r="AE6" s="655"/>
      <c r="AF6" s="655"/>
      <c r="AG6" s="655"/>
      <c r="AH6" s="655"/>
      <c r="AI6" s="668"/>
    </row>
    <row r="7" spans="1:40" x14ac:dyDescent="0.2">
      <c r="A7" s="654">
        <v>3</v>
      </c>
      <c r="B7" s="655" t="s">
        <v>291</v>
      </c>
      <c r="C7" s="656">
        <f>+'12.b Tételes mód PH'!C15</f>
        <v>359</v>
      </c>
      <c r="D7" s="656">
        <f>+'12.b Tételes mód PH'!D15</f>
        <v>23</v>
      </c>
      <c r="E7" s="656">
        <f>+'12.b Tételes mód PH'!K15</f>
        <v>97</v>
      </c>
      <c r="F7" s="656"/>
      <c r="G7" s="656">
        <f>+'12.b Tételes mód PH'!L15</f>
        <v>0</v>
      </c>
      <c r="H7" s="656">
        <f>+'12.b Tételes mód PH'!M15</f>
        <v>0</v>
      </c>
      <c r="I7" s="656">
        <f>+'12.b Tételes mód PH'!N15</f>
        <v>-122</v>
      </c>
      <c r="J7" s="656">
        <f>+'12.b Tételes mód PH'!O15</f>
        <v>0</v>
      </c>
      <c r="K7" s="656"/>
      <c r="L7" s="656"/>
      <c r="M7" s="656"/>
      <c r="N7" s="655"/>
      <c r="O7" s="655"/>
      <c r="P7" s="655"/>
      <c r="Q7" s="655"/>
      <c r="R7" s="655"/>
      <c r="S7" s="655"/>
      <c r="T7" s="655"/>
      <c r="U7" s="655"/>
      <c r="V7" s="667">
        <f t="shared" si="0"/>
        <v>357</v>
      </c>
      <c r="W7" s="790"/>
      <c r="X7" s="656">
        <f>+'12.b Tételes mód PH'!S15</f>
        <v>269</v>
      </c>
      <c r="Y7" s="656">
        <f>+'12.b Tételes mód PH'!T15</f>
        <v>45</v>
      </c>
      <c r="Z7" s="656"/>
      <c r="AA7" s="656">
        <f>+'12.b Tételes mód PH'!U15</f>
        <v>43</v>
      </c>
      <c r="AB7" s="656"/>
      <c r="AC7" s="656"/>
      <c r="AD7" s="656"/>
      <c r="AE7" s="655"/>
      <c r="AF7" s="656"/>
      <c r="AG7" s="656"/>
      <c r="AH7" s="656">
        <f>+'12.b Tételes mód PH'!AA16</f>
        <v>0</v>
      </c>
      <c r="AI7" s="669">
        <f>SUM(W7:AH7)</f>
        <v>357</v>
      </c>
    </row>
    <row r="8" spans="1:40" x14ac:dyDescent="0.2">
      <c r="A8" s="654">
        <v>4</v>
      </c>
      <c r="B8" s="655" t="s">
        <v>292</v>
      </c>
      <c r="C8" s="656">
        <f>+'12.c Tételes mód Óvoda'!C26</f>
        <v>-136</v>
      </c>
      <c r="D8" s="656">
        <f>+'12.c Tételes mód Óvoda'!D26</f>
        <v>5</v>
      </c>
      <c r="E8" s="656">
        <f>+'12.c Tételes mód Óvoda'!E26</f>
        <v>5180</v>
      </c>
      <c r="F8" s="656"/>
      <c r="G8" s="656">
        <f>+'12.c Tételes mód Óvoda'!F22</f>
        <v>0</v>
      </c>
      <c r="H8" s="656">
        <f>+'12.c Tételes mód Óvoda'!G22</f>
        <v>0</v>
      </c>
      <c r="I8" s="656">
        <f>+'12.c Tételes mód Óvoda'!H26</f>
        <v>844</v>
      </c>
      <c r="J8" s="656"/>
      <c r="K8" s="656"/>
      <c r="L8" s="655"/>
      <c r="M8" s="655"/>
      <c r="N8" s="655"/>
      <c r="O8" s="655"/>
      <c r="P8" s="655"/>
      <c r="Q8" s="655"/>
      <c r="R8" s="655"/>
      <c r="S8" s="655"/>
      <c r="T8" s="655"/>
      <c r="U8" s="655"/>
      <c r="V8" s="667">
        <f t="shared" si="0"/>
        <v>5893</v>
      </c>
      <c r="W8" s="790"/>
      <c r="X8" s="656">
        <f>+'12.c Tételes mód Óvoda'!M26</f>
        <v>266</v>
      </c>
      <c r="Y8" s="656">
        <f>+'12.c Tételes mód Óvoda'!N26</f>
        <v>5627</v>
      </c>
      <c r="Z8" s="656"/>
      <c r="AA8" s="656"/>
      <c r="AB8" s="656"/>
      <c r="AC8" s="656"/>
      <c r="AD8" s="656"/>
      <c r="AE8" s="656"/>
      <c r="AF8" s="656"/>
      <c r="AG8" s="656"/>
      <c r="AH8" s="656">
        <f>+'12.c Tételes mód Óvoda'!T23</f>
        <v>0</v>
      </c>
      <c r="AI8" s="669">
        <f>SUM(W8:AH8)</f>
        <v>5893</v>
      </c>
    </row>
    <row r="9" spans="1:40" x14ac:dyDescent="0.2">
      <c r="A9" s="654">
        <v>5</v>
      </c>
      <c r="B9" s="655" t="s">
        <v>364</v>
      </c>
      <c r="C9" s="656">
        <f>+'12.d Tételes mód BBK'!C14</f>
        <v>548</v>
      </c>
      <c r="D9" s="656">
        <f>+'12.d Tételes mód BBK'!D14</f>
        <v>66</v>
      </c>
      <c r="E9" s="656">
        <f>+'12.d Tételes mód BBK'!E14</f>
        <v>-611</v>
      </c>
      <c r="F9" s="656"/>
      <c r="G9" s="656">
        <f>+'12.d Tételes mód BBK'!F13</f>
        <v>0</v>
      </c>
      <c r="H9" s="656"/>
      <c r="I9" s="656">
        <f>+'12.d Tételes mód BBK'!H14</f>
        <v>610</v>
      </c>
      <c r="J9" s="656"/>
      <c r="K9" s="656"/>
      <c r="L9" s="656"/>
      <c r="M9" s="656"/>
      <c r="N9" s="656"/>
      <c r="O9" s="656"/>
      <c r="P9" s="656"/>
      <c r="Q9" s="656"/>
      <c r="R9" s="656"/>
      <c r="S9" s="656"/>
      <c r="T9" s="656"/>
      <c r="U9" s="655"/>
      <c r="V9" s="667">
        <f>SUM(C9:U9)</f>
        <v>613</v>
      </c>
      <c r="W9" s="790"/>
      <c r="X9" s="656">
        <f>+'12.d Tételes mód BBK'!M14</f>
        <v>30</v>
      </c>
      <c r="Y9" s="656">
        <f>+'12.d Tételes mód BBK'!N14</f>
        <v>583</v>
      </c>
      <c r="Z9" s="656"/>
      <c r="AA9" s="656"/>
      <c r="AB9" s="656"/>
      <c r="AC9" s="656"/>
      <c r="AD9" s="656"/>
      <c r="AE9" s="656"/>
      <c r="AF9" s="656"/>
      <c r="AG9" s="656"/>
      <c r="AH9" s="656">
        <f>+'12.d Tételes mód BBK'!T13</f>
        <v>0</v>
      </c>
      <c r="AI9" s="670">
        <f>SUM(X9:AH9)</f>
        <v>613</v>
      </c>
    </row>
    <row r="10" spans="1:40" x14ac:dyDescent="0.2">
      <c r="A10" s="654">
        <v>6</v>
      </c>
      <c r="B10" s="665" t="s">
        <v>300</v>
      </c>
      <c r="C10" s="665">
        <f t="shared" ref="C10:K10" si="1">SUM(C7:C9)</f>
        <v>771</v>
      </c>
      <c r="D10" s="665">
        <f t="shared" si="1"/>
        <v>94</v>
      </c>
      <c r="E10" s="665">
        <f t="shared" si="1"/>
        <v>4666</v>
      </c>
      <c r="F10" s="665">
        <f t="shared" si="1"/>
        <v>0</v>
      </c>
      <c r="G10" s="665">
        <f t="shared" si="1"/>
        <v>0</v>
      </c>
      <c r="H10" s="666">
        <f t="shared" si="1"/>
        <v>0</v>
      </c>
      <c r="I10" s="666">
        <f t="shared" si="1"/>
        <v>1332</v>
      </c>
      <c r="J10" s="665">
        <f t="shared" si="1"/>
        <v>0</v>
      </c>
      <c r="K10" s="665">
        <f t="shared" si="1"/>
        <v>0</v>
      </c>
      <c r="L10" s="665"/>
      <c r="M10" s="665">
        <f>SUM(M7:M9)</f>
        <v>0</v>
      </c>
      <c r="N10" s="665">
        <f>SUM(N7:N9)</f>
        <v>0</v>
      </c>
      <c r="O10" s="665">
        <f>SUM(O7:O9)</f>
        <v>0</v>
      </c>
      <c r="P10" s="665"/>
      <c r="Q10" s="665"/>
      <c r="R10" s="665"/>
      <c r="S10" s="665">
        <f t="shared" ref="S10:AD10" si="2">SUM(S7:S9)</f>
        <v>0</v>
      </c>
      <c r="T10" s="665"/>
      <c r="U10" s="665">
        <f t="shared" si="2"/>
        <v>0</v>
      </c>
      <c r="V10" s="667">
        <f>SUM(C10:U10)</f>
        <v>6863</v>
      </c>
      <c r="W10" s="791">
        <f t="shared" si="2"/>
        <v>0</v>
      </c>
      <c r="X10" s="666">
        <f>SUM(X7:X9)</f>
        <v>565</v>
      </c>
      <c r="Y10" s="666">
        <f>SUM(Y7:Y9)</f>
        <v>6255</v>
      </c>
      <c r="Z10" s="665">
        <f t="shared" si="2"/>
        <v>0</v>
      </c>
      <c r="AA10" s="665">
        <f t="shared" si="2"/>
        <v>43</v>
      </c>
      <c r="AB10" s="665">
        <f t="shared" si="2"/>
        <v>0</v>
      </c>
      <c r="AC10" s="665">
        <f t="shared" si="2"/>
        <v>0</v>
      </c>
      <c r="AD10" s="665">
        <f t="shared" si="2"/>
        <v>0</v>
      </c>
      <c r="AE10" s="665"/>
      <c r="AF10" s="665">
        <f>SUM(AF7:AF9)</f>
        <v>0</v>
      </c>
      <c r="AG10" s="665">
        <f>SUM(AG7:AG9)</f>
        <v>0</v>
      </c>
      <c r="AH10" s="665">
        <f>SUM(AH7:AH9)</f>
        <v>0</v>
      </c>
      <c r="AI10" s="670">
        <f>SUM(AI7:AI9)</f>
        <v>6863</v>
      </c>
    </row>
    <row r="11" spans="1:40" x14ac:dyDescent="0.2">
      <c r="A11" s="654">
        <v>7</v>
      </c>
      <c r="B11" s="655"/>
      <c r="C11" s="655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5"/>
      <c r="P11" s="655"/>
      <c r="Q11" s="655"/>
      <c r="R11" s="655"/>
      <c r="S11" s="655"/>
      <c r="T11" s="655"/>
      <c r="U11" s="655"/>
      <c r="V11" s="668">
        <f>SUM(C11:U11)</f>
        <v>0</v>
      </c>
      <c r="W11" s="789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70">
        <f>SUM(X11:AH11)</f>
        <v>0</v>
      </c>
    </row>
    <row r="12" spans="1:40" ht="13.5" thickBot="1" x14ac:dyDescent="0.25">
      <c r="A12" s="660">
        <v>8</v>
      </c>
      <c r="B12" s="671" t="s">
        <v>281</v>
      </c>
      <c r="C12" s="672">
        <f t="shared" ref="C12:L12" si="3">C5+C10</f>
        <v>-4881</v>
      </c>
      <c r="D12" s="672">
        <f t="shared" si="3"/>
        <v>739</v>
      </c>
      <c r="E12" s="672">
        <f t="shared" si="3"/>
        <v>82017</v>
      </c>
      <c r="F12" s="672">
        <f t="shared" si="3"/>
        <v>-176</v>
      </c>
      <c r="G12" s="672">
        <f t="shared" si="3"/>
        <v>5870</v>
      </c>
      <c r="H12" s="672">
        <f t="shared" si="3"/>
        <v>3572</v>
      </c>
      <c r="I12" s="672">
        <f t="shared" si="3"/>
        <v>-49175</v>
      </c>
      <c r="J12" s="672">
        <f t="shared" si="3"/>
        <v>109889</v>
      </c>
      <c r="K12" s="672">
        <f t="shared" si="3"/>
        <v>0</v>
      </c>
      <c r="L12" s="672">
        <f t="shared" si="3"/>
        <v>0</v>
      </c>
      <c r="M12" s="672"/>
      <c r="N12" s="672">
        <f t="shared" ref="N12:U12" si="4">N5+N10</f>
        <v>0</v>
      </c>
      <c r="O12" s="672">
        <f t="shared" si="4"/>
        <v>-12692</v>
      </c>
      <c r="P12" s="672">
        <f t="shared" si="4"/>
        <v>-4087</v>
      </c>
      <c r="Q12" s="672">
        <f t="shared" si="4"/>
        <v>0</v>
      </c>
      <c r="R12" s="672">
        <f t="shared" si="4"/>
        <v>-73073</v>
      </c>
      <c r="S12" s="672">
        <f t="shared" si="4"/>
        <v>0</v>
      </c>
      <c r="T12" s="672">
        <f t="shared" si="4"/>
        <v>3226</v>
      </c>
      <c r="U12" s="672">
        <f t="shared" si="4"/>
        <v>0</v>
      </c>
      <c r="V12" s="673">
        <f>SUM(C12:U12)</f>
        <v>61229</v>
      </c>
      <c r="W12" s="792">
        <f>W5+W10</f>
        <v>0</v>
      </c>
      <c r="X12" s="672">
        <f>X5+X10</f>
        <v>4991</v>
      </c>
      <c r="Y12" s="672"/>
      <c r="Z12" s="672">
        <f>SUM(Z5+Z10)</f>
        <v>11447</v>
      </c>
      <c r="AA12" s="672">
        <f t="shared" ref="AA12:AH12" si="5">AA5+AA10</f>
        <v>1631</v>
      </c>
      <c r="AB12" s="672">
        <f t="shared" si="5"/>
        <v>0</v>
      </c>
      <c r="AC12" s="672">
        <f t="shared" si="5"/>
        <v>42440</v>
      </c>
      <c r="AD12" s="672">
        <f t="shared" si="5"/>
        <v>0</v>
      </c>
      <c r="AE12" s="672">
        <f t="shared" si="5"/>
        <v>0</v>
      </c>
      <c r="AF12" s="672">
        <f t="shared" si="5"/>
        <v>720</v>
      </c>
      <c r="AG12" s="672">
        <f t="shared" si="5"/>
        <v>0</v>
      </c>
      <c r="AH12" s="672">
        <f t="shared" si="5"/>
        <v>0</v>
      </c>
      <c r="AI12" s="673">
        <f>SUM(W12:AH12)</f>
        <v>61229</v>
      </c>
    </row>
  </sheetData>
  <mergeCells count="37">
    <mergeCell ref="L3:L4"/>
    <mergeCell ref="AG1:AI1"/>
    <mergeCell ref="A2:A4"/>
    <mergeCell ref="B2:B4"/>
    <mergeCell ref="C2:U2"/>
    <mergeCell ref="V2:V4"/>
    <mergeCell ref="W2:AH2"/>
    <mergeCell ref="AI2:AI4"/>
    <mergeCell ref="C3:C4"/>
    <mergeCell ref="D3:D4"/>
    <mergeCell ref="E3:E4"/>
    <mergeCell ref="F3:F4"/>
    <mergeCell ref="G3:H3"/>
    <mergeCell ref="I3:I4"/>
    <mergeCell ref="J3:J4"/>
    <mergeCell ref="K3:K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W3:W4"/>
    <mergeCell ref="X3:X4"/>
    <mergeCell ref="AF3:AF4"/>
    <mergeCell ref="AG3:AG4"/>
    <mergeCell ref="AH3:AH4"/>
    <mergeCell ref="Z3:Z4"/>
    <mergeCell ref="AA3:AA4"/>
    <mergeCell ref="AB3:AB4"/>
    <mergeCell ref="AC3:AC4"/>
    <mergeCell ref="AD3:AD4"/>
    <mergeCell ref="AE3:AE4"/>
  </mergeCells>
  <printOptions horizontalCentered="1"/>
  <pageMargins left="0.70866141732283472" right="0.70866141732283472" top="0.74803149606299213" bottom="0.74803149606299213" header="0.31496062992125984" footer="0.31496062992125984"/>
  <pageSetup paperSize="8" fitToWidth="2" orientation="landscape" r:id="rId1"/>
  <headerFooter>
    <oddHeader>&amp;C&amp;"Times New Roman,Félkövér"&amp;12Martonvásár Város Önkormányzatának 2019. évi költségvetés módosításainak részletezése
&amp;"Times New Roman,Normál"(Intézményekkel együtt)&amp;R&amp;"Times New Roman,Félkövér"&amp;12 12.e. melléklet</oddHeader>
  </headerFooter>
  <colBreaks count="1" manualBreakCount="1">
    <brk id="22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zoomScaleNormal="100" workbookViewId="0">
      <selection activeCell="I17" sqref="I17"/>
    </sheetView>
  </sheetViews>
  <sheetFormatPr defaultColWidth="9.140625" defaultRowHeight="12.75" x14ac:dyDescent="0.2"/>
  <cols>
    <col min="1" max="1" width="6.28515625" style="74" customWidth="1"/>
    <col min="2" max="2" width="57" style="71" customWidth="1"/>
    <col min="3" max="3" width="12.85546875" style="71" customWidth="1"/>
    <col min="4" max="4" width="12.7109375" style="71" bestFit="1" customWidth="1"/>
    <col min="5" max="5" width="14.140625" style="71" customWidth="1"/>
    <col min="6" max="16384" width="9.140625" style="71"/>
  </cols>
  <sheetData>
    <row r="1" spans="1:7" ht="15.75" x14ac:dyDescent="0.25">
      <c r="A1" s="1120"/>
      <c r="B1" s="1120"/>
      <c r="C1" s="1120"/>
      <c r="D1" s="1120"/>
      <c r="E1" s="1120"/>
      <c r="G1" s="399"/>
    </row>
    <row r="2" spans="1:7" ht="11.25" customHeight="1" x14ac:dyDescent="0.2">
      <c r="B2" s="289"/>
      <c r="C2" s="1123" t="s">
        <v>388</v>
      </c>
      <c r="D2" s="1123"/>
      <c r="E2" s="1123"/>
    </row>
    <row r="3" spans="1:7" s="67" customFormat="1" ht="15" customHeight="1" x14ac:dyDescent="0.25">
      <c r="A3" s="1121" t="s">
        <v>0</v>
      </c>
      <c r="B3" s="1121" t="s">
        <v>182</v>
      </c>
      <c r="C3" s="1122" t="s">
        <v>876</v>
      </c>
      <c r="D3" s="1122"/>
      <c r="E3" s="1122"/>
    </row>
    <row r="4" spans="1:7" s="68" customFormat="1" ht="25.5" x14ac:dyDescent="0.25">
      <c r="A4" s="1121"/>
      <c r="B4" s="1121"/>
      <c r="C4" s="890" t="s">
        <v>912</v>
      </c>
      <c r="D4" s="890" t="s">
        <v>727</v>
      </c>
      <c r="E4" s="890" t="s">
        <v>950</v>
      </c>
    </row>
    <row r="5" spans="1:7" s="70" customFormat="1" ht="12.75" customHeight="1" x14ac:dyDescent="0.2">
      <c r="A5" s="59" t="s">
        <v>195</v>
      </c>
      <c r="B5" s="13" t="s">
        <v>194</v>
      </c>
      <c r="C5" s="312">
        <v>126031</v>
      </c>
      <c r="D5" s="312">
        <v>252</v>
      </c>
      <c r="E5" s="312">
        <f t="shared" ref="E5:E68" si="0">+C5+D5</f>
        <v>126283</v>
      </c>
    </row>
    <row r="6" spans="1:7" s="70" customFormat="1" ht="12.75" customHeight="1" x14ac:dyDescent="0.2">
      <c r="A6" s="59" t="s">
        <v>197</v>
      </c>
      <c r="B6" s="54" t="s">
        <v>196</v>
      </c>
      <c r="C6" s="312">
        <v>154935</v>
      </c>
      <c r="D6" s="312">
        <v>-778</v>
      </c>
      <c r="E6" s="312">
        <f t="shared" si="0"/>
        <v>154157</v>
      </c>
    </row>
    <row r="7" spans="1:7" s="70" customFormat="1" ht="12.75" customHeight="1" x14ac:dyDescent="0.2">
      <c r="A7" s="59" t="s">
        <v>199</v>
      </c>
      <c r="B7" s="54" t="s">
        <v>198</v>
      </c>
      <c r="C7" s="312">
        <v>200318</v>
      </c>
      <c r="D7" s="312">
        <v>11463</v>
      </c>
      <c r="E7" s="312">
        <f t="shared" si="0"/>
        <v>211781</v>
      </c>
    </row>
    <row r="8" spans="1:7" ht="12.75" customHeight="1" x14ac:dyDescent="0.2">
      <c r="A8" s="59" t="s">
        <v>201</v>
      </c>
      <c r="B8" s="54" t="s">
        <v>200</v>
      </c>
      <c r="C8" s="312">
        <v>8752</v>
      </c>
      <c r="D8" s="312">
        <v>438</v>
      </c>
      <c r="E8" s="312">
        <f t="shared" si="0"/>
        <v>9190</v>
      </c>
    </row>
    <row r="9" spans="1:7" s="72" customFormat="1" ht="12.75" customHeight="1" x14ac:dyDescent="0.2">
      <c r="A9" s="59" t="s">
        <v>202</v>
      </c>
      <c r="B9" s="54" t="s">
        <v>623</v>
      </c>
      <c r="C9" s="313">
        <v>13236</v>
      </c>
      <c r="D9" s="313">
        <v>72</v>
      </c>
      <c r="E9" s="312">
        <f t="shared" si="0"/>
        <v>13308</v>
      </c>
    </row>
    <row r="10" spans="1:7" s="72" customFormat="1" ht="12.75" customHeight="1" x14ac:dyDescent="0.2">
      <c r="A10" s="59" t="s">
        <v>203</v>
      </c>
      <c r="B10" s="54" t="s">
        <v>624</v>
      </c>
      <c r="C10" s="313"/>
      <c r="D10" s="313"/>
      <c r="E10" s="312"/>
    </row>
    <row r="11" spans="1:7" ht="12.75" customHeight="1" x14ac:dyDescent="0.2">
      <c r="A11" s="65" t="s">
        <v>204</v>
      </c>
      <c r="B11" s="55" t="s">
        <v>331</v>
      </c>
      <c r="C11" s="314">
        <f>SUM(C5:C10)</f>
        <v>503272</v>
      </c>
      <c r="D11" s="314">
        <f t="shared" ref="D11" si="1">SUM(D5:D10)</f>
        <v>11447</v>
      </c>
      <c r="E11" s="314">
        <f>SUM(E5:E10)</f>
        <v>514719</v>
      </c>
    </row>
    <row r="12" spans="1:7" ht="12.75" customHeight="1" x14ac:dyDescent="0.2">
      <c r="A12" s="415" t="s">
        <v>206</v>
      </c>
      <c r="B12" s="55" t="s">
        <v>205</v>
      </c>
      <c r="C12" s="314">
        <f>SUM(C13:C22)</f>
        <v>50702</v>
      </c>
      <c r="D12" s="314">
        <f t="shared" ref="D12:E12" si="2">SUM(D13:D22)</f>
        <v>1588</v>
      </c>
      <c r="E12" s="314">
        <f t="shared" si="2"/>
        <v>52290</v>
      </c>
    </row>
    <row r="13" spans="1:7" s="85" customFormat="1" ht="12.75" customHeight="1" x14ac:dyDescent="0.2">
      <c r="A13" s="82"/>
      <c r="B13" s="83" t="s">
        <v>332</v>
      </c>
      <c r="C13" s="315">
        <v>600</v>
      </c>
      <c r="D13" s="315">
        <f>'3.a átvett pe.'!C11</f>
        <v>0</v>
      </c>
      <c r="E13" s="312">
        <f t="shared" si="0"/>
        <v>600</v>
      </c>
    </row>
    <row r="14" spans="1:7" s="85" customFormat="1" ht="12.75" customHeight="1" x14ac:dyDescent="0.2">
      <c r="A14" s="82"/>
      <c r="B14" s="83" t="s">
        <v>322</v>
      </c>
      <c r="C14" s="315">
        <v>0</v>
      </c>
      <c r="D14" s="315"/>
      <c r="E14" s="312">
        <f t="shared" si="0"/>
        <v>0</v>
      </c>
    </row>
    <row r="15" spans="1:7" s="85" customFormat="1" ht="12.75" customHeight="1" x14ac:dyDescent="0.2">
      <c r="A15" s="82"/>
      <c r="B15" s="83" t="s">
        <v>323</v>
      </c>
      <c r="C15" s="315">
        <v>0</v>
      </c>
      <c r="D15" s="315"/>
      <c r="E15" s="312">
        <f t="shared" si="0"/>
        <v>0</v>
      </c>
    </row>
    <row r="16" spans="1:7" s="85" customFormat="1" ht="12.75" customHeight="1" x14ac:dyDescent="0.2">
      <c r="A16" s="82"/>
      <c r="B16" s="83" t="s">
        <v>324</v>
      </c>
      <c r="C16" s="315">
        <v>1330</v>
      </c>
      <c r="D16" s="315">
        <f>'3.a átvett pe.'!C10+'3.a átvett pe.'!C5</f>
        <v>42</v>
      </c>
      <c r="E16" s="312">
        <f t="shared" si="0"/>
        <v>1372</v>
      </c>
    </row>
    <row r="17" spans="1:5" s="85" customFormat="1" ht="12.75" customHeight="1" x14ac:dyDescent="0.2">
      <c r="A17" s="82"/>
      <c r="B17" s="83" t="s">
        <v>325</v>
      </c>
      <c r="C17" s="315">
        <v>15720</v>
      </c>
      <c r="D17" s="315">
        <f>'3.a átvett pe.'!C9</f>
        <v>1521</v>
      </c>
      <c r="E17" s="312">
        <f t="shared" si="0"/>
        <v>17241</v>
      </c>
    </row>
    <row r="18" spans="1:5" s="85" customFormat="1" ht="12.75" customHeight="1" x14ac:dyDescent="0.2">
      <c r="A18" s="82"/>
      <c r="B18" s="83" t="s">
        <v>326</v>
      </c>
      <c r="C18" s="315">
        <v>3288</v>
      </c>
      <c r="D18" s="315"/>
      <c r="E18" s="312">
        <f t="shared" si="0"/>
        <v>3288</v>
      </c>
    </row>
    <row r="19" spans="1:5" s="85" customFormat="1" ht="12.75" customHeight="1" x14ac:dyDescent="0.2">
      <c r="A19" s="82"/>
      <c r="B19" s="83" t="s">
        <v>99</v>
      </c>
      <c r="C19" s="315">
        <v>22617</v>
      </c>
      <c r="D19" s="315">
        <f>'3.a átvett pe.'!C12</f>
        <v>0</v>
      </c>
      <c r="E19" s="312">
        <f t="shared" si="0"/>
        <v>22617</v>
      </c>
    </row>
    <row r="20" spans="1:5" s="85" customFormat="1" ht="12.75" customHeight="1" x14ac:dyDescent="0.2">
      <c r="A20" s="82"/>
      <c r="B20" s="83" t="s">
        <v>100</v>
      </c>
      <c r="C20" s="315">
        <v>7147</v>
      </c>
      <c r="D20" s="315">
        <f>'3.a átvett pe.'!C8</f>
        <v>25</v>
      </c>
      <c r="E20" s="312">
        <f t="shared" si="0"/>
        <v>7172</v>
      </c>
    </row>
    <row r="21" spans="1:5" s="85" customFormat="1" ht="12.75" customHeight="1" x14ac:dyDescent="0.2">
      <c r="A21" s="82"/>
      <c r="B21" s="83" t="s">
        <v>327</v>
      </c>
      <c r="C21" s="315">
        <v>0</v>
      </c>
      <c r="D21" s="315"/>
      <c r="E21" s="312">
        <f t="shared" si="0"/>
        <v>0</v>
      </c>
    </row>
    <row r="22" spans="1:5" s="85" customFormat="1" ht="12.75" customHeight="1" x14ac:dyDescent="0.2">
      <c r="A22" s="82"/>
      <c r="B22" s="83" t="s">
        <v>328</v>
      </c>
      <c r="C22" s="315">
        <v>0</v>
      </c>
      <c r="D22" s="315"/>
      <c r="E22" s="312">
        <f t="shared" si="0"/>
        <v>0</v>
      </c>
    </row>
    <row r="23" spans="1:5" ht="12.75" customHeight="1" x14ac:dyDescent="0.2">
      <c r="A23" s="65" t="s">
        <v>207</v>
      </c>
      <c r="B23" s="55" t="s">
        <v>329</v>
      </c>
      <c r="C23" s="314">
        <f>+C11+C12</f>
        <v>553974</v>
      </c>
      <c r="D23" s="314">
        <f t="shared" ref="D23:E23" si="3">+D11+D12</f>
        <v>13035</v>
      </c>
      <c r="E23" s="314">
        <f t="shared" si="3"/>
        <v>567009</v>
      </c>
    </row>
    <row r="24" spans="1:5" ht="12.75" customHeight="1" x14ac:dyDescent="0.2">
      <c r="A24" s="59" t="s">
        <v>389</v>
      </c>
      <c r="B24" s="54" t="s">
        <v>390</v>
      </c>
      <c r="C24" s="312"/>
      <c r="D24" s="312"/>
      <c r="E24" s="312"/>
    </row>
    <row r="25" spans="1:5" ht="12.75" customHeight="1" x14ac:dyDescent="0.2">
      <c r="A25" s="59" t="s">
        <v>381</v>
      </c>
      <c r="B25" s="54" t="s">
        <v>382</v>
      </c>
      <c r="C25" s="312">
        <v>0</v>
      </c>
      <c r="D25" s="312"/>
      <c r="E25" s="312">
        <f t="shared" si="0"/>
        <v>0</v>
      </c>
    </row>
    <row r="26" spans="1:5" ht="12.75" customHeight="1" x14ac:dyDescent="0.2">
      <c r="A26" s="59" t="s">
        <v>209</v>
      </c>
      <c r="B26" s="54" t="s">
        <v>208</v>
      </c>
      <c r="C26" s="312">
        <f>SUM(C27:C36)</f>
        <v>196666</v>
      </c>
      <c r="D26" s="312">
        <f>SUM(D27:D36)</f>
        <v>0</v>
      </c>
      <c r="E26" s="312">
        <f t="shared" si="0"/>
        <v>196666</v>
      </c>
    </row>
    <row r="27" spans="1:5" s="85" customFormat="1" ht="12.75" customHeight="1" x14ac:dyDescent="0.2">
      <c r="A27" s="82"/>
      <c r="B27" s="83" t="s">
        <v>321</v>
      </c>
      <c r="C27" s="315">
        <v>0</v>
      </c>
      <c r="D27" s="315"/>
      <c r="E27" s="312">
        <f t="shared" si="0"/>
        <v>0</v>
      </c>
    </row>
    <row r="28" spans="1:5" s="85" customFormat="1" ht="12.75" customHeight="1" x14ac:dyDescent="0.2">
      <c r="A28" s="82"/>
      <c r="B28" s="83" t="s">
        <v>322</v>
      </c>
      <c r="C28" s="315">
        <v>0</v>
      </c>
      <c r="D28" s="315"/>
      <c r="E28" s="312">
        <f t="shared" si="0"/>
        <v>0</v>
      </c>
    </row>
    <row r="29" spans="1:5" s="85" customFormat="1" ht="30.75" customHeight="1" x14ac:dyDescent="0.2">
      <c r="A29" s="82"/>
      <c r="B29" s="83" t="s">
        <v>323</v>
      </c>
      <c r="C29" s="315">
        <v>196666</v>
      </c>
      <c r="D29" s="315"/>
      <c r="E29" s="312">
        <f t="shared" si="0"/>
        <v>196666</v>
      </c>
    </row>
    <row r="30" spans="1:5" s="85" customFormat="1" ht="12.75" customHeight="1" x14ac:dyDescent="0.2">
      <c r="A30" s="82"/>
      <c r="B30" s="83" t="s">
        <v>324</v>
      </c>
      <c r="C30" s="315">
        <v>0</v>
      </c>
      <c r="D30" s="315"/>
      <c r="E30" s="312">
        <f t="shared" si="0"/>
        <v>0</v>
      </c>
    </row>
    <row r="31" spans="1:5" s="85" customFormat="1" ht="12.75" customHeight="1" x14ac:dyDescent="0.2">
      <c r="A31" s="82"/>
      <c r="B31" s="83" t="s">
        <v>325</v>
      </c>
      <c r="C31" s="315">
        <v>0</v>
      </c>
      <c r="D31" s="315"/>
      <c r="E31" s="312">
        <f t="shared" si="0"/>
        <v>0</v>
      </c>
    </row>
    <row r="32" spans="1:5" s="85" customFormat="1" ht="12.75" customHeight="1" x14ac:dyDescent="0.2">
      <c r="A32" s="82"/>
      <c r="B32" s="83" t="s">
        <v>326</v>
      </c>
      <c r="C32" s="315">
        <v>0</v>
      </c>
      <c r="D32" s="315"/>
      <c r="E32" s="312">
        <f t="shared" si="0"/>
        <v>0</v>
      </c>
    </row>
    <row r="33" spans="1:5" s="85" customFormat="1" ht="12.75" customHeight="1" x14ac:dyDescent="0.2">
      <c r="A33" s="82"/>
      <c r="B33" s="83" t="s">
        <v>99</v>
      </c>
      <c r="C33" s="315">
        <v>0</v>
      </c>
      <c r="D33" s="315"/>
      <c r="E33" s="312">
        <f t="shared" si="0"/>
        <v>0</v>
      </c>
    </row>
    <row r="34" spans="1:5" s="85" customFormat="1" ht="12.75" customHeight="1" x14ac:dyDescent="0.2">
      <c r="A34" s="82"/>
      <c r="B34" s="83" t="s">
        <v>100</v>
      </c>
      <c r="C34" s="315">
        <v>0</v>
      </c>
      <c r="D34" s="315"/>
      <c r="E34" s="312">
        <f t="shared" si="0"/>
        <v>0</v>
      </c>
    </row>
    <row r="35" spans="1:5" s="85" customFormat="1" ht="12.75" customHeight="1" x14ac:dyDescent="0.2">
      <c r="A35" s="82"/>
      <c r="B35" s="83" t="s">
        <v>327</v>
      </c>
      <c r="C35" s="315">
        <v>0</v>
      </c>
      <c r="D35" s="315"/>
      <c r="E35" s="312">
        <f t="shared" si="0"/>
        <v>0</v>
      </c>
    </row>
    <row r="36" spans="1:5" s="85" customFormat="1" ht="12.75" customHeight="1" x14ac:dyDescent="0.2">
      <c r="A36" s="82"/>
      <c r="B36" s="83" t="s">
        <v>328</v>
      </c>
      <c r="C36" s="315">
        <v>0</v>
      </c>
      <c r="D36" s="315"/>
      <c r="E36" s="312">
        <f t="shared" si="0"/>
        <v>0</v>
      </c>
    </row>
    <row r="37" spans="1:5" ht="12.75" customHeight="1" x14ac:dyDescent="0.2">
      <c r="A37" s="65" t="s">
        <v>210</v>
      </c>
      <c r="B37" s="55" t="s">
        <v>330</v>
      </c>
      <c r="C37" s="314">
        <f>+C26+C25+C24</f>
        <v>196666</v>
      </c>
      <c r="D37" s="314">
        <f t="shared" ref="D37:E37" si="4">+D26+D25+D24</f>
        <v>0</v>
      </c>
      <c r="E37" s="314">
        <f t="shared" si="4"/>
        <v>196666</v>
      </c>
    </row>
    <row r="38" spans="1:5" ht="12.75" customHeight="1" x14ac:dyDescent="0.2">
      <c r="A38" s="59" t="s">
        <v>212</v>
      </c>
      <c r="B38" s="54" t="s">
        <v>211</v>
      </c>
      <c r="C38" s="312"/>
      <c r="D38" s="312"/>
      <c r="E38" s="312">
        <f t="shared" si="0"/>
        <v>0</v>
      </c>
    </row>
    <row r="39" spans="1:5" ht="12.75" customHeight="1" x14ac:dyDescent="0.2">
      <c r="A39" s="59" t="s">
        <v>214</v>
      </c>
      <c r="B39" s="54" t="s">
        <v>213</v>
      </c>
      <c r="C39" s="312"/>
      <c r="D39" s="312"/>
      <c r="E39" s="312">
        <f t="shared" si="0"/>
        <v>0</v>
      </c>
    </row>
    <row r="40" spans="1:5" s="74" customFormat="1" ht="12.75" customHeight="1" x14ac:dyDescent="0.2">
      <c r="A40" s="65" t="s">
        <v>215</v>
      </c>
      <c r="B40" s="55" t="s">
        <v>333</v>
      </c>
      <c r="C40" s="314">
        <f>SUM(C38:C39)</f>
        <v>0</v>
      </c>
      <c r="D40" s="312"/>
      <c r="E40" s="312">
        <f t="shared" si="0"/>
        <v>0</v>
      </c>
    </row>
    <row r="41" spans="1:5" ht="12.75" customHeight="1" x14ac:dyDescent="0.2">
      <c r="A41" s="59" t="s">
        <v>217</v>
      </c>
      <c r="B41" s="54" t="s">
        <v>216</v>
      </c>
      <c r="C41" s="312"/>
      <c r="D41" s="312"/>
      <c r="E41" s="312">
        <f t="shared" si="0"/>
        <v>0</v>
      </c>
    </row>
    <row r="42" spans="1:5" ht="12.75" customHeight="1" x14ac:dyDescent="0.2">
      <c r="A42" s="59" t="s">
        <v>219</v>
      </c>
      <c r="B42" s="54" t="s">
        <v>218</v>
      </c>
      <c r="C42" s="312"/>
      <c r="D42" s="312"/>
      <c r="E42" s="312">
        <f t="shared" si="0"/>
        <v>0</v>
      </c>
    </row>
    <row r="43" spans="1:5" ht="12.75" customHeight="1" x14ac:dyDescent="0.2">
      <c r="A43" s="65" t="s">
        <v>221</v>
      </c>
      <c r="B43" s="55" t="s">
        <v>220</v>
      </c>
      <c r="C43" s="314">
        <f>+C44+C45+C46</f>
        <v>126000</v>
      </c>
      <c r="D43" s="314">
        <f>+D44+D45+D46</f>
        <v>0</v>
      </c>
      <c r="E43" s="314">
        <f t="shared" si="0"/>
        <v>126000</v>
      </c>
    </row>
    <row r="44" spans="1:5" ht="12.75" customHeight="1" x14ac:dyDescent="0.2">
      <c r="A44" s="59"/>
      <c r="B44" s="83" t="s">
        <v>369</v>
      </c>
      <c r="C44" s="315">
        <v>25000</v>
      </c>
      <c r="D44" s="312">
        <f>'3.c. mell. Közhatalmi bevételek'!C3</f>
        <v>0</v>
      </c>
      <c r="E44" s="312">
        <f t="shared" si="0"/>
        <v>25000</v>
      </c>
    </row>
    <row r="45" spans="1:5" ht="12.75" customHeight="1" x14ac:dyDescent="0.2">
      <c r="A45" s="59"/>
      <c r="B45" s="83" t="s">
        <v>370</v>
      </c>
      <c r="C45" s="315">
        <v>48000</v>
      </c>
      <c r="D45" s="312">
        <f>'3.c. mell. Közhatalmi bevételek'!C4</f>
        <v>0</v>
      </c>
      <c r="E45" s="312">
        <f t="shared" si="0"/>
        <v>48000</v>
      </c>
    </row>
    <row r="46" spans="1:5" ht="12.75" customHeight="1" x14ac:dyDescent="0.2">
      <c r="A46" s="59"/>
      <c r="B46" s="83" t="s">
        <v>371</v>
      </c>
      <c r="C46" s="315">
        <v>53000</v>
      </c>
      <c r="D46" s="312">
        <f>'3.c. mell. Közhatalmi bevételek'!C5</f>
        <v>0</v>
      </c>
      <c r="E46" s="312">
        <f t="shared" si="0"/>
        <v>53000</v>
      </c>
    </row>
    <row r="47" spans="1:5" s="70" customFormat="1" ht="12.75" customHeight="1" x14ac:dyDescent="0.2">
      <c r="A47" s="451" t="s">
        <v>223</v>
      </c>
      <c r="B47" s="55" t="s">
        <v>222</v>
      </c>
      <c r="C47" s="314">
        <v>141000</v>
      </c>
      <c r="D47" s="314">
        <f>'3.c. mell. Közhatalmi bevételek'!C6</f>
        <v>0</v>
      </c>
      <c r="E47" s="314">
        <f t="shared" si="0"/>
        <v>141000</v>
      </c>
    </row>
    <row r="48" spans="1:5" ht="12.75" customHeight="1" x14ac:dyDescent="0.2">
      <c r="A48" s="59" t="s">
        <v>225</v>
      </c>
      <c r="B48" s="54" t="s">
        <v>224</v>
      </c>
      <c r="C48" s="312"/>
      <c r="D48" s="312"/>
      <c r="E48" s="312">
        <f t="shared" si="0"/>
        <v>0</v>
      </c>
    </row>
    <row r="49" spans="1:5" ht="12.75" customHeight="1" x14ac:dyDescent="0.2">
      <c r="A49" s="59" t="s">
        <v>227</v>
      </c>
      <c r="B49" s="54" t="s">
        <v>226</v>
      </c>
      <c r="C49" s="312"/>
      <c r="D49" s="312"/>
      <c r="E49" s="312">
        <f t="shared" si="0"/>
        <v>0</v>
      </c>
    </row>
    <row r="50" spans="1:5" ht="12.75" customHeight="1" x14ac:dyDescent="0.2">
      <c r="A50" s="59" t="s">
        <v>229</v>
      </c>
      <c r="B50" s="54" t="s">
        <v>228</v>
      </c>
      <c r="C50" s="312">
        <v>19000</v>
      </c>
      <c r="D50" s="312">
        <f>'3.c. mell. Közhatalmi bevételek'!C9</f>
        <v>0</v>
      </c>
      <c r="E50" s="312">
        <f t="shared" si="0"/>
        <v>19000</v>
      </c>
    </row>
    <row r="51" spans="1:5" ht="12.75" customHeight="1" x14ac:dyDescent="0.2">
      <c r="A51" s="59" t="s">
        <v>231</v>
      </c>
      <c r="B51" s="54" t="s">
        <v>230</v>
      </c>
      <c r="C51" s="312"/>
      <c r="D51" s="312"/>
      <c r="E51" s="312">
        <f t="shared" si="0"/>
        <v>0</v>
      </c>
    </row>
    <row r="52" spans="1:5" ht="12.75" customHeight="1" x14ac:dyDescent="0.2">
      <c r="A52" s="65" t="s">
        <v>232</v>
      </c>
      <c r="B52" s="55" t="s">
        <v>334</v>
      </c>
      <c r="C52" s="314">
        <f>+C51+C50+C49+C48+C47</f>
        <v>160000</v>
      </c>
      <c r="D52" s="314">
        <f>+D51+D50+D49+D48+D47</f>
        <v>0</v>
      </c>
      <c r="E52" s="314">
        <f t="shared" si="0"/>
        <v>160000</v>
      </c>
    </row>
    <row r="53" spans="1:5" ht="12.75" customHeight="1" x14ac:dyDescent="0.2">
      <c r="A53" s="65" t="s">
        <v>234</v>
      </c>
      <c r="B53" s="55" t="s">
        <v>233</v>
      </c>
      <c r="C53" s="314">
        <v>12459</v>
      </c>
      <c r="D53" s="314">
        <f>'3.c. mell. Közhatalmi bevételek'!C16</f>
        <v>0</v>
      </c>
      <c r="E53" s="314">
        <f t="shared" si="0"/>
        <v>12459</v>
      </c>
    </row>
    <row r="54" spans="1:5" ht="12.75" customHeight="1" x14ac:dyDescent="0.2">
      <c r="A54" s="65" t="s">
        <v>235</v>
      </c>
      <c r="B54" s="55" t="s">
        <v>335</v>
      </c>
      <c r="C54" s="314">
        <f>+C53+C52+C40+C41+C42+C43</f>
        <v>298459</v>
      </c>
      <c r="D54" s="314">
        <f t="shared" ref="D54:E54" si="5">+D53+D52+D40+D41+D42+D43</f>
        <v>0</v>
      </c>
      <c r="E54" s="314">
        <f t="shared" si="5"/>
        <v>298459</v>
      </c>
    </row>
    <row r="55" spans="1:5" ht="12.75" customHeight="1" x14ac:dyDescent="0.2">
      <c r="A55" s="59" t="s">
        <v>237</v>
      </c>
      <c r="B55" s="54" t="s">
        <v>236</v>
      </c>
      <c r="C55" s="312">
        <v>0</v>
      </c>
      <c r="D55" s="312"/>
      <c r="E55" s="312">
        <f t="shared" si="0"/>
        <v>0</v>
      </c>
    </row>
    <row r="56" spans="1:5" ht="12.75" customHeight="1" x14ac:dyDescent="0.2">
      <c r="A56" s="59" t="s">
        <v>239</v>
      </c>
      <c r="B56" s="54" t="s">
        <v>238</v>
      </c>
      <c r="C56" s="312">
        <v>17316</v>
      </c>
      <c r="D56" s="312">
        <f>'3.b mell. Működési bevételek'!C3+'3.b mell. Működési bevételek'!C4+'3.b mell. Működési bevételek'!C5</f>
        <v>3537</v>
      </c>
      <c r="E56" s="312">
        <f t="shared" si="0"/>
        <v>20853</v>
      </c>
    </row>
    <row r="57" spans="1:5" ht="12.75" customHeight="1" x14ac:dyDescent="0.2">
      <c r="A57" s="59" t="s">
        <v>241</v>
      </c>
      <c r="B57" s="54" t="s">
        <v>240</v>
      </c>
      <c r="C57" s="312">
        <v>500</v>
      </c>
      <c r="D57" s="312">
        <f>'3.b mell. Működési bevételek'!C8</f>
        <v>57</v>
      </c>
      <c r="E57" s="312">
        <f t="shared" si="0"/>
        <v>557</v>
      </c>
    </row>
    <row r="58" spans="1:5" ht="12.75" customHeight="1" x14ac:dyDescent="0.2">
      <c r="A58" s="59" t="s">
        <v>243</v>
      </c>
      <c r="B58" s="54" t="s">
        <v>242</v>
      </c>
      <c r="C58" s="312">
        <v>21070</v>
      </c>
      <c r="D58" s="312">
        <f>'3.b mell. Működési bevételek'!C6+'3.b mell. Működési bevételek'!C10</f>
        <v>0</v>
      </c>
      <c r="E58" s="312">
        <f t="shared" si="0"/>
        <v>21070</v>
      </c>
    </row>
    <row r="59" spans="1:5" ht="12.75" customHeight="1" x14ac:dyDescent="0.2">
      <c r="A59" s="59" t="s">
        <v>245</v>
      </c>
      <c r="B59" s="54" t="s">
        <v>244</v>
      </c>
      <c r="C59" s="312"/>
      <c r="D59" s="312"/>
      <c r="E59" s="312"/>
    </row>
    <row r="60" spans="1:5" ht="12.75" customHeight="1" x14ac:dyDescent="0.2">
      <c r="A60" s="59" t="s">
        <v>247</v>
      </c>
      <c r="B60" s="54" t="s">
        <v>246</v>
      </c>
      <c r="C60" s="312">
        <v>9333</v>
      </c>
      <c r="D60" s="312">
        <f>'3.b mell. Működési bevételek'!C13</f>
        <v>832</v>
      </c>
      <c r="E60" s="312">
        <f t="shared" si="0"/>
        <v>10165</v>
      </c>
    </row>
    <row r="61" spans="1:5" ht="12.75" customHeight="1" x14ac:dyDescent="0.2">
      <c r="A61" s="59" t="s">
        <v>249</v>
      </c>
      <c r="B61" s="54" t="s">
        <v>248</v>
      </c>
      <c r="C61" s="312">
        <v>34436</v>
      </c>
      <c r="D61" s="312">
        <f>'3.b mell. Működési bevételek'!C7</f>
        <v>0</v>
      </c>
      <c r="E61" s="312">
        <f t="shared" si="0"/>
        <v>34436</v>
      </c>
    </row>
    <row r="62" spans="1:5" ht="12.75" customHeight="1" x14ac:dyDescent="0.2">
      <c r="A62" s="59" t="s">
        <v>251</v>
      </c>
      <c r="B62" s="54" t="s">
        <v>250</v>
      </c>
      <c r="C62" s="312">
        <v>2350</v>
      </c>
      <c r="D62" s="312">
        <f>'3.b mell. Működési bevételek'!C9</f>
        <v>0</v>
      </c>
      <c r="E62" s="312">
        <f t="shared" si="0"/>
        <v>2350</v>
      </c>
    </row>
    <row r="63" spans="1:5" ht="12.75" customHeight="1" x14ac:dyDescent="0.2">
      <c r="A63" s="59" t="s">
        <v>253</v>
      </c>
      <c r="B63" s="54" t="s">
        <v>252</v>
      </c>
      <c r="C63" s="312">
        <v>0</v>
      </c>
      <c r="D63" s="312"/>
      <c r="E63" s="312">
        <f t="shared" si="0"/>
        <v>0</v>
      </c>
    </row>
    <row r="64" spans="1:5" ht="12.75" customHeight="1" x14ac:dyDescent="0.2">
      <c r="A64" s="59" t="s">
        <v>622</v>
      </c>
      <c r="B64" s="54" t="s">
        <v>254</v>
      </c>
      <c r="C64" s="312">
        <v>28</v>
      </c>
      <c r="D64" s="312">
        <f>'3.a átvett pe.'!C15+'3.b mell. Működési bevételek'!C12+'3.b mell. Működési bevételek'!C11</f>
        <v>0</v>
      </c>
      <c r="E64" s="312">
        <f t="shared" si="0"/>
        <v>28</v>
      </c>
    </row>
    <row r="65" spans="1:5" ht="12.75" customHeight="1" x14ac:dyDescent="0.2">
      <c r="A65" s="65" t="s">
        <v>255</v>
      </c>
      <c r="B65" s="55" t="s">
        <v>280</v>
      </c>
      <c r="C65" s="314">
        <f>SUM(C55:C64)</f>
        <v>85033</v>
      </c>
      <c r="D65" s="314">
        <f t="shared" ref="D65:E65" si="6">SUM(D55:D64)</f>
        <v>4426</v>
      </c>
      <c r="E65" s="314">
        <f t="shared" si="6"/>
        <v>89459</v>
      </c>
    </row>
    <row r="66" spans="1:5" ht="12.75" customHeight="1" x14ac:dyDescent="0.2">
      <c r="A66" s="65" t="s">
        <v>256</v>
      </c>
      <c r="B66" s="55" t="s">
        <v>279</v>
      </c>
      <c r="C66" s="314">
        <v>19500</v>
      </c>
      <c r="D66" s="314">
        <f>'3.b mell. Működési bevételek'!C34</f>
        <v>42440</v>
      </c>
      <c r="E66" s="314">
        <f t="shared" si="0"/>
        <v>61940</v>
      </c>
    </row>
    <row r="67" spans="1:5" ht="12.75" customHeight="1" x14ac:dyDescent="0.2">
      <c r="A67" s="59" t="s">
        <v>626</v>
      </c>
      <c r="B67" s="54" t="s">
        <v>507</v>
      </c>
      <c r="C67" s="312"/>
      <c r="D67" s="312"/>
      <c r="E67" s="312"/>
    </row>
    <row r="68" spans="1:5" ht="12.75" customHeight="1" x14ac:dyDescent="0.2">
      <c r="A68" s="59" t="s">
        <v>625</v>
      </c>
      <c r="B68" s="54" t="s">
        <v>257</v>
      </c>
      <c r="C68" s="312">
        <v>43</v>
      </c>
      <c r="D68" s="312">
        <f>'3.a átvett pe.'!C42</f>
        <v>0</v>
      </c>
      <c r="E68" s="312">
        <f t="shared" si="0"/>
        <v>43</v>
      </c>
    </row>
    <row r="69" spans="1:5" ht="12.75" customHeight="1" x14ac:dyDescent="0.2">
      <c r="A69" s="65" t="s">
        <v>259</v>
      </c>
      <c r="B69" s="55" t="s">
        <v>278</v>
      </c>
      <c r="C69" s="314">
        <f>+C68+C67</f>
        <v>43</v>
      </c>
      <c r="D69" s="314">
        <f t="shared" ref="D69:E69" si="7">+D68+D67</f>
        <v>0</v>
      </c>
      <c r="E69" s="314">
        <f t="shared" si="7"/>
        <v>43</v>
      </c>
    </row>
    <row r="70" spans="1:5" ht="12.75" customHeight="1" x14ac:dyDescent="0.2">
      <c r="A70" s="59" t="s">
        <v>627</v>
      </c>
      <c r="B70" s="54" t="s">
        <v>260</v>
      </c>
      <c r="C70" s="312"/>
      <c r="D70" s="312">
        <v>720</v>
      </c>
      <c r="E70" s="312">
        <f t="shared" ref="E70:E78" si="8">+C70+D70</f>
        <v>720</v>
      </c>
    </row>
    <row r="71" spans="1:5" ht="12.75" customHeight="1" x14ac:dyDescent="0.2">
      <c r="A71" s="65" t="s">
        <v>262</v>
      </c>
      <c r="B71" s="55" t="s">
        <v>283</v>
      </c>
      <c r="C71" s="314">
        <f>+C70</f>
        <v>0</v>
      </c>
      <c r="D71" s="314">
        <f>+D70</f>
        <v>720</v>
      </c>
      <c r="E71" s="312">
        <f t="shared" si="8"/>
        <v>720</v>
      </c>
    </row>
    <row r="72" spans="1:5" ht="12.75" customHeight="1" x14ac:dyDescent="0.2">
      <c r="A72" s="65" t="s">
        <v>263</v>
      </c>
      <c r="B72" s="55" t="s">
        <v>276</v>
      </c>
      <c r="C72" s="314">
        <f>+C71+C69+C66+C65+C54+C37+C23</f>
        <v>1153675</v>
      </c>
      <c r="D72" s="314">
        <f t="shared" ref="D72:E72" si="9">+D71+D69+D66+D65+D54+D37+D23</f>
        <v>60621</v>
      </c>
      <c r="E72" s="314">
        <f t="shared" si="9"/>
        <v>1214296</v>
      </c>
    </row>
    <row r="73" spans="1:5" ht="12.75" customHeight="1" x14ac:dyDescent="0.2">
      <c r="A73" s="58" t="s">
        <v>565</v>
      </c>
      <c r="B73" s="572" t="s">
        <v>564</v>
      </c>
      <c r="C73" s="314"/>
      <c r="D73" s="314"/>
      <c r="E73" s="314">
        <f t="shared" si="8"/>
        <v>0</v>
      </c>
    </row>
    <row r="74" spans="1:5" s="70" customFormat="1" ht="12.75" customHeight="1" x14ac:dyDescent="0.2">
      <c r="A74" s="58" t="s">
        <v>698</v>
      </c>
      <c r="B74" s="572" t="s">
        <v>697</v>
      </c>
      <c r="C74" s="314">
        <v>117500</v>
      </c>
      <c r="D74" s="314"/>
      <c r="E74" s="314">
        <f t="shared" si="8"/>
        <v>117500</v>
      </c>
    </row>
    <row r="75" spans="1:5" x14ac:dyDescent="0.2">
      <c r="A75" s="63" t="s">
        <v>273</v>
      </c>
      <c r="B75" s="54" t="s">
        <v>272</v>
      </c>
      <c r="C75" s="316">
        <v>1628648</v>
      </c>
      <c r="D75" s="316">
        <f>+D76+D77</f>
        <v>0</v>
      </c>
      <c r="E75" s="312">
        <f t="shared" si="8"/>
        <v>1628648</v>
      </c>
    </row>
    <row r="76" spans="1:5" s="85" customFormat="1" x14ac:dyDescent="0.2">
      <c r="A76" s="129"/>
      <c r="B76" s="109" t="s">
        <v>395</v>
      </c>
      <c r="C76" s="315">
        <v>414420</v>
      </c>
      <c r="D76" s="312"/>
      <c r="E76" s="312">
        <f t="shared" si="8"/>
        <v>414420</v>
      </c>
    </row>
    <row r="77" spans="1:5" s="85" customFormat="1" x14ac:dyDescent="0.2">
      <c r="A77" s="129"/>
      <c r="B77" s="109" t="s">
        <v>396</v>
      </c>
      <c r="C77" s="315">
        <v>1214228</v>
      </c>
      <c r="D77" s="312"/>
      <c r="E77" s="312">
        <f t="shared" si="8"/>
        <v>1214228</v>
      </c>
    </row>
    <row r="78" spans="1:5" x14ac:dyDescent="0.2">
      <c r="A78" s="64" t="s">
        <v>274</v>
      </c>
      <c r="B78" s="64" t="s">
        <v>336</v>
      </c>
      <c r="C78" s="314">
        <f>+C75</f>
        <v>1628648</v>
      </c>
      <c r="D78" s="314">
        <f>+D75</f>
        <v>0</v>
      </c>
      <c r="E78" s="314">
        <f t="shared" si="8"/>
        <v>1628648</v>
      </c>
    </row>
    <row r="79" spans="1:5" x14ac:dyDescent="0.2">
      <c r="A79" s="64" t="s">
        <v>275</v>
      </c>
      <c r="B79" s="58" t="s">
        <v>337</v>
      </c>
      <c r="C79" s="314">
        <f>+C78+C74</f>
        <v>1746148</v>
      </c>
      <c r="D79" s="314">
        <f t="shared" ref="D79:E79" si="10">+D78+D74</f>
        <v>0</v>
      </c>
      <c r="E79" s="314">
        <f t="shared" si="10"/>
        <v>1746148</v>
      </c>
    </row>
  </sheetData>
  <mergeCells count="5">
    <mergeCell ref="A1:E1"/>
    <mergeCell ref="A3:A4"/>
    <mergeCell ref="B3:B4"/>
    <mergeCell ref="C3:E3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cellComments="asDisplayed" errors="blank" r:id="rId1"/>
  <headerFooter>
    <oddHeader>&amp;C&amp;"Times New Roman,Félkövér"&amp;12Martonvásár Város Önkormányzatának bevételei 2019.
&amp;"Times New Roman,Dőlt"(intézmények nélkül)&amp;R&amp;"Times New Roman,Félkövér"&amp;10 3. melléklet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A10" zoomScaleNormal="100" workbookViewId="0">
      <selection activeCell="C11" sqref="C11"/>
    </sheetView>
  </sheetViews>
  <sheetFormatPr defaultColWidth="9.140625" defaultRowHeight="15" x14ac:dyDescent="0.25"/>
  <cols>
    <col min="1" max="1" width="43.42578125" style="369" customWidth="1"/>
    <col min="2" max="2" width="15.42578125" style="369" customWidth="1"/>
    <col min="3" max="3" width="13" style="369" customWidth="1"/>
    <col min="4" max="4" width="14.42578125" style="369" customWidth="1"/>
    <col min="5" max="16384" width="9.140625" style="369"/>
  </cols>
  <sheetData>
    <row r="1" spans="1:5" ht="15.75" thickBot="1" x14ac:dyDescent="0.3">
      <c r="D1" s="617" t="s">
        <v>388</v>
      </c>
    </row>
    <row r="2" spans="1:5" x14ac:dyDescent="0.25">
      <c r="A2" s="1124" t="s">
        <v>524</v>
      </c>
      <c r="B2" s="1125"/>
      <c r="C2" s="1126"/>
      <c r="D2" s="1127"/>
    </row>
    <row r="3" spans="1:5" ht="15.75" thickBot="1" x14ac:dyDescent="0.3">
      <c r="A3" s="521"/>
      <c r="B3" s="522"/>
      <c r="C3" s="523"/>
      <c r="D3" s="524"/>
    </row>
    <row r="4" spans="1:5" s="400" customFormat="1" ht="27.75" customHeight="1" x14ac:dyDescent="0.25">
      <c r="A4" s="864" t="s">
        <v>282</v>
      </c>
      <c r="B4" s="944" t="s">
        <v>912</v>
      </c>
      <c r="C4" s="944" t="s">
        <v>727</v>
      </c>
      <c r="D4" s="987" t="s">
        <v>950</v>
      </c>
    </row>
    <row r="5" spans="1:5" x14ac:dyDescent="0.25">
      <c r="A5" s="370" t="s">
        <v>632</v>
      </c>
      <c r="B5" s="371">
        <v>1080</v>
      </c>
      <c r="C5" s="461"/>
      <c r="D5" s="462">
        <f t="shared" ref="D5:D12" si="0">B5+C5</f>
        <v>1080</v>
      </c>
    </row>
    <row r="6" spans="1:5" x14ac:dyDescent="0.25">
      <c r="A6" s="370" t="s">
        <v>633</v>
      </c>
      <c r="B6" s="371">
        <v>2500</v>
      </c>
      <c r="C6" s="461"/>
      <c r="D6" s="462">
        <f t="shared" si="0"/>
        <v>2500</v>
      </c>
    </row>
    <row r="7" spans="1:5" x14ac:dyDescent="0.25">
      <c r="A7" s="370" t="s">
        <v>943</v>
      </c>
      <c r="B7" s="371">
        <v>788</v>
      </c>
      <c r="C7" s="461"/>
      <c r="D7" s="462">
        <f t="shared" si="0"/>
        <v>788</v>
      </c>
    </row>
    <row r="8" spans="1:5" x14ac:dyDescent="0.25">
      <c r="A8" s="370" t="s">
        <v>874</v>
      </c>
      <c r="B8" s="371">
        <v>7147</v>
      </c>
      <c r="C8" s="461">
        <v>25</v>
      </c>
      <c r="D8" s="462">
        <f t="shared" si="0"/>
        <v>7172</v>
      </c>
    </row>
    <row r="9" spans="1:5" x14ac:dyDescent="0.25">
      <c r="A9" s="370" t="s">
        <v>634</v>
      </c>
      <c r="B9" s="371">
        <v>15720</v>
      </c>
      <c r="C9" s="465">
        <v>1521</v>
      </c>
      <c r="D9" s="462">
        <f t="shared" si="0"/>
        <v>17241</v>
      </c>
    </row>
    <row r="10" spans="1:5" x14ac:dyDescent="0.25">
      <c r="A10" s="469" t="s">
        <v>635</v>
      </c>
      <c r="B10" s="470">
        <v>250</v>
      </c>
      <c r="C10" s="465">
        <v>42</v>
      </c>
      <c r="D10" s="462">
        <f t="shared" si="0"/>
        <v>292</v>
      </c>
    </row>
    <row r="11" spans="1:5" x14ac:dyDescent="0.25">
      <c r="A11" s="528" t="s">
        <v>649</v>
      </c>
      <c r="B11" s="461">
        <v>600</v>
      </c>
      <c r="C11" s="465"/>
      <c r="D11" s="462">
        <f t="shared" si="0"/>
        <v>600</v>
      </c>
    </row>
    <row r="12" spans="1:5" x14ac:dyDescent="0.25">
      <c r="A12" s="528" t="s">
        <v>866</v>
      </c>
      <c r="B12" s="461">
        <v>22617</v>
      </c>
      <c r="C12" s="465"/>
      <c r="D12" s="462">
        <f t="shared" si="0"/>
        <v>22617</v>
      </c>
    </row>
    <row r="13" spans="1:5" x14ac:dyDescent="0.25">
      <c r="A13" s="865" t="s">
        <v>776</v>
      </c>
      <c r="B13" s="859">
        <f>SUM(B5:B12)</f>
        <v>50702</v>
      </c>
      <c r="C13" s="859">
        <f>SUM(C5:C12)</f>
        <v>1588</v>
      </c>
      <c r="D13" s="863">
        <f>SUM(D5:D12)</f>
        <v>52290</v>
      </c>
    </row>
    <row r="14" spans="1:5" x14ac:dyDescent="0.25">
      <c r="A14" s="528"/>
      <c r="B14" s="461"/>
      <c r="C14" s="461"/>
      <c r="D14" s="462"/>
    </row>
    <row r="15" spans="1:5" x14ac:dyDescent="0.25">
      <c r="A15" s="370" t="s">
        <v>806</v>
      </c>
      <c r="B15" s="461">
        <v>0</v>
      </c>
      <c r="C15" s="461"/>
      <c r="D15" s="462">
        <f>B15+C15</f>
        <v>0</v>
      </c>
    </row>
    <row r="16" spans="1:5" x14ac:dyDescent="0.25">
      <c r="A16" s="988"/>
      <c r="B16" s="986"/>
      <c r="C16" s="986"/>
      <c r="D16" s="989"/>
    </row>
    <row r="17" spans="1:5" x14ac:dyDescent="0.25">
      <c r="A17" s="370" t="s">
        <v>1085</v>
      </c>
      <c r="B17" s="461"/>
      <c r="C17" s="461">
        <v>72</v>
      </c>
      <c r="D17" s="466">
        <f>B17+C17</f>
        <v>72</v>
      </c>
    </row>
    <row r="18" spans="1:5" x14ac:dyDescent="0.25">
      <c r="A18" s="528" t="s">
        <v>803</v>
      </c>
      <c r="B18" s="461">
        <v>13236</v>
      </c>
      <c r="C18" s="465"/>
      <c r="D18" s="466">
        <f>B18+C18</f>
        <v>13236</v>
      </c>
    </row>
    <row r="19" spans="1:5" x14ac:dyDescent="0.25">
      <c r="A19" s="865" t="s">
        <v>776</v>
      </c>
      <c r="B19" s="859">
        <f>B13+B15+B18</f>
        <v>63938</v>
      </c>
      <c r="C19" s="859">
        <f>C13+C15+C18+C17</f>
        <v>1660</v>
      </c>
      <c r="D19" s="863">
        <f>D13+D15+D18+D17</f>
        <v>65598</v>
      </c>
    </row>
    <row r="20" spans="1:5" x14ac:dyDescent="0.25">
      <c r="A20" s="528"/>
      <c r="B20" s="461"/>
      <c r="C20" s="465"/>
      <c r="D20" s="466"/>
    </row>
    <row r="21" spans="1:5" x14ac:dyDescent="0.25">
      <c r="A21" s="528" t="s">
        <v>804</v>
      </c>
      <c r="B21" s="461">
        <v>1159</v>
      </c>
      <c r="C21" s="986"/>
      <c r="D21" s="462">
        <f>B21+C21</f>
        <v>1159</v>
      </c>
    </row>
    <row r="22" spans="1:5" x14ac:dyDescent="0.25">
      <c r="A22" s="370" t="s">
        <v>805</v>
      </c>
      <c r="B22" s="861">
        <v>1353</v>
      </c>
      <c r="C22" s="465">
        <f>'6.mell Int.összesen'!H4</f>
        <v>43</v>
      </c>
      <c r="D22" s="462">
        <f>B22+C22</f>
        <v>1396</v>
      </c>
    </row>
    <row r="23" spans="1:5" x14ac:dyDescent="0.25">
      <c r="A23" s="860" t="s">
        <v>850</v>
      </c>
      <c r="B23" s="862">
        <f>SUM(B21:B22)</f>
        <v>2512</v>
      </c>
      <c r="C23" s="862">
        <f>SUM(C22:C22)</f>
        <v>43</v>
      </c>
      <c r="D23" s="863">
        <f t="shared" ref="D23" si="1">B23+C23</f>
        <v>2555</v>
      </c>
    </row>
    <row r="24" spans="1:5" x14ac:dyDescent="0.25">
      <c r="A24" s="463"/>
      <c r="B24" s="464"/>
      <c r="C24" s="465"/>
      <c r="D24" s="466"/>
    </row>
    <row r="25" spans="1:5" ht="15.75" thickBot="1" x14ac:dyDescent="0.3">
      <c r="A25" s="467" t="s">
        <v>180</v>
      </c>
      <c r="B25" s="468">
        <f>B19+B23</f>
        <v>66450</v>
      </c>
      <c r="C25" s="468">
        <f t="shared" ref="C25:D25" si="2">C19+C23</f>
        <v>1703</v>
      </c>
      <c r="D25" s="866">
        <f t="shared" si="2"/>
        <v>68153</v>
      </c>
    </row>
    <row r="26" spans="1:5" x14ac:dyDescent="0.25">
      <c r="A26" s="376"/>
      <c r="B26" s="376"/>
      <c r="C26" s="377"/>
      <c r="D26" s="377"/>
    </row>
    <row r="27" spans="1:5" ht="15.75" thickBot="1" x14ac:dyDescent="0.3">
      <c r="A27" s="378"/>
      <c r="B27" s="378"/>
      <c r="C27" s="378"/>
      <c r="D27" s="379"/>
    </row>
    <row r="28" spans="1:5" x14ac:dyDescent="0.25">
      <c r="A28" s="1124" t="s">
        <v>525</v>
      </c>
      <c r="B28" s="1125"/>
      <c r="C28" s="1126"/>
      <c r="D28" s="1127"/>
    </row>
    <row r="29" spans="1:5" ht="15.75" thickBot="1" x14ac:dyDescent="0.3">
      <c r="A29" s="521"/>
      <c r="B29" s="522"/>
      <c r="C29" s="523"/>
      <c r="D29" s="524"/>
    </row>
    <row r="30" spans="1:5" x14ac:dyDescent="0.25">
      <c r="A30" s="520" t="s">
        <v>282</v>
      </c>
      <c r="B30" s="944" t="s">
        <v>912</v>
      </c>
      <c r="C30" s="944" t="s">
        <v>727</v>
      </c>
      <c r="D30" s="987" t="s">
        <v>950</v>
      </c>
    </row>
    <row r="31" spans="1:5" x14ac:dyDescent="0.25">
      <c r="A31" s="370" t="s">
        <v>807</v>
      </c>
      <c r="B31" s="371">
        <v>50000</v>
      </c>
      <c r="C31" s="372"/>
      <c r="D31" s="373">
        <f>B31+C31</f>
        <v>50000</v>
      </c>
    </row>
    <row r="32" spans="1:5" s="400" customFormat="1" ht="15.75" customHeight="1" x14ac:dyDescent="0.25">
      <c r="A32" s="370" t="s">
        <v>808</v>
      </c>
      <c r="B32" s="371">
        <v>31949</v>
      </c>
      <c r="C32" s="372"/>
      <c r="D32" s="373">
        <f t="shared" ref="D32:D34" si="3">B32+C32</f>
        <v>31949</v>
      </c>
    </row>
    <row r="33" spans="1:5" x14ac:dyDescent="0.25">
      <c r="A33" s="370" t="s">
        <v>809</v>
      </c>
      <c r="B33" s="371">
        <v>66699</v>
      </c>
      <c r="C33" s="372"/>
      <c r="D33" s="373">
        <f t="shared" si="3"/>
        <v>66699</v>
      </c>
    </row>
    <row r="34" spans="1:5" x14ac:dyDescent="0.25">
      <c r="A34" s="370" t="s">
        <v>857</v>
      </c>
      <c r="B34" s="371">
        <v>48018</v>
      </c>
      <c r="C34" s="372"/>
      <c r="D34" s="373">
        <f t="shared" si="3"/>
        <v>48018</v>
      </c>
    </row>
    <row r="35" spans="1:5" x14ac:dyDescent="0.25">
      <c r="A35" s="370"/>
      <c r="B35" s="371"/>
      <c r="C35" s="372"/>
      <c r="D35" s="373"/>
    </row>
    <row r="36" spans="1:5" ht="15.75" thickBot="1" x14ac:dyDescent="0.3">
      <c r="A36" s="374" t="s">
        <v>180</v>
      </c>
      <c r="B36" s="375">
        <f>SUM(B31:B35)</f>
        <v>196666</v>
      </c>
      <c r="C36" s="375">
        <f>SUM(C31:C35)</f>
        <v>0</v>
      </c>
      <c r="D36" s="619">
        <f>SUM(D31:D35)</f>
        <v>196666</v>
      </c>
    </row>
    <row r="37" spans="1:5" x14ac:dyDescent="0.25">
      <c r="A37" s="380"/>
      <c r="B37" s="380"/>
      <c r="C37" s="381"/>
      <c r="D37" s="381"/>
    </row>
    <row r="38" spans="1:5" ht="15.75" thickBot="1" x14ac:dyDescent="0.3">
      <c r="A38" s="378"/>
      <c r="B38" s="378"/>
      <c r="C38" s="378"/>
      <c r="D38" s="379"/>
    </row>
    <row r="39" spans="1:5" x14ac:dyDescent="0.25">
      <c r="A39" s="1128" t="s">
        <v>526</v>
      </c>
      <c r="B39" s="1129"/>
      <c r="C39" s="1129"/>
      <c r="D39" s="1130"/>
    </row>
    <row r="40" spans="1:5" ht="15.75" thickBot="1" x14ac:dyDescent="0.3">
      <c r="A40" s="525"/>
      <c r="B40" s="526"/>
      <c r="C40" s="526"/>
      <c r="D40" s="527"/>
    </row>
    <row r="41" spans="1:5" x14ac:dyDescent="0.25">
      <c r="A41" s="519" t="s">
        <v>282</v>
      </c>
      <c r="B41" s="944" t="s">
        <v>912</v>
      </c>
      <c r="C41" s="944" t="s">
        <v>727</v>
      </c>
      <c r="D41" s="987" t="s">
        <v>950</v>
      </c>
    </row>
    <row r="42" spans="1:5" x14ac:dyDescent="0.25">
      <c r="A42" s="370" t="s">
        <v>508</v>
      </c>
      <c r="B42" s="383">
        <v>43</v>
      </c>
      <c r="C42" s="384"/>
      <c r="D42" s="620">
        <f>B42+C42</f>
        <v>43</v>
      </c>
    </row>
    <row r="43" spans="1:5" x14ac:dyDescent="0.25">
      <c r="A43" s="860" t="s">
        <v>776</v>
      </c>
      <c r="B43" s="869">
        <f>B42</f>
        <v>43</v>
      </c>
      <c r="C43" s="869">
        <f t="shared" ref="C43:D43" si="4">C42</f>
        <v>0</v>
      </c>
      <c r="D43" s="990">
        <f t="shared" si="4"/>
        <v>43</v>
      </c>
    </row>
    <row r="44" spans="1:5" x14ac:dyDescent="0.25">
      <c r="A44" s="469"/>
      <c r="B44" s="782"/>
      <c r="C44" s="782"/>
      <c r="D44" s="620"/>
    </row>
    <row r="45" spans="1:5" s="400" customFormat="1" x14ac:dyDescent="0.25">
      <c r="A45" s="781" t="s">
        <v>810</v>
      </c>
      <c r="B45" s="464">
        <v>700</v>
      </c>
      <c r="C45" s="782">
        <f>'6.mell Int.összesen'!H38</f>
        <v>0</v>
      </c>
      <c r="D45" s="620">
        <f>B45+C45</f>
        <v>700</v>
      </c>
    </row>
    <row r="46" spans="1:5" s="400" customFormat="1" x14ac:dyDescent="0.25">
      <c r="A46" s="867" t="s">
        <v>850</v>
      </c>
      <c r="B46" s="870">
        <f>B45</f>
        <v>700</v>
      </c>
      <c r="C46" s="870">
        <f t="shared" ref="C46:D46" si="5">C45</f>
        <v>0</v>
      </c>
      <c r="D46" s="991">
        <f t="shared" si="5"/>
        <v>700</v>
      </c>
    </row>
    <row r="47" spans="1:5" s="400" customFormat="1" x14ac:dyDescent="0.25">
      <c r="A47" s="867"/>
      <c r="B47" s="464"/>
      <c r="C47" s="782"/>
      <c r="D47" s="868"/>
    </row>
    <row r="48" spans="1:5" ht="15.75" thickBot="1" x14ac:dyDescent="0.3">
      <c r="A48" s="374" t="s">
        <v>180</v>
      </c>
      <c r="B48" s="385">
        <f>B43+B46</f>
        <v>743</v>
      </c>
      <c r="C48" s="385">
        <f t="shared" ref="C48:D48" si="6">C43+C46</f>
        <v>0</v>
      </c>
      <c r="D48" s="621">
        <f t="shared" si="6"/>
        <v>743</v>
      </c>
    </row>
    <row r="49" spans="1:4" ht="15.75" thickBot="1" x14ac:dyDescent="0.3">
      <c r="A49" s="378"/>
      <c r="B49" s="378"/>
      <c r="C49" s="378"/>
      <c r="D49" s="378"/>
    </row>
    <row r="50" spans="1:4" x14ac:dyDescent="0.25">
      <c r="A50" s="1128" t="s">
        <v>527</v>
      </c>
      <c r="B50" s="1129"/>
      <c r="C50" s="1129"/>
      <c r="D50" s="1130"/>
    </row>
    <row r="51" spans="1:4" ht="15.75" thickBot="1" x14ac:dyDescent="0.3">
      <c r="A51" s="525"/>
      <c r="B51" s="526"/>
      <c r="C51" s="526"/>
      <c r="D51" s="527"/>
    </row>
    <row r="52" spans="1:4" x14ac:dyDescent="0.25">
      <c r="A52" s="519" t="s">
        <v>282</v>
      </c>
      <c r="B52" s="944" t="s">
        <v>912</v>
      </c>
      <c r="C52" s="944" t="s">
        <v>727</v>
      </c>
      <c r="D52" s="987" t="s">
        <v>950</v>
      </c>
    </row>
    <row r="53" spans="1:4" x14ac:dyDescent="0.25">
      <c r="A53" s="382" t="s">
        <v>1086</v>
      </c>
      <c r="B53" s="383"/>
      <c r="C53" s="384">
        <v>720</v>
      </c>
      <c r="D53" s="620">
        <f>+B53+C53</f>
        <v>720</v>
      </c>
    </row>
    <row r="54" spans="1:4" s="400" customFormat="1" ht="16.5" customHeight="1" x14ac:dyDescent="0.25">
      <c r="A54" s="370"/>
      <c r="B54" s="383"/>
      <c r="C54" s="384"/>
      <c r="D54" s="620"/>
    </row>
    <row r="55" spans="1:4" x14ac:dyDescent="0.25">
      <c r="A55" s="370"/>
      <c r="B55" s="383"/>
      <c r="C55" s="384"/>
      <c r="D55" s="620"/>
    </row>
    <row r="56" spans="1:4" x14ac:dyDescent="0.25">
      <c r="A56" s="370"/>
      <c r="B56" s="383"/>
      <c r="C56" s="384"/>
      <c r="D56" s="620"/>
    </row>
    <row r="57" spans="1:4" ht="15.75" thickBot="1" x14ac:dyDescent="0.3">
      <c r="A57" s="374" t="s">
        <v>180</v>
      </c>
      <c r="B57" s="385">
        <f>SUM(B53:B56)</f>
        <v>0</v>
      </c>
      <c r="C57" s="385">
        <f t="shared" ref="C57:D57" si="7">SUM(C53:C56)</f>
        <v>720</v>
      </c>
      <c r="D57" s="621">
        <f t="shared" si="7"/>
        <v>720</v>
      </c>
    </row>
    <row r="58" spans="1:4" x14ac:dyDescent="0.25">
      <c r="A58" s="378"/>
      <c r="B58" s="378"/>
      <c r="C58" s="378"/>
      <c r="D58" s="378"/>
    </row>
    <row r="59" spans="1:4" x14ac:dyDescent="0.25">
      <c r="A59" s="378"/>
      <c r="B59" s="378"/>
      <c r="C59" s="378"/>
      <c r="D59" s="378"/>
    </row>
  </sheetData>
  <mergeCells count="4">
    <mergeCell ref="A2:D2"/>
    <mergeCell ref="A28:D28"/>
    <mergeCell ref="A39:D39"/>
    <mergeCell ref="A50:D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>
    <oddHeader>&amp;C&amp;"Times New Roman,Félkövér"&amp;12Martonvásár Város Önkormányzat 
átvett pénzeszközeinek, támogatásainak részletezése    &amp;R&amp;"Times New Roman,Félkövér"&amp;12 3/a. melléklet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0" zoomScaleNormal="100" workbookViewId="0">
      <selection activeCell="C14" sqref="C14"/>
    </sheetView>
  </sheetViews>
  <sheetFormatPr defaultColWidth="9.140625" defaultRowHeight="12.75" x14ac:dyDescent="0.2"/>
  <cols>
    <col min="1" max="1" width="46.42578125" style="386" bestFit="1" customWidth="1"/>
    <col min="2" max="2" width="13.140625" style="386" customWidth="1"/>
    <col min="3" max="3" width="14.7109375" style="386" customWidth="1"/>
    <col min="4" max="4" width="13.140625" style="386" customWidth="1"/>
    <col min="5" max="16384" width="9.140625" style="386"/>
  </cols>
  <sheetData>
    <row r="1" spans="1:5" ht="13.5" customHeight="1" thickBot="1" x14ac:dyDescent="0.3">
      <c r="A1" s="412"/>
      <c r="B1" s="412"/>
      <c r="C1" s="1131" t="s">
        <v>388</v>
      </c>
      <c r="D1" s="1131"/>
    </row>
    <row r="2" spans="1:5" s="401" customFormat="1" ht="25.5" x14ac:dyDescent="0.2">
      <c r="A2" s="402" t="s">
        <v>282</v>
      </c>
      <c r="B2" s="992" t="s">
        <v>912</v>
      </c>
      <c r="C2" s="992" t="s">
        <v>727</v>
      </c>
      <c r="D2" s="993" t="s">
        <v>950</v>
      </c>
    </row>
    <row r="3" spans="1:5" x14ac:dyDescent="0.2">
      <c r="A3" s="387" t="s">
        <v>528</v>
      </c>
      <c r="B3" s="388">
        <v>151</v>
      </c>
      <c r="C3" s="389"/>
      <c r="D3" s="994">
        <f>B3+C3</f>
        <v>151</v>
      </c>
    </row>
    <row r="4" spans="1:5" x14ac:dyDescent="0.2">
      <c r="A4" s="387" t="s">
        <v>577</v>
      </c>
      <c r="B4" s="388">
        <v>200</v>
      </c>
      <c r="C4" s="389">
        <v>240</v>
      </c>
      <c r="D4" s="994">
        <f t="shared" ref="D4:D13" si="0">B4+C4</f>
        <v>440</v>
      </c>
    </row>
    <row r="5" spans="1:5" x14ac:dyDescent="0.2">
      <c r="A5" s="387" t="s">
        <v>716</v>
      </c>
      <c r="B5" s="388">
        <v>16965</v>
      </c>
      <c r="C5" s="389">
        <f>3371-74</f>
        <v>3297</v>
      </c>
      <c r="D5" s="994">
        <f t="shared" si="0"/>
        <v>20262</v>
      </c>
    </row>
    <row r="6" spans="1:5" x14ac:dyDescent="0.2">
      <c r="A6" s="387" t="s">
        <v>529</v>
      </c>
      <c r="B6" s="388">
        <v>16745</v>
      </c>
      <c r="C6" s="389"/>
      <c r="D6" s="994">
        <f t="shared" si="0"/>
        <v>16745</v>
      </c>
    </row>
    <row r="7" spans="1:5" x14ac:dyDescent="0.2">
      <c r="A7" s="387" t="s">
        <v>571</v>
      </c>
      <c r="B7" s="388">
        <v>34436</v>
      </c>
      <c r="C7" s="389"/>
      <c r="D7" s="994">
        <f t="shared" si="0"/>
        <v>34436</v>
      </c>
    </row>
    <row r="8" spans="1:5" ht="15" customHeight="1" x14ac:dyDescent="0.2">
      <c r="A8" s="387" t="s">
        <v>509</v>
      </c>
      <c r="B8" s="388">
        <v>500</v>
      </c>
      <c r="C8" s="389">
        <v>57</v>
      </c>
      <c r="D8" s="994">
        <f t="shared" si="0"/>
        <v>557</v>
      </c>
    </row>
    <row r="9" spans="1:5" x14ac:dyDescent="0.2">
      <c r="A9" s="387" t="s">
        <v>510</v>
      </c>
      <c r="B9" s="428">
        <v>2350</v>
      </c>
      <c r="C9" s="389"/>
      <c r="D9" s="994">
        <f t="shared" si="0"/>
        <v>2350</v>
      </c>
    </row>
    <row r="10" spans="1:5" x14ac:dyDescent="0.2">
      <c r="A10" s="387" t="s">
        <v>568</v>
      </c>
      <c r="B10" s="388">
        <v>4325</v>
      </c>
      <c r="C10" s="389"/>
      <c r="D10" s="994">
        <f t="shared" si="0"/>
        <v>4325</v>
      </c>
    </row>
    <row r="11" spans="1:5" x14ac:dyDescent="0.2">
      <c r="A11" s="387" t="s">
        <v>908</v>
      </c>
      <c r="B11" s="388">
        <v>27</v>
      </c>
      <c r="C11" s="971"/>
      <c r="D11" s="462">
        <f>B11+C11</f>
        <v>27</v>
      </c>
    </row>
    <row r="12" spans="1:5" s="369" customFormat="1" ht="15" x14ac:dyDescent="0.25">
      <c r="A12" s="370" t="s">
        <v>907</v>
      </c>
      <c r="B12" s="461">
        <v>1</v>
      </c>
      <c r="C12" s="465"/>
      <c r="D12" s="462">
        <f>B12+C12</f>
        <v>1</v>
      </c>
      <c r="E12" s="386"/>
    </row>
    <row r="13" spans="1:5" x14ac:dyDescent="0.2">
      <c r="A13" s="387" t="s">
        <v>530</v>
      </c>
      <c r="B13" s="388">
        <v>9333</v>
      </c>
      <c r="C13" s="389">
        <f>15+743+74</f>
        <v>832</v>
      </c>
      <c r="D13" s="994">
        <f t="shared" si="0"/>
        <v>10165</v>
      </c>
    </row>
    <row r="14" spans="1:5" x14ac:dyDescent="0.2">
      <c r="A14" s="855" t="s">
        <v>776</v>
      </c>
      <c r="B14" s="396">
        <f>SUM(B3:B13)</f>
        <v>85033</v>
      </c>
      <c r="C14" s="858">
        <f>SUM(C3:C13)</f>
        <v>4426</v>
      </c>
      <c r="D14" s="995">
        <f>B14+C14</f>
        <v>89459</v>
      </c>
    </row>
    <row r="15" spans="1:5" x14ac:dyDescent="0.2">
      <c r="A15" s="387"/>
      <c r="B15" s="388"/>
      <c r="C15" s="389"/>
      <c r="D15" s="994"/>
    </row>
    <row r="16" spans="1:5" x14ac:dyDescent="0.2">
      <c r="A16" s="387"/>
      <c r="B16" s="388"/>
      <c r="C16" s="389"/>
      <c r="D16" s="994"/>
    </row>
    <row r="17" spans="1:4" x14ac:dyDescent="0.2">
      <c r="A17" s="387" t="s">
        <v>856</v>
      </c>
      <c r="B17" s="388">
        <v>1550</v>
      </c>
      <c r="C17" s="389">
        <f>+'6.mell Int.összesen'!H36</f>
        <v>269</v>
      </c>
      <c r="D17" s="994">
        <f>B17+C17</f>
        <v>1819</v>
      </c>
    </row>
    <row r="18" spans="1:4" x14ac:dyDescent="0.2">
      <c r="A18" s="855" t="s">
        <v>850</v>
      </c>
      <c r="B18" s="396">
        <f>SUM(B17:B17)</f>
        <v>1550</v>
      </c>
      <c r="C18" s="396">
        <f>SUM(C17:C17)</f>
        <v>269</v>
      </c>
      <c r="D18" s="996">
        <f>SUM(D17:D17)</f>
        <v>1819</v>
      </c>
    </row>
    <row r="19" spans="1:4" x14ac:dyDescent="0.2">
      <c r="A19" s="855"/>
      <c r="B19" s="388"/>
      <c r="C19" s="389"/>
      <c r="D19" s="994"/>
    </row>
    <row r="20" spans="1:4" x14ac:dyDescent="0.2">
      <c r="A20" s="387" t="s">
        <v>855</v>
      </c>
      <c r="B20" s="388">
        <v>4810</v>
      </c>
      <c r="C20" s="389">
        <f>+'6.mell Int.összesen'!N29+'6.mell Int.összesen'!N31+'6.mell Int.összesen'!N30</f>
        <v>30</v>
      </c>
      <c r="D20" s="994">
        <f>B20+C20</f>
        <v>4840</v>
      </c>
    </row>
    <row r="21" spans="1:4" x14ac:dyDescent="0.2">
      <c r="A21" s="387" t="s">
        <v>530</v>
      </c>
      <c r="B21" s="428">
        <v>729</v>
      </c>
      <c r="C21" s="389">
        <f>+'6.mell Int.összesen'!N32</f>
        <v>0</v>
      </c>
      <c r="D21" s="994">
        <f t="shared" ref="D21:D22" si="1">B21+C21</f>
        <v>729</v>
      </c>
    </row>
    <row r="22" spans="1:4" x14ac:dyDescent="0.2">
      <c r="A22" s="387" t="s">
        <v>854</v>
      </c>
      <c r="B22" s="428">
        <v>729</v>
      </c>
      <c r="C22" s="389">
        <f>+'6.mell Int.összesen'!N33</f>
        <v>0</v>
      </c>
      <c r="D22" s="994">
        <f t="shared" si="1"/>
        <v>729</v>
      </c>
    </row>
    <row r="23" spans="1:4" x14ac:dyDescent="0.2">
      <c r="A23" s="855" t="s">
        <v>851</v>
      </c>
      <c r="B23" s="396">
        <f>SUM(B20:B22)</f>
        <v>6268</v>
      </c>
      <c r="C23" s="858">
        <f>SUM(C20:C22)</f>
        <v>30</v>
      </c>
      <c r="D23" s="995">
        <f>B23+C23</f>
        <v>6298</v>
      </c>
    </row>
    <row r="24" spans="1:4" x14ac:dyDescent="0.2">
      <c r="A24" s="855"/>
      <c r="B24" s="396"/>
      <c r="C24" s="389"/>
      <c r="D24" s="994"/>
    </row>
    <row r="25" spans="1:4" x14ac:dyDescent="0.2">
      <c r="A25" s="387" t="s">
        <v>852</v>
      </c>
      <c r="B25" s="428">
        <v>6003</v>
      </c>
      <c r="C25" s="389">
        <f>+'6.mell Int.összesen'!K36</f>
        <v>266</v>
      </c>
      <c r="D25" s="994">
        <f>B25+C25</f>
        <v>6269</v>
      </c>
    </row>
    <row r="26" spans="1:4" x14ac:dyDescent="0.2">
      <c r="A26" s="856" t="s">
        <v>853</v>
      </c>
      <c r="B26" s="857">
        <f>SUM(B25)</f>
        <v>6003</v>
      </c>
      <c r="C26" s="397">
        <f>SUM(C25)</f>
        <v>266</v>
      </c>
      <c r="D26" s="995">
        <f>B26+C26</f>
        <v>6269</v>
      </c>
    </row>
    <row r="27" spans="1:4" x14ac:dyDescent="0.2">
      <c r="A27" s="387"/>
      <c r="B27" s="428"/>
      <c r="C27" s="390"/>
      <c r="D27" s="994"/>
    </row>
    <row r="28" spans="1:4" x14ac:dyDescent="0.2">
      <c r="A28" s="387"/>
      <c r="B28" s="391"/>
      <c r="C28" s="390"/>
      <c r="D28" s="622"/>
    </row>
    <row r="29" spans="1:4" ht="13.5" thickBot="1" x14ac:dyDescent="0.25">
      <c r="A29" s="392" t="s">
        <v>511</v>
      </c>
      <c r="B29" s="393">
        <f>B14+B18+B23+B26</f>
        <v>98854</v>
      </c>
      <c r="C29" s="393">
        <f>C14+C18+C23+C26</f>
        <v>4991</v>
      </c>
      <c r="D29" s="997">
        <f>D14+D18+D23+D26</f>
        <v>103845</v>
      </c>
    </row>
    <row r="31" spans="1:4" ht="13.5" thickBot="1" x14ac:dyDescent="0.25"/>
    <row r="32" spans="1:4" x14ac:dyDescent="0.2">
      <c r="A32" s="529" t="s">
        <v>877</v>
      </c>
      <c r="B32" s="888">
        <v>19500</v>
      </c>
      <c r="C32" s="530"/>
      <c r="D32" s="998">
        <f>B32+C32</f>
        <v>19500</v>
      </c>
    </row>
    <row r="33" spans="1:4" x14ac:dyDescent="0.2">
      <c r="A33" s="394" t="s">
        <v>1084</v>
      </c>
      <c r="B33" s="889"/>
      <c r="C33" s="395">
        <v>42440</v>
      </c>
      <c r="D33" s="999">
        <f>+B33+C33</f>
        <v>42440</v>
      </c>
    </row>
    <row r="34" spans="1:4" ht="13.5" thickBot="1" x14ac:dyDescent="0.25">
      <c r="A34" s="392" t="s">
        <v>512</v>
      </c>
      <c r="B34" s="393">
        <f>SUM(B32:B33)</f>
        <v>19500</v>
      </c>
      <c r="C34" s="393">
        <f t="shared" ref="C34:D34" si="2">SUM(C32:C33)</f>
        <v>42440</v>
      </c>
      <c r="D34" s="393">
        <f t="shared" si="2"/>
        <v>61940</v>
      </c>
    </row>
    <row r="40" spans="1:4" x14ac:dyDescent="0.2">
      <c r="A40" s="386" t="s">
        <v>513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működési bevételeinek részletezése    &amp;R&amp;"Times New Roman,Félkövér"&amp;12 3/b. melléklet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zoomScaleNormal="100" workbookViewId="0">
      <selection activeCell="B16" sqref="B16"/>
    </sheetView>
  </sheetViews>
  <sheetFormatPr defaultColWidth="9.140625" defaultRowHeight="12.75" x14ac:dyDescent="0.2"/>
  <cols>
    <col min="1" max="1" width="39.28515625" style="386" customWidth="1"/>
    <col min="2" max="2" width="15.140625" style="386" customWidth="1"/>
    <col min="3" max="3" width="16.7109375" style="386" customWidth="1"/>
    <col min="4" max="4" width="15.7109375" style="386" customWidth="1"/>
    <col min="5" max="16384" width="9.140625" style="386"/>
  </cols>
  <sheetData>
    <row r="1" spans="1:4" ht="15.75" customHeight="1" thickBot="1" x14ac:dyDescent="0.25">
      <c r="D1" s="618" t="s">
        <v>388</v>
      </c>
    </row>
    <row r="2" spans="1:4" s="401" customFormat="1" ht="27" customHeight="1" x14ac:dyDescent="0.2">
      <c r="A2" s="531" t="s">
        <v>282</v>
      </c>
      <c r="B2" s="992" t="s">
        <v>912</v>
      </c>
      <c r="C2" s="992" t="s">
        <v>727</v>
      </c>
      <c r="D2" s="993" t="s">
        <v>950</v>
      </c>
    </row>
    <row r="3" spans="1:4" x14ac:dyDescent="0.2">
      <c r="A3" s="532" t="s">
        <v>514</v>
      </c>
      <c r="B3" s="390">
        <v>25000</v>
      </c>
      <c r="C3" s="390"/>
      <c r="D3" s="622">
        <f>B3+C3</f>
        <v>25000</v>
      </c>
    </row>
    <row r="4" spans="1:4" x14ac:dyDescent="0.2">
      <c r="A4" s="532" t="s">
        <v>515</v>
      </c>
      <c r="B4" s="390">
        <v>48000</v>
      </c>
      <c r="C4" s="390"/>
      <c r="D4" s="622">
        <f t="shared" ref="D4:D6" si="0">B4+C4</f>
        <v>48000</v>
      </c>
    </row>
    <row r="5" spans="1:4" x14ac:dyDescent="0.2">
      <c r="A5" s="532" t="s">
        <v>516</v>
      </c>
      <c r="B5" s="390">
        <v>53000</v>
      </c>
      <c r="C5" s="390"/>
      <c r="D5" s="622">
        <f t="shared" si="0"/>
        <v>53000</v>
      </c>
    </row>
    <row r="6" spans="1:4" x14ac:dyDescent="0.2">
      <c r="A6" s="532" t="s">
        <v>517</v>
      </c>
      <c r="B6" s="390">
        <v>141000</v>
      </c>
      <c r="C6" s="390"/>
      <c r="D6" s="622">
        <f t="shared" si="0"/>
        <v>141000</v>
      </c>
    </row>
    <row r="7" spans="1:4" x14ac:dyDescent="0.2">
      <c r="A7" s="533" t="s">
        <v>518</v>
      </c>
      <c r="B7" s="396">
        <f>SUM(B3:B6)</f>
        <v>267000</v>
      </c>
      <c r="C7" s="396">
        <f>SUM(C3:C6)</f>
        <v>0</v>
      </c>
      <c r="D7" s="996">
        <f>SUM(D3:D6)</f>
        <v>267000</v>
      </c>
    </row>
    <row r="8" spans="1:4" x14ac:dyDescent="0.2">
      <c r="A8" s="532"/>
      <c r="B8" s="388"/>
      <c r="C8" s="390"/>
      <c r="D8" s="622">
        <f t="shared" ref="D8:D22" si="1">+C8+B8</f>
        <v>0</v>
      </c>
    </row>
    <row r="9" spans="1:4" x14ac:dyDescent="0.2">
      <c r="A9" s="532" t="s">
        <v>519</v>
      </c>
      <c r="B9" s="388">
        <v>19000</v>
      </c>
      <c r="C9" s="390"/>
      <c r="D9" s="622">
        <f>B9+C9</f>
        <v>19000</v>
      </c>
    </row>
    <row r="10" spans="1:4" x14ac:dyDescent="0.2">
      <c r="A10" s="533" t="s">
        <v>520</v>
      </c>
      <c r="B10" s="396">
        <f>+B9</f>
        <v>19000</v>
      </c>
      <c r="C10" s="396">
        <f t="shared" ref="C10:D10" si="2">+C9</f>
        <v>0</v>
      </c>
      <c r="D10" s="996">
        <f t="shared" si="2"/>
        <v>19000</v>
      </c>
    </row>
    <row r="11" spans="1:4" x14ac:dyDescent="0.2">
      <c r="A11" s="532"/>
      <c r="B11" s="388"/>
      <c r="C11" s="390"/>
      <c r="D11" s="622">
        <f t="shared" si="1"/>
        <v>0</v>
      </c>
    </row>
    <row r="12" spans="1:4" x14ac:dyDescent="0.2">
      <c r="A12" s="532" t="s">
        <v>531</v>
      </c>
      <c r="B12" s="428">
        <v>3500</v>
      </c>
      <c r="C12" s="390"/>
      <c r="D12" s="622">
        <f>B12+C12</f>
        <v>3500</v>
      </c>
    </row>
    <row r="13" spans="1:4" ht="13.5" customHeight="1" x14ac:dyDescent="0.2">
      <c r="A13" s="532" t="s">
        <v>521</v>
      </c>
      <c r="B13" s="388">
        <v>3000</v>
      </c>
      <c r="C13" s="390"/>
      <c r="D13" s="622">
        <f>B13+C13</f>
        <v>3000</v>
      </c>
    </row>
    <row r="14" spans="1:4" ht="13.5" customHeight="1" x14ac:dyDescent="0.2">
      <c r="A14" s="532" t="s">
        <v>944</v>
      </c>
      <c r="B14" s="388">
        <v>4500</v>
      </c>
      <c r="C14" s="390"/>
      <c r="D14" s="622">
        <f>B14+C14</f>
        <v>4500</v>
      </c>
    </row>
    <row r="15" spans="1:4" ht="13.5" customHeight="1" x14ac:dyDescent="0.2">
      <c r="A15" s="532" t="s">
        <v>945</v>
      </c>
      <c r="B15" s="388">
        <v>1459</v>
      </c>
      <c r="C15" s="390"/>
      <c r="D15" s="622">
        <f t="shared" si="1"/>
        <v>1459</v>
      </c>
    </row>
    <row r="16" spans="1:4" x14ac:dyDescent="0.2">
      <c r="A16" s="533" t="s">
        <v>522</v>
      </c>
      <c r="B16" s="396">
        <f>SUM(B12:B15)</f>
        <v>12459</v>
      </c>
      <c r="C16" s="396">
        <f>SUM(C12:C15)</f>
        <v>0</v>
      </c>
      <c r="D16" s="996">
        <f t="shared" ref="D16" si="3">SUM(D12:D15)</f>
        <v>12459</v>
      </c>
    </row>
    <row r="17" spans="1:4" x14ac:dyDescent="0.2">
      <c r="A17" s="532"/>
      <c r="B17" s="391"/>
      <c r="C17" s="390"/>
      <c r="D17" s="622">
        <f t="shared" si="1"/>
        <v>0</v>
      </c>
    </row>
    <row r="18" spans="1:4" x14ac:dyDescent="0.2">
      <c r="A18" s="532" t="s">
        <v>655</v>
      </c>
      <c r="B18" s="390"/>
      <c r="C18" s="390"/>
      <c r="D18" s="622">
        <f t="shared" si="1"/>
        <v>0</v>
      </c>
    </row>
    <row r="19" spans="1:4" x14ac:dyDescent="0.2">
      <c r="A19" s="532" t="s">
        <v>687</v>
      </c>
      <c r="B19" s="390"/>
      <c r="C19" s="390"/>
      <c r="D19" s="622">
        <f t="shared" si="1"/>
        <v>0</v>
      </c>
    </row>
    <row r="20" spans="1:4" x14ac:dyDescent="0.2">
      <c r="A20" s="532" t="s">
        <v>656</v>
      </c>
      <c r="B20" s="390"/>
      <c r="C20" s="390"/>
      <c r="D20" s="622">
        <f t="shared" si="1"/>
        <v>0</v>
      </c>
    </row>
    <row r="21" spans="1:4" x14ac:dyDescent="0.2">
      <c r="A21" s="532" t="s">
        <v>658</v>
      </c>
      <c r="B21" s="390"/>
      <c r="C21" s="390"/>
      <c r="D21" s="622">
        <f t="shared" si="1"/>
        <v>0</v>
      </c>
    </row>
    <row r="22" spans="1:4" x14ac:dyDescent="0.2">
      <c r="A22" s="533" t="s">
        <v>654</v>
      </c>
      <c r="B22" s="396">
        <f>SUM(B18:B21)</f>
        <v>0</v>
      </c>
      <c r="C22" s="396">
        <f>SUM(C18:C21)</f>
        <v>0</v>
      </c>
      <c r="D22" s="623">
        <f t="shared" si="1"/>
        <v>0</v>
      </c>
    </row>
    <row r="23" spans="1:4" x14ac:dyDescent="0.2">
      <c r="A23" s="532"/>
      <c r="B23" s="396"/>
      <c r="C23" s="397"/>
      <c r="D23" s="623"/>
    </row>
    <row r="24" spans="1:4" ht="13.5" thickBot="1" x14ac:dyDescent="0.25">
      <c r="A24" s="534" t="s">
        <v>523</v>
      </c>
      <c r="B24" s="393">
        <f>+B16+B10+B7+B22</f>
        <v>298459</v>
      </c>
      <c r="C24" s="393">
        <f>+C16+C10+C7+C22</f>
        <v>0</v>
      </c>
      <c r="D24" s="624">
        <f>+C24+B24</f>
        <v>298459</v>
      </c>
    </row>
    <row r="25" spans="1:4" x14ac:dyDescent="0.2">
      <c r="D25" s="398"/>
    </row>
    <row r="26" spans="1:4" x14ac:dyDescent="0.2">
      <c r="D26" s="398"/>
    </row>
    <row r="27" spans="1:4" x14ac:dyDescent="0.2">
      <c r="D27" s="398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
közhatalmi bevételeinek részletezése    &amp;R&amp;"Times New Roman,Félkövér"&amp;12 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28" zoomScale="90" zoomScaleNormal="90" zoomScalePageLayoutView="70" workbookViewId="0">
      <selection activeCell="C26" sqref="C26"/>
    </sheetView>
  </sheetViews>
  <sheetFormatPr defaultColWidth="9.140625" defaultRowHeight="12.75" x14ac:dyDescent="0.25"/>
  <cols>
    <col min="1" max="1" width="51.42578125" style="319" bestFit="1" customWidth="1"/>
    <col min="2" max="2" width="14.42578125" style="321" customWidth="1"/>
    <col min="3" max="3" width="12.7109375" style="321" customWidth="1"/>
    <col min="4" max="4" width="14.140625" style="321" customWidth="1"/>
    <col min="5" max="7" width="14.28515625" style="319" customWidth="1"/>
    <col min="8" max="10" width="14.28515625" style="320" customWidth="1"/>
    <col min="11" max="16384" width="9.140625" style="319"/>
  </cols>
  <sheetData>
    <row r="1" spans="1:10" ht="53.25" customHeight="1" x14ac:dyDescent="0.25">
      <c r="A1" s="1132" t="s">
        <v>532</v>
      </c>
      <c r="B1" s="1134" t="s">
        <v>597</v>
      </c>
      <c r="C1" s="1134"/>
      <c r="D1" s="1135"/>
      <c r="E1" s="1134" t="s">
        <v>598</v>
      </c>
      <c r="F1" s="1134"/>
      <c r="G1" s="1134"/>
      <c r="H1" s="1136" t="s">
        <v>913</v>
      </c>
      <c r="I1" s="1136" t="s">
        <v>848</v>
      </c>
      <c r="J1" s="1138" t="s">
        <v>951</v>
      </c>
    </row>
    <row r="2" spans="1:10" s="320" customFormat="1" ht="55.9" customHeight="1" x14ac:dyDescent="0.25">
      <c r="A2" s="1133"/>
      <c r="B2" s="325" t="s">
        <v>913</v>
      </c>
      <c r="C2" s="325" t="s">
        <v>848</v>
      </c>
      <c r="D2" s="325" t="s">
        <v>951</v>
      </c>
      <c r="E2" s="325" t="s">
        <v>913</v>
      </c>
      <c r="F2" s="325" t="s">
        <v>848</v>
      </c>
      <c r="G2" s="325" t="s">
        <v>951</v>
      </c>
      <c r="H2" s="1137" t="s">
        <v>878</v>
      </c>
      <c r="I2" s="1137" t="s">
        <v>879</v>
      </c>
      <c r="J2" s="1139" t="s">
        <v>880</v>
      </c>
    </row>
    <row r="3" spans="1:10" ht="16.5" customHeight="1" x14ac:dyDescent="0.25">
      <c r="A3" s="326" t="s">
        <v>533</v>
      </c>
      <c r="B3" s="583">
        <v>101034800</v>
      </c>
      <c r="C3" s="583"/>
      <c r="D3" s="583">
        <f>B3+C3</f>
        <v>101034800</v>
      </c>
      <c r="E3" s="328">
        <v>0</v>
      </c>
      <c r="F3" s="328"/>
      <c r="G3" s="328">
        <f>+F3+E3</f>
        <v>0</v>
      </c>
      <c r="H3" s="432">
        <f>+B3+E3</f>
        <v>101034800</v>
      </c>
      <c r="I3" s="432">
        <f t="shared" ref="I3:J3" si="0">+C3+F3</f>
        <v>0</v>
      </c>
      <c r="J3" s="432">
        <f t="shared" si="0"/>
        <v>101034800</v>
      </c>
    </row>
    <row r="4" spans="1:10" ht="16.5" customHeight="1" x14ac:dyDescent="0.25">
      <c r="A4" s="329" t="s">
        <v>534</v>
      </c>
      <c r="B4" s="330">
        <v>25369152</v>
      </c>
      <c r="C4" s="330"/>
      <c r="D4" s="583">
        <f t="shared" ref="D4:D15" si="1">B4+C4</f>
        <v>25369152</v>
      </c>
      <c r="E4" s="331">
        <v>0</v>
      </c>
      <c r="F4" s="331"/>
      <c r="G4" s="331">
        <f t="shared" ref="G4:G50" si="2">+F4+E4</f>
        <v>0</v>
      </c>
      <c r="H4" s="432">
        <f t="shared" ref="H4:H52" si="3">+B4+E4</f>
        <v>25369152</v>
      </c>
      <c r="I4" s="432">
        <f t="shared" ref="I4:I52" si="4">+C4+F4</f>
        <v>0</v>
      </c>
      <c r="J4" s="432">
        <f t="shared" ref="J4:J52" si="5">+D4+G4</f>
        <v>25369152</v>
      </c>
    </row>
    <row r="5" spans="1:10" s="357" customFormat="1" ht="16.5" customHeight="1" x14ac:dyDescent="0.25">
      <c r="A5" s="354" t="s">
        <v>560</v>
      </c>
      <c r="B5" s="355">
        <v>7909810</v>
      </c>
      <c r="C5" s="355"/>
      <c r="D5" s="583">
        <f t="shared" si="1"/>
        <v>7909810</v>
      </c>
      <c r="E5" s="356">
        <v>0</v>
      </c>
      <c r="F5" s="356"/>
      <c r="G5" s="356">
        <f t="shared" si="2"/>
        <v>0</v>
      </c>
      <c r="H5" s="432">
        <f t="shared" si="3"/>
        <v>7909810</v>
      </c>
      <c r="I5" s="432">
        <f t="shared" si="4"/>
        <v>0</v>
      </c>
      <c r="J5" s="432">
        <f t="shared" si="5"/>
        <v>7909810</v>
      </c>
    </row>
    <row r="6" spans="1:10" s="357" customFormat="1" ht="16.5" customHeight="1" x14ac:dyDescent="0.25">
      <c r="A6" s="354" t="s">
        <v>562</v>
      </c>
      <c r="B6" s="355">
        <v>10880000</v>
      </c>
      <c r="C6" s="355"/>
      <c r="D6" s="583">
        <f t="shared" si="1"/>
        <v>10880000</v>
      </c>
      <c r="E6" s="356">
        <v>0</v>
      </c>
      <c r="F6" s="356"/>
      <c r="G6" s="356">
        <f t="shared" si="2"/>
        <v>0</v>
      </c>
      <c r="H6" s="432">
        <f t="shared" si="3"/>
        <v>10880000</v>
      </c>
      <c r="I6" s="432">
        <f t="shared" si="4"/>
        <v>0</v>
      </c>
      <c r="J6" s="432">
        <f t="shared" si="5"/>
        <v>10880000</v>
      </c>
    </row>
    <row r="7" spans="1:10" s="357" customFormat="1" ht="16.5" customHeight="1" x14ac:dyDescent="0.25">
      <c r="A7" s="354" t="s">
        <v>563</v>
      </c>
      <c r="B7" s="355">
        <v>1539942</v>
      </c>
      <c r="C7" s="355"/>
      <c r="D7" s="583">
        <f t="shared" si="1"/>
        <v>1539942</v>
      </c>
      <c r="E7" s="356">
        <v>0</v>
      </c>
      <c r="F7" s="356"/>
      <c r="G7" s="356">
        <f t="shared" si="2"/>
        <v>0</v>
      </c>
      <c r="H7" s="432">
        <f t="shared" si="3"/>
        <v>1539942</v>
      </c>
      <c r="I7" s="432">
        <f t="shared" si="4"/>
        <v>0</v>
      </c>
      <c r="J7" s="432">
        <f t="shared" si="5"/>
        <v>1539942</v>
      </c>
    </row>
    <row r="8" spans="1:10" s="357" customFormat="1" ht="16.5" customHeight="1" x14ac:dyDescent="0.25">
      <c r="A8" s="354" t="s">
        <v>561</v>
      </c>
      <c r="B8" s="355">
        <v>5039400</v>
      </c>
      <c r="C8" s="355"/>
      <c r="D8" s="583">
        <f t="shared" si="1"/>
        <v>5039400</v>
      </c>
      <c r="E8" s="356">
        <v>0</v>
      </c>
      <c r="F8" s="356"/>
      <c r="G8" s="356">
        <f t="shared" si="2"/>
        <v>0</v>
      </c>
      <c r="H8" s="432">
        <f t="shared" si="3"/>
        <v>5039400</v>
      </c>
      <c r="I8" s="432">
        <f t="shared" si="4"/>
        <v>0</v>
      </c>
      <c r="J8" s="432">
        <f t="shared" si="5"/>
        <v>5039400</v>
      </c>
    </row>
    <row r="9" spans="1:10" ht="26.25" customHeight="1" x14ac:dyDescent="0.25">
      <c r="A9" s="458" t="s">
        <v>535</v>
      </c>
      <c r="B9" s="459">
        <v>15541200</v>
      </c>
      <c r="C9" s="459"/>
      <c r="D9" s="583">
        <f t="shared" si="1"/>
        <v>15541200</v>
      </c>
      <c r="E9" s="460">
        <v>0</v>
      </c>
      <c r="F9" s="460"/>
      <c r="G9" s="460">
        <f t="shared" si="2"/>
        <v>0</v>
      </c>
      <c r="H9" s="538">
        <f t="shared" si="3"/>
        <v>15541200</v>
      </c>
      <c r="I9" s="538">
        <f t="shared" si="4"/>
        <v>0</v>
      </c>
      <c r="J9" s="538">
        <f t="shared" si="5"/>
        <v>15541200</v>
      </c>
    </row>
    <row r="10" spans="1:10" ht="16.5" customHeight="1" x14ac:dyDescent="0.25">
      <c r="A10" s="332" t="s">
        <v>536</v>
      </c>
      <c r="B10" s="333">
        <v>-22203982</v>
      </c>
      <c r="C10" s="333"/>
      <c r="D10" s="947">
        <f t="shared" si="1"/>
        <v>-22203982</v>
      </c>
      <c r="E10" s="334">
        <v>0</v>
      </c>
      <c r="F10" s="334"/>
      <c r="G10" s="334">
        <f t="shared" si="2"/>
        <v>0</v>
      </c>
      <c r="H10" s="539">
        <f t="shared" si="3"/>
        <v>-22203982</v>
      </c>
      <c r="I10" s="539">
        <f t="shared" si="4"/>
        <v>0</v>
      </c>
      <c r="J10" s="539">
        <f t="shared" si="5"/>
        <v>-22203982</v>
      </c>
    </row>
    <row r="11" spans="1:10" s="320" customFormat="1" ht="16.5" customHeight="1" x14ac:dyDescent="0.25">
      <c r="A11" s="335" t="s">
        <v>551</v>
      </c>
      <c r="B11" s="336">
        <v>0</v>
      </c>
      <c r="C11" s="336"/>
      <c r="D11" s="871">
        <f t="shared" si="1"/>
        <v>0</v>
      </c>
      <c r="E11" s="337">
        <v>0</v>
      </c>
      <c r="F11" s="337"/>
      <c r="G11" s="337">
        <f t="shared" si="2"/>
        <v>0</v>
      </c>
      <c r="H11" s="880">
        <f t="shared" si="3"/>
        <v>0</v>
      </c>
      <c r="I11" s="539">
        <f t="shared" si="4"/>
        <v>0</v>
      </c>
      <c r="J11" s="881">
        <f t="shared" si="5"/>
        <v>0</v>
      </c>
    </row>
    <row r="12" spans="1:10" s="320" customFormat="1" ht="16.5" customHeight="1" x14ac:dyDescent="0.25">
      <c r="A12" s="439" t="s">
        <v>552</v>
      </c>
      <c r="B12" s="440">
        <v>905250</v>
      </c>
      <c r="C12" s="440"/>
      <c r="D12" s="871">
        <f t="shared" si="1"/>
        <v>905250</v>
      </c>
      <c r="E12" s="441">
        <v>0</v>
      </c>
      <c r="F12" s="441"/>
      <c r="G12" s="441">
        <f t="shared" si="2"/>
        <v>0</v>
      </c>
      <c r="H12" s="880">
        <f t="shared" si="3"/>
        <v>905250</v>
      </c>
      <c r="I12" s="539">
        <f t="shared" si="4"/>
        <v>0</v>
      </c>
      <c r="J12" s="881">
        <f t="shared" si="5"/>
        <v>905250</v>
      </c>
    </row>
    <row r="13" spans="1:10" s="320" customFormat="1" ht="16.5" customHeight="1" x14ac:dyDescent="0.25">
      <c r="A13" s="439" t="s">
        <v>553</v>
      </c>
      <c r="B13" s="440">
        <v>245324</v>
      </c>
      <c r="C13" s="440">
        <v>74376</v>
      </c>
      <c r="D13" s="871">
        <f t="shared" si="1"/>
        <v>319700</v>
      </c>
      <c r="E13" s="441">
        <v>588432</v>
      </c>
      <c r="F13" s="441">
        <f>59338+59336+59338</f>
        <v>178012</v>
      </c>
      <c r="G13" s="441">
        <f t="shared" si="2"/>
        <v>766444</v>
      </c>
      <c r="H13" s="880">
        <f t="shared" si="3"/>
        <v>833756</v>
      </c>
      <c r="I13" s="539">
        <f t="shared" si="4"/>
        <v>252388</v>
      </c>
      <c r="J13" s="881">
        <f t="shared" si="5"/>
        <v>1086144</v>
      </c>
    </row>
    <row r="14" spans="1:10" s="320" customFormat="1" ht="16.5" customHeight="1" x14ac:dyDescent="0.25">
      <c r="A14" s="439" t="s">
        <v>714</v>
      </c>
      <c r="B14" s="440">
        <v>1681600</v>
      </c>
      <c r="C14" s="440"/>
      <c r="D14" s="1044">
        <f t="shared" si="1"/>
        <v>1681600</v>
      </c>
      <c r="E14" s="441"/>
      <c r="F14" s="441"/>
      <c r="G14" s="441">
        <f t="shared" si="2"/>
        <v>0</v>
      </c>
      <c r="H14" s="1049">
        <f t="shared" si="3"/>
        <v>1681600</v>
      </c>
      <c r="I14" s="1049">
        <f t="shared" si="4"/>
        <v>0</v>
      </c>
      <c r="J14" s="1049">
        <f t="shared" si="5"/>
        <v>1681600</v>
      </c>
    </row>
    <row r="15" spans="1:10" s="320" customFormat="1" ht="16.5" customHeight="1" thickBot="1" x14ac:dyDescent="0.3">
      <c r="A15" s="588" t="s">
        <v>938</v>
      </c>
      <c r="B15" s="589">
        <v>2868000</v>
      </c>
      <c r="C15" s="589"/>
      <c r="D15" s="882">
        <f t="shared" si="1"/>
        <v>2868000</v>
      </c>
      <c r="E15" s="589"/>
      <c r="F15" s="589"/>
      <c r="G15" s="1050">
        <f t="shared" si="2"/>
        <v>0</v>
      </c>
      <c r="H15" s="1049">
        <f t="shared" ref="H15" si="6">+B15+E15</f>
        <v>2868000</v>
      </c>
      <c r="I15" s="1049">
        <f t="shared" ref="I15" si="7">+C15+F15</f>
        <v>0</v>
      </c>
      <c r="J15" s="1049">
        <f t="shared" si="5"/>
        <v>2868000</v>
      </c>
    </row>
    <row r="16" spans="1:10" s="320" customFormat="1" ht="13.5" thickBot="1" x14ac:dyDescent="0.3">
      <c r="A16" s="434" t="s">
        <v>538</v>
      </c>
      <c r="B16" s="582">
        <f>+B3+B4+B9+B10+B11+B12+B14+B13+B15</f>
        <v>125441344</v>
      </c>
      <c r="C16" s="582">
        <f>+C3+C4+C9+C10+C11+C12+C14+C13+C15</f>
        <v>74376</v>
      </c>
      <c r="D16" s="879">
        <f>+C16+B16</f>
        <v>125515720</v>
      </c>
      <c r="E16" s="353">
        <f>+E3+E4+E9+E10+E11+E12+E13+E15</f>
        <v>588432</v>
      </c>
      <c r="F16" s="353">
        <f>+F3+F4+F9+F10+F11+F12+F13+F15</f>
        <v>178012</v>
      </c>
      <c r="G16" s="353">
        <f t="shared" si="2"/>
        <v>766444</v>
      </c>
      <c r="H16" s="582">
        <f t="shared" si="3"/>
        <v>126029776</v>
      </c>
      <c r="I16" s="582">
        <f t="shared" si="4"/>
        <v>252388</v>
      </c>
      <c r="J16" s="884">
        <f>+D16+G16</f>
        <v>126282164</v>
      </c>
    </row>
    <row r="17" spans="1:10" ht="16.5" customHeight="1" x14ac:dyDescent="0.25">
      <c r="A17" s="341" t="s">
        <v>858</v>
      </c>
      <c r="B17" s="583">
        <v>63823900</v>
      </c>
      <c r="C17" s="583"/>
      <c r="D17" s="583">
        <f>B17+C17</f>
        <v>63823900</v>
      </c>
      <c r="E17" s="328"/>
      <c r="F17" s="328"/>
      <c r="G17" s="328">
        <f t="shared" si="2"/>
        <v>0</v>
      </c>
      <c r="H17" s="432">
        <f t="shared" si="3"/>
        <v>63823900</v>
      </c>
      <c r="I17" s="432">
        <f t="shared" si="4"/>
        <v>0</v>
      </c>
      <c r="J17" s="432">
        <f t="shared" si="5"/>
        <v>63823900</v>
      </c>
    </row>
    <row r="18" spans="1:10" ht="16.5" customHeight="1" x14ac:dyDescent="0.25">
      <c r="A18" s="342" t="s">
        <v>859</v>
      </c>
      <c r="B18" s="584">
        <v>31037650</v>
      </c>
      <c r="C18" s="584">
        <v>-582867</v>
      </c>
      <c r="D18" s="583">
        <f>B18+C18</f>
        <v>30454783</v>
      </c>
      <c r="E18" s="334"/>
      <c r="F18" s="334"/>
      <c r="G18" s="334">
        <f t="shared" si="2"/>
        <v>0</v>
      </c>
      <c r="H18" s="433">
        <f t="shared" si="3"/>
        <v>31037650</v>
      </c>
      <c r="I18" s="433">
        <f t="shared" si="4"/>
        <v>-582867</v>
      </c>
      <c r="J18" s="433">
        <f t="shared" si="5"/>
        <v>30454783</v>
      </c>
    </row>
    <row r="19" spans="1:10" s="320" customFormat="1" ht="16.5" customHeight="1" x14ac:dyDescent="0.25">
      <c r="A19" s="452" t="s">
        <v>539</v>
      </c>
      <c r="B19" s="537">
        <f>SUM(B17:B18)</f>
        <v>94861550</v>
      </c>
      <c r="C19" s="537">
        <f>SUM(C17:C18)</f>
        <v>-582867</v>
      </c>
      <c r="D19" s="537">
        <f t="shared" ref="D19:D44" si="8">+C19+B19</f>
        <v>94278683</v>
      </c>
      <c r="E19" s="339">
        <f t="shared" ref="E19" si="9">SUM(E17:E18)</f>
        <v>0</v>
      </c>
      <c r="F19" s="339"/>
      <c r="G19" s="339">
        <f t="shared" si="2"/>
        <v>0</v>
      </c>
      <c r="H19" s="539">
        <f t="shared" si="3"/>
        <v>94861550</v>
      </c>
      <c r="I19" s="539">
        <f t="shared" si="4"/>
        <v>-582867</v>
      </c>
      <c r="J19" s="539">
        <f t="shared" si="5"/>
        <v>94278683</v>
      </c>
    </row>
    <row r="20" spans="1:10" s="320" customFormat="1" ht="16.5" customHeight="1" x14ac:dyDescent="0.25">
      <c r="A20" s="452" t="s">
        <v>540</v>
      </c>
      <c r="B20" s="537"/>
      <c r="C20" s="537"/>
      <c r="D20" s="537"/>
      <c r="E20" s="340"/>
      <c r="F20" s="340"/>
      <c r="G20" s="340">
        <f t="shared" si="2"/>
        <v>0</v>
      </c>
      <c r="H20" s="539">
        <f t="shared" si="3"/>
        <v>0</v>
      </c>
      <c r="I20" s="539">
        <f t="shared" si="4"/>
        <v>0</v>
      </c>
      <c r="J20" s="539">
        <f t="shared" si="5"/>
        <v>0</v>
      </c>
    </row>
    <row r="21" spans="1:10" s="320" customFormat="1" ht="33.75" customHeight="1" x14ac:dyDescent="0.25">
      <c r="A21" s="457" t="s">
        <v>556</v>
      </c>
      <c r="B21" s="537">
        <v>3129424</v>
      </c>
      <c r="C21" s="537"/>
      <c r="D21" s="537">
        <f t="shared" ref="D21:D23" si="10">+C21+B21</f>
        <v>3129424</v>
      </c>
      <c r="E21" s="340"/>
      <c r="F21" s="340"/>
      <c r="G21" s="340">
        <f t="shared" si="2"/>
        <v>0</v>
      </c>
      <c r="H21" s="539">
        <f t="shared" si="3"/>
        <v>3129424</v>
      </c>
      <c r="I21" s="539">
        <f t="shared" si="4"/>
        <v>0</v>
      </c>
      <c r="J21" s="539">
        <f t="shared" si="5"/>
        <v>3129424</v>
      </c>
    </row>
    <row r="22" spans="1:10" ht="16.5" customHeight="1" x14ac:dyDescent="0.25">
      <c r="A22" s="341" t="s">
        <v>860</v>
      </c>
      <c r="B22" s="583">
        <v>20580000</v>
      </c>
      <c r="C22" s="583"/>
      <c r="D22" s="871">
        <f t="shared" si="10"/>
        <v>20580000</v>
      </c>
      <c r="E22" s="328"/>
      <c r="F22" s="328"/>
      <c r="G22" s="328">
        <f t="shared" si="2"/>
        <v>0</v>
      </c>
      <c r="H22" s="432">
        <f t="shared" si="3"/>
        <v>20580000</v>
      </c>
      <c r="I22" s="432">
        <f t="shared" si="4"/>
        <v>0</v>
      </c>
      <c r="J22" s="432">
        <f t="shared" si="5"/>
        <v>20580000</v>
      </c>
    </row>
    <row r="23" spans="1:10" ht="16.5" customHeight="1" x14ac:dyDescent="0.25">
      <c r="A23" s="342" t="s">
        <v>859</v>
      </c>
      <c r="B23" s="584">
        <v>10290000</v>
      </c>
      <c r="C23" s="584"/>
      <c r="D23" s="871">
        <f t="shared" si="10"/>
        <v>10290000</v>
      </c>
      <c r="E23" s="334"/>
      <c r="F23" s="334"/>
      <c r="G23" s="334">
        <f t="shared" si="2"/>
        <v>0</v>
      </c>
      <c r="H23" s="433">
        <f t="shared" si="3"/>
        <v>10290000</v>
      </c>
      <c r="I23" s="433">
        <f t="shared" si="4"/>
        <v>0</v>
      </c>
      <c r="J23" s="433">
        <f t="shared" si="5"/>
        <v>10290000</v>
      </c>
    </row>
    <row r="24" spans="1:10" s="320" customFormat="1" ht="29.25" customHeight="1" x14ac:dyDescent="0.25">
      <c r="A24" s="453" t="s">
        <v>683</v>
      </c>
      <c r="B24" s="537">
        <f>SUM(B22:B23)</f>
        <v>30870000</v>
      </c>
      <c r="C24" s="537">
        <f>SUM(C22:C23)</f>
        <v>0</v>
      </c>
      <c r="D24" s="537">
        <f t="shared" si="8"/>
        <v>30870000</v>
      </c>
      <c r="E24" s="340">
        <f t="shared" ref="E24" si="11">SUM(E22:E23)</f>
        <v>0</v>
      </c>
      <c r="F24" s="340"/>
      <c r="G24" s="340">
        <f t="shared" si="2"/>
        <v>0</v>
      </c>
      <c r="H24" s="539">
        <f t="shared" si="3"/>
        <v>30870000</v>
      </c>
      <c r="I24" s="539">
        <f t="shared" si="4"/>
        <v>0</v>
      </c>
      <c r="J24" s="539">
        <f t="shared" si="5"/>
        <v>30870000</v>
      </c>
    </row>
    <row r="25" spans="1:10" ht="16.5" customHeight="1" x14ac:dyDescent="0.25">
      <c r="A25" s="341" t="s">
        <v>860</v>
      </c>
      <c r="B25" s="583">
        <v>15584000</v>
      </c>
      <c r="C25" s="583"/>
      <c r="D25" s="583">
        <f>B25+C25</f>
        <v>15584000</v>
      </c>
      <c r="E25" s="328"/>
      <c r="F25" s="328"/>
      <c r="G25" s="328">
        <f t="shared" si="2"/>
        <v>0</v>
      </c>
      <c r="H25" s="432">
        <f t="shared" si="3"/>
        <v>15584000</v>
      </c>
      <c r="I25" s="432">
        <f t="shared" si="4"/>
        <v>0</v>
      </c>
      <c r="J25" s="432">
        <f t="shared" si="5"/>
        <v>15584000</v>
      </c>
    </row>
    <row r="26" spans="1:10" ht="16.5" customHeight="1" x14ac:dyDescent="0.25">
      <c r="A26" s="342" t="s">
        <v>859</v>
      </c>
      <c r="B26" s="583">
        <v>7759533</v>
      </c>
      <c r="C26" s="584">
        <v>-194800</v>
      </c>
      <c r="D26" s="583">
        <f>B26+C26</f>
        <v>7564733</v>
      </c>
      <c r="E26" s="334"/>
      <c r="F26" s="334"/>
      <c r="G26" s="334">
        <f t="shared" si="2"/>
        <v>0</v>
      </c>
      <c r="H26" s="433">
        <f t="shared" si="3"/>
        <v>7759533</v>
      </c>
      <c r="I26" s="433">
        <f t="shared" si="4"/>
        <v>-194800</v>
      </c>
      <c r="J26" s="433">
        <f t="shared" si="5"/>
        <v>7564733</v>
      </c>
    </row>
    <row r="27" spans="1:10" s="320" customFormat="1" ht="16.5" customHeight="1" x14ac:dyDescent="0.25">
      <c r="A27" s="452" t="s">
        <v>541</v>
      </c>
      <c r="B27" s="537">
        <f t="shared" ref="B27:C27" si="12">+B25+B26</f>
        <v>23343533</v>
      </c>
      <c r="C27" s="537">
        <f t="shared" si="12"/>
        <v>-194800</v>
      </c>
      <c r="D27" s="537">
        <f t="shared" si="8"/>
        <v>23148733</v>
      </c>
      <c r="E27" s="340">
        <f t="shared" ref="E27" si="13">+E25+E26</f>
        <v>0</v>
      </c>
      <c r="F27" s="340"/>
      <c r="G27" s="340">
        <f t="shared" si="2"/>
        <v>0</v>
      </c>
      <c r="H27" s="539">
        <f t="shared" si="3"/>
        <v>23343533</v>
      </c>
      <c r="I27" s="539">
        <f t="shared" si="4"/>
        <v>-194800</v>
      </c>
      <c r="J27" s="539">
        <f t="shared" si="5"/>
        <v>23148733</v>
      </c>
    </row>
    <row r="28" spans="1:10" s="320" customFormat="1" ht="16.5" customHeight="1" x14ac:dyDescent="0.25">
      <c r="A28" s="350" t="s">
        <v>939</v>
      </c>
      <c r="B28" s="537">
        <v>2730000</v>
      </c>
      <c r="C28" s="871"/>
      <c r="D28" s="871">
        <f t="shared" ref="D28" si="14">B28+C28</f>
        <v>2730000</v>
      </c>
      <c r="E28" s="340"/>
      <c r="F28" s="340"/>
      <c r="G28" s="340"/>
      <c r="H28" s="539">
        <f t="shared" si="3"/>
        <v>2730000</v>
      </c>
      <c r="I28" s="539">
        <f t="shared" si="4"/>
        <v>0</v>
      </c>
      <c r="J28" s="539">
        <f t="shared" ref="J28" si="15">+D28+G28</f>
        <v>2730000</v>
      </c>
    </row>
    <row r="29" spans="1:10" ht="16.5" customHeight="1" x14ac:dyDescent="0.25">
      <c r="A29" s="341" t="s">
        <v>542</v>
      </c>
      <c r="B29" s="583">
        <v>30723000</v>
      </c>
      <c r="C29" s="583">
        <v>76000</v>
      </c>
      <c r="D29" s="1045">
        <f>B29+C29</f>
        <v>30799000</v>
      </c>
      <c r="E29" s="328"/>
      <c r="F29" s="328"/>
      <c r="G29" s="328">
        <f t="shared" si="2"/>
        <v>0</v>
      </c>
      <c r="H29" s="432">
        <f t="shared" si="3"/>
        <v>30723000</v>
      </c>
      <c r="I29" s="432">
        <f t="shared" si="4"/>
        <v>76000</v>
      </c>
      <c r="J29" s="432">
        <f t="shared" si="5"/>
        <v>30799000</v>
      </c>
    </row>
    <row r="30" spans="1:10" ht="16.5" customHeight="1" x14ac:dyDescent="0.25">
      <c r="A30" s="1052" t="s">
        <v>543</v>
      </c>
      <c r="B30" s="584">
        <v>36141117</v>
      </c>
      <c r="C30" s="584">
        <f>3497711+2565150</f>
        <v>6062861</v>
      </c>
      <c r="D30" s="584">
        <f>B30+C30</f>
        <v>42203978</v>
      </c>
      <c r="E30" s="334"/>
      <c r="F30" s="334"/>
      <c r="G30" s="334">
        <f t="shared" si="2"/>
        <v>0</v>
      </c>
      <c r="H30" s="433">
        <f t="shared" si="3"/>
        <v>36141117</v>
      </c>
      <c r="I30" s="433">
        <f t="shared" si="4"/>
        <v>6062861</v>
      </c>
      <c r="J30" s="433">
        <f t="shared" si="5"/>
        <v>42203978</v>
      </c>
    </row>
    <row r="31" spans="1:10" ht="16.5" customHeight="1" x14ac:dyDescent="0.25">
      <c r="A31" s="1051" t="s">
        <v>940</v>
      </c>
      <c r="B31" s="871">
        <v>3408000</v>
      </c>
      <c r="C31" s="871"/>
      <c r="D31" s="871">
        <f t="shared" ref="D31" si="16">B31+C31</f>
        <v>3408000</v>
      </c>
      <c r="E31" s="337"/>
      <c r="F31" s="337"/>
      <c r="G31" s="337"/>
      <c r="H31" s="539">
        <f t="shared" ref="H31" si="17">+B31+E31</f>
        <v>3408000</v>
      </c>
      <c r="I31" s="539">
        <f t="shared" ref="I31" si="18">+C31+F31</f>
        <v>0</v>
      </c>
      <c r="J31" s="539">
        <f t="shared" si="5"/>
        <v>3408000</v>
      </c>
    </row>
    <row r="32" spans="1:10" s="320" customFormat="1" ht="16.5" customHeight="1" thickBot="1" x14ac:dyDescent="0.3">
      <c r="A32" s="454" t="s">
        <v>544</v>
      </c>
      <c r="B32" s="586">
        <f>SUM(B29:B31)</f>
        <v>70272117</v>
      </c>
      <c r="C32" s="586">
        <f>SUM(C29:C31)</f>
        <v>6138861</v>
      </c>
      <c r="D32" s="586">
        <f t="shared" si="8"/>
        <v>76410978</v>
      </c>
      <c r="E32" s="455">
        <f t="shared" ref="E32" si="19">SUM(E29:E30)</f>
        <v>0</v>
      </c>
      <c r="F32" s="455"/>
      <c r="G32" s="455">
        <f t="shared" si="2"/>
        <v>0</v>
      </c>
      <c r="H32" s="1053">
        <f t="shared" si="3"/>
        <v>70272117</v>
      </c>
      <c r="I32" s="1053">
        <f t="shared" si="4"/>
        <v>6138861</v>
      </c>
      <c r="J32" s="1053">
        <f t="shared" si="5"/>
        <v>76410978</v>
      </c>
    </row>
    <row r="33" spans="1:10" ht="16.5" customHeight="1" thickBot="1" x14ac:dyDescent="0.3">
      <c r="A33" s="434" t="s">
        <v>545</v>
      </c>
      <c r="B33" s="352">
        <f>+B32+B27+B24+B21+B20+B19+B28</f>
        <v>225206624</v>
      </c>
      <c r="C33" s="352">
        <f t="shared" ref="C33:D33" si="20">+C32+C27+C24+C21+C20+C19+C28</f>
        <v>5361194</v>
      </c>
      <c r="D33" s="352">
        <f t="shared" si="20"/>
        <v>230567818</v>
      </c>
      <c r="E33" s="353">
        <f t="shared" ref="E33" si="21">+E32+E27+E24+E21+E20+E19</f>
        <v>0</v>
      </c>
      <c r="F33" s="353"/>
      <c r="G33" s="353">
        <f t="shared" si="2"/>
        <v>0</v>
      </c>
      <c r="H33" s="435">
        <f t="shared" si="3"/>
        <v>225206624</v>
      </c>
      <c r="I33" s="435">
        <f t="shared" si="4"/>
        <v>5361194</v>
      </c>
      <c r="J33" s="435">
        <f t="shared" si="5"/>
        <v>230567818</v>
      </c>
    </row>
    <row r="34" spans="1:10" ht="16.5" customHeight="1" x14ac:dyDescent="0.25">
      <c r="A34" s="349" t="s">
        <v>603</v>
      </c>
      <c r="B34" s="327"/>
      <c r="C34" s="327"/>
      <c r="D34" s="327">
        <f t="shared" si="8"/>
        <v>0</v>
      </c>
      <c r="E34" s="581">
        <v>17000000</v>
      </c>
      <c r="F34" s="581"/>
      <c r="G34" s="581">
        <f>E34+F34</f>
        <v>17000000</v>
      </c>
      <c r="H34" s="432">
        <f t="shared" si="3"/>
        <v>17000000</v>
      </c>
      <c r="I34" s="432">
        <f t="shared" si="4"/>
        <v>0</v>
      </c>
      <c r="J34" s="432">
        <f t="shared" si="5"/>
        <v>17000000</v>
      </c>
    </row>
    <row r="35" spans="1:10" ht="16.5" customHeight="1" x14ac:dyDescent="0.25">
      <c r="A35" s="349" t="s">
        <v>604</v>
      </c>
      <c r="B35" s="327"/>
      <c r="C35" s="327"/>
      <c r="D35" s="327">
        <f t="shared" si="8"/>
        <v>0</v>
      </c>
      <c r="E35" s="581">
        <v>14190000</v>
      </c>
      <c r="F35" s="581"/>
      <c r="G35" s="581">
        <f t="shared" ref="G35:G43" si="22">E35+F35</f>
        <v>14190000</v>
      </c>
      <c r="H35" s="432">
        <f t="shared" si="3"/>
        <v>14190000</v>
      </c>
      <c r="I35" s="432">
        <f t="shared" si="4"/>
        <v>0</v>
      </c>
      <c r="J35" s="432">
        <f t="shared" si="5"/>
        <v>14190000</v>
      </c>
    </row>
    <row r="36" spans="1:10" ht="16.5" customHeight="1" x14ac:dyDescent="0.25">
      <c r="A36" s="349" t="s">
        <v>605</v>
      </c>
      <c r="B36" s="456"/>
      <c r="C36" s="456"/>
      <c r="D36" s="456">
        <f t="shared" si="8"/>
        <v>0</v>
      </c>
      <c r="E36" s="581">
        <v>548064</v>
      </c>
      <c r="F36" s="581">
        <v>182688</v>
      </c>
      <c r="G36" s="581">
        <f t="shared" si="22"/>
        <v>730752</v>
      </c>
      <c r="H36" s="432">
        <f t="shared" si="3"/>
        <v>548064</v>
      </c>
      <c r="I36" s="432">
        <f t="shared" si="4"/>
        <v>182688</v>
      </c>
      <c r="J36" s="432">
        <f t="shared" si="5"/>
        <v>730752</v>
      </c>
    </row>
    <row r="37" spans="1:10" ht="16.5" customHeight="1" x14ac:dyDescent="0.25">
      <c r="A37" s="329" t="s">
        <v>546</v>
      </c>
      <c r="B37" s="330"/>
      <c r="C37" s="330"/>
      <c r="D37" s="330">
        <f t="shared" si="8"/>
        <v>0</v>
      </c>
      <c r="E37" s="356">
        <v>24907000</v>
      </c>
      <c r="F37" s="356">
        <v>-429000</v>
      </c>
      <c r="G37" s="581">
        <f t="shared" si="22"/>
        <v>24478000</v>
      </c>
      <c r="H37" s="432">
        <f t="shared" si="3"/>
        <v>24907000</v>
      </c>
      <c r="I37" s="432">
        <f t="shared" si="4"/>
        <v>-429000</v>
      </c>
      <c r="J37" s="432">
        <f t="shared" si="5"/>
        <v>24478000</v>
      </c>
    </row>
    <row r="38" spans="1:10" ht="16.5" customHeight="1" x14ac:dyDescent="0.25">
      <c r="A38" s="329" t="s">
        <v>548</v>
      </c>
      <c r="B38" s="330"/>
      <c r="C38" s="330"/>
      <c r="D38" s="330">
        <f t="shared" si="8"/>
        <v>0</v>
      </c>
      <c r="E38" s="331">
        <v>163500</v>
      </c>
      <c r="F38" s="331"/>
      <c r="G38" s="581">
        <f t="shared" si="22"/>
        <v>163500</v>
      </c>
      <c r="H38" s="432">
        <f t="shared" si="3"/>
        <v>163500</v>
      </c>
      <c r="I38" s="432">
        <f t="shared" si="4"/>
        <v>0</v>
      </c>
      <c r="J38" s="432">
        <f t="shared" si="5"/>
        <v>163500</v>
      </c>
    </row>
    <row r="39" spans="1:10" ht="16.5" customHeight="1" x14ac:dyDescent="0.25">
      <c r="A39" s="329" t="s">
        <v>547</v>
      </c>
      <c r="B39" s="330"/>
      <c r="C39" s="330"/>
      <c r="D39" s="330">
        <f t="shared" si="8"/>
        <v>0</v>
      </c>
      <c r="E39" s="331">
        <v>3100000</v>
      </c>
      <c r="F39" s="331"/>
      <c r="G39" s="581">
        <f t="shared" si="22"/>
        <v>3100000</v>
      </c>
      <c r="H39" s="432">
        <f t="shared" si="3"/>
        <v>3100000</v>
      </c>
      <c r="I39" s="432">
        <f t="shared" si="4"/>
        <v>0</v>
      </c>
      <c r="J39" s="432">
        <f t="shared" si="5"/>
        <v>3100000</v>
      </c>
    </row>
    <row r="40" spans="1:10" ht="16.5" customHeight="1" x14ac:dyDescent="0.25">
      <c r="A40" s="329" t="s">
        <v>651</v>
      </c>
      <c r="B40" s="330"/>
      <c r="C40" s="330"/>
      <c r="D40" s="330">
        <f t="shared" si="8"/>
        <v>0</v>
      </c>
      <c r="E40" s="331">
        <v>7020000</v>
      </c>
      <c r="F40" s="331"/>
      <c r="G40" s="581">
        <f t="shared" si="22"/>
        <v>7020000</v>
      </c>
      <c r="H40" s="432">
        <f t="shared" si="3"/>
        <v>7020000</v>
      </c>
      <c r="I40" s="432">
        <f t="shared" si="4"/>
        <v>0</v>
      </c>
      <c r="J40" s="432">
        <f t="shared" si="5"/>
        <v>7020000</v>
      </c>
    </row>
    <row r="41" spans="1:10" ht="16.5" customHeight="1" x14ac:dyDescent="0.25">
      <c r="A41" s="329" t="s">
        <v>606</v>
      </c>
      <c r="B41" s="330"/>
      <c r="C41" s="330"/>
      <c r="D41" s="330">
        <f t="shared" si="8"/>
        <v>0</v>
      </c>
      <c r="E41" s="331">
        <v>10040000</v>
      </c>
      <c r="F41" s="331"/>
      <c r="G41" s="356">
        <f t="shared" si="22"/>
        <v>10040000</v>
      </c>
      <c r="H41" s="883">
        <f t="shared" si="3"/>
        <v>10040000</v>
      </c>
      <c r="I41" s="883">
        <f t="shared" si="4"/>
        <v>0</v>
      </c>
      <c r="J41" s="883">
        <f t="shared" si="5"/>
        <v>10040000</v>
      </c>
    </row>
    <row r="42" spans="1:10" ht="16.5" customHeight="1" x14ac:dyDescent="0.25">
      <c r="A42" s="1054" t="s">
        <v>811</v>
      </c>
      <c r="B42" s="1055"/>
      <c r="C42" s="1055"/>
      <c r="D42" s="1055"/>
      <c r="E42" s="346">
        <v>11525039</v>
      </c>
      <c r="F42" s="346"/>
      <c r="G42" s="1056">
        <f t="shared" ref="G42" si="23">E42+F42</f>
        <v>11525039</v>
      </c>
      <c r="H42" s="1057">
        <f t="shared" ref="H42" si="24">+B42+E42</f>
        <v>11525039</v>
      </c>
      <c r="I42" s="1057">
        <f t="shared" ref="I42:I43" si="25">+C42+F42</f>
        <v>0</v>
      </c>
      <c r="J42" s="1057">
        <f t="shared" ref="J42:J43" si="26">+D42+G42</f>
        <v>11525039</v>
      </c>
    </row>
    <row r="43" spans="1:10" ht="16.5" customHeight="1" x14ac:dyDescent="0.25">
      <c r="A43" s="1051" t="s">
        <v>942</v>
      </c>
      <c r="B43" s="347"/>
      <c r="C43" s="347"/>
      <c r="D43" s="347"/>
      <c r="E43" s="348">
        <v>7575000</v>
      </c>
      <c r="F43" s="348"/>
      <c r="G43" s="581">
        <f t="shared" si="22"/>
        <v>7575000</v>
      </c>
      <c r="H43" s="433">
        <f t="shared" si="3"/>
        <v>7575000</v>
      </c>
      <c r="I43" s="432">
        <f t="shared" si="25"/>
        <v>0</v>
      </c>
      <c r="J43" s="432">
        <f t="shared" si="26"/>
        <v>7575000</v>
      </c>
    </row>
    <row r="44" spans="1:10" s="320" customFormat="1" ht="16.5" customHeight="1" x14ac:dyDescent="0.25">
      <c r="A44" s="350" t="s">
        <v>549</v>
      </c>
      <c r="B44" s="339">
        <v>0</v>
      </c>
      <c r="C44" s="339"/>
      <c r="D44" s="339">
        <f t="shared" si="8"/>
        <v>0</v>
      </c>
      <c r="E44" s="340">
        <f>SUM(E34:E43)</f>
        <v>96068603</v>
      </c>
      <c r="F44" s="340">
        <f>SUM(F34:F43)</f>
        <v>-246312</v>
      </c>
      <c r="G44" s="340">
        <f t="shared" si="2"/>
        <v>95822291</v>
      </c>
      <c r="H44" s="539">
        <f t="shared" si="3"/>
        <v>96068603</v>
      </c>
      <c r="I44" s="539">
        <f t="shared" si="4"/>
        <v>-246312</v>
      </c>
      <c r="J44" s="539">
        <f t="shared" si="5"/>
        <v>95822291</v>
      </c>
    </row>
    <row r="45" spans="1:10" s="320" customFormat="1" ht="16.5" customHeight="1" x14ac:dyDescent="0.25">
      <c r="A45" s="350" t="s">
        <v>602</v>
      </c>
      <c r="B45" s="537">
        <v>197288</v>
      </c>
      <c r="C45" s="537"/>
      <c r="D45" s="537">
        <f>B45+C45</f>
        <v>197288</v>
      </c>
      <c r="E45" s="340"/>
      <c r="F45" s="340"/>
      <c r="G45" s="340">
        <f t="shared" si="2"/>
        <v>0</v>
      </c>
      <c r="H45" s="539">
        <f t="shared" si="3"/>
        <v>197288</v>
      </c>
      <c r="I45" s="539">
        <f t="shared" si="4"/>
        <v>0</v>
      </c>
      <c r="J45" s="539">
        <f t="shared" si="5"/>
        <v>197288</v>
      </c>
    </row>
    <row r="46" spans="1:10" s="320" customFormat="1" ht="29.25" customHeight="1" x14ac:dyDescent="0.25">
      <c r="A46" s="338" t="s">
        <v>537</v>
      </c>
      <c r="B46" s="537">
        <v>17283000</v>
      </c>
      <c r="C46" s="537"/>
      <c r="D46" s="537">
        <f t="shared" ref="D46:D51" si="27">B46+C46</f>
        <v>17283000</v>
      </c>
      <c r="E46" s="340"/>
      <c r="F46" s="340"/>
      <c r="G46" s="340">
        <f t="shared" si="2"/>
        <v>0</v>
      </c>
      <c r="H46" s="539">
        <f t="shared" si="3"/>
        <v>17283000</v>
      </c>
      <c r="I46" s="539">
        <f t="shared" si="4"/>
        <v>0</v>
      </c>
      <c r="J46" s="539">
        <f t="shared" si="5"/>
        <v>17283000</v>
      </c>
    </row>
    <row r="47" spans="1:10" s="320" customFormat="1" ht="30.75" customHeight="1" x14ac:dyDescent="0.25">
      <c r="A47" s="338" t="s">
        <v>550</v>
      </c>
      <c r="B47" s="537">
        <v>6964760</v>
      </c>
      <c r="C47" s="537"/>
      <c r="D47" s="537">
        <f t="shared" si="27"/>
        <v>6964760</v>
      </c>
      <c r="E47" s="340"/>
      <c r="F47" s="340"/>
      <c r="G47" s="340">
        <f t="shared" si="2"/>
        <v>0</v>
      </c>
      <c r="H47" s="539">
        <f t="shared" si="3"/>
        <v>6964760</v>
      </c>
      <c r="I47" s="539">
        <f t="shared" si="4"/>
        <v>0</v>
      </c>
      <c r="J47" s="539">
        <f t="shared" si="5"/>
        <v>6964760</v>
      </c>
    </row>
    <row r="48" spans="1:10" s="320" customFormat="1" ht="16.5" customHeight="1" x14ac:dyDescent="0.25">
      <c r="A48" s="350" t="s">
        <v>941</v>
      </c>
      <c r="B48" s="339">
        <v>236000</v>
      </c>
      <c r="C48" s="339"/>
      <c r="D48" s="537">
        <f t="shared" si="27"/>
        <v>236000</v>
      </c>
      <c r="E48" s="340"/>
      <c r="F48" s="340"/>
      <c r="G48" s="340">
        <f t="shared" si="2"/>
        <v>0</v>
      </c>
      <c r="H48" s="539">
        <f t="shared" si="3"/>
        <v>236000</v>
      </c>
      <c r="I48" s="539">
        <f t="shared" si="4"/>
        <v>0</v>
      </c>
      <c r="J48" s="539">
        <f t="shared" si="5"/>
        <v>236000</v>
      </c>
    </row>
    <row r="49" spans="1:10" s="320" customFormat="1" ht="16.5" customHeight="1" x14ac:dyDescent="0.25">
      <c r="A49" s="350" t="s">
        <v>906</v>
      </c>
      <c r="B49" s="339">
        <v>115000</v>
      </c>
      <c r="C49" s="339"/>
      <c r="D49" s="537">
        <f t="shared" si="27"/>
        <v>115000</v>
      </c>
      <c r="E49" s="340"/>
      <c r="F49" s="340"/>
      <c r="G49" s="340">
        <f t="shared" si="2"/>
        <v>0</v>
      </c>
      <c r="H49" s="539">
        <f t="shared" si="3"/>
        <v>115000</v>
      </c>
      <c r="I49" s="539">
        <f t="shared" si="4"/>
        <v>0</v>
      </c>
      <c r="J49" s="539">
        <f t="shared" si="5"/>
        <v>115000</v>
      </c>
    </row>
    <row r="50" spans="1:10" s="320" customFormat="1" ht="16.5" customHeight="1" x14ac:dyDescent="0.25">
      <c r="A50" s="436" t="s">
        <v>799</v>
      </c>
      <c r="B50" s="437">
        <v>1436891</v>
      </c>
      <c r="C50" s="437">
        <v>438227</v>
      </c>
      <c r="D50" s="537">
        <f>B50+C50</f>
        <v>1875118</v>
      </c>
      <c r="E50" s="438"/>
      <c r="F50" s="438"/>
      <c r="G50" s="340">
        <f t="shared" si="2"/>
        <v>0</v>
      </c>
      <c r="H50" s="539">
        <f t="shared" si="3"/>
        <v>1436891</v>
      </c>
      <c r="I50" s="539">
        <f t="shared" si="4"/>
        <v>438227</v>
      </c>
      <c r="J50" s="539">
        <f t="shared" si="5"/>
        <v>1875118</v>
      </c>
    </row>
    <row r="51" spans="1:10" s="320" customFormat="1" ht="16.5" customHeight="1" thickBot="1" x14ac:dyDescent="0.3">
      <c r="A51" s="436" t="s">
        <v>861</v>
      </c>
      <c r="B51" s="437"/>
      <c r="C51" s="437"/>
      <c r="D51" s="537">
        <f t="shared" si="27"/>
        <v>0</v>
      </c>
      <c r="E51" s="340">
        <v>16498477</v>
      </c>
      <c r="F51" s="438">
        <f>1736119+1812201+237046+1785084</f>
        <v>5570450</v>
      </c>
      <c r="G51" s="340">
        <f>+F51+E51</f>
        <v>22068927</v>
      </c>
      <c r="H51" s="539">
        <f t="shared" si="3"/>
        <v>16498477</v>
      </c>
      <c r="I51" s="540">
        <f t="shared" si="4"/>
        <v>5570450</v>
      </c>
      <c r="J51" s="540">
        <f t="shared" si="5"/>
        <v>22068927</v>
      </c>
    </row>
    <row r="52" spans="1:10" s="320" customFormat="1" ht="16.5" customHeight="1" thickBot="1" x14ac:dyDescent="0.3">
      <c r="A52" s="351" t="s">
        <v>554</v>
      </c>
      <c r="B52" s="352">
        <f>+B48+B47+B46+B33+B16+B45+B49+B50+B51</f>
        <v>376880907</v>
      </c>
      <c r="C52" s="352">
        <f t="shared" ref="C52:D52" si="28">+C48+C47+C46+C33+C16+C45+C49+C50+C51</f>
        <v>5873797</v>
      </c>
      <c r="D52" s="352">
        <f t="shared" si="28"/>
        <v>382754704</v>
      </c>
      <c r="E52" s="353">
        <f>+E44+E33+E51+E16</f>
        <v>113155512</v>
      </c>
      <c r="F52" s="353">
        <f>+F44+F33+F51+F16</f>
        <v>5502150</v>
      </c>
      <c r="G52" s="353">
        <f>+G44+G33+G51+G16</f>
        <v>118657662</v>
      </c>
      <c r="H52" s="435">
        <f t="shared" si="3"/>
        <v>490036419</v>
      </c>
      <c r="I52" s="435">
        <f t="shared" si="4"/>
        <v>11375947</v>
      </c>
      <c r="J52" s="435">
        <f t="shared" si="5"/>
        <v>501412366</v>
      </c>
    </row>
    <row r="53" spans="1:10" hidden="1" x14ac:dyDescent="0.25"/>
    <row r="54" spans="1:10" hidden="1" x14ac:dyDescent="0.25"/>
    <row r="55" spans="1:10" hidden="1" x14ac:dyDescent="0.25">
      <c r="E55" s="322"/>
      <c r="F55" s="322"/>
      <c r="G55" s="322"/>
    </row>
    <row r="56" spans="1:10" ht="25.5" hidden="1" customHeight="1" x14ac:dyDescent="0.25">
      <c r="E56" s="323"/>
      <c r="F56" s="323"/>
      <c r="G56" s="323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>
      <c r="E61" s="322"/>
      <c r="F61" s="322"/>
      <c r="G61" s="322"/>
    </row>
    <row r="62" spans="1:10" ht="12.75" hidden="1" customHeight="1" x14ac:dyDescent="0.25">
      <c r="E62" s="323"/>
      <c r="F62" s="323"/>
      <c r="G62" s="323"/>
    </row>
    <row r="63" spans="1:10" hidden="1" x14ac:dyDescent="0.25"/>
    <row r="64" spans="1:10" hidden="1" x14ac:dyDescent="0.25"/>
    <row r="65" spans="1:10" hidden="1" x14ac:dyDescent="0.25"/>
    <row r="66" spans="1:10" hidden="1" x14ac:dyDescent="0.25"/>
    <row r="67" spans="1:10" hidden="1" x14ac:dyDescent="0.25"/>
    <row r="68" spans="1:10" hidden="1" x14ac:dyDescent="0.25"/>
    <row r="69" spans="1:10" hidden="1" x14ac:dyDescent="0.25"/>
    <row r="70" spans="1:10" hidden="1" x14ac:dyDescent="0.25">
      <c r="A70" s="319" t="s">
        <v>557</v>
      </c>
    </row>
    <row r="71" spans="1:10" ht="25.5" hidden="1" x14ac:dyDescent="0.25">
      <c r="B71" s="321" t="s">
        <v>558</v>
      </c>
      <c r="D71" s="321" t="s">
        <v>558</v>
      </c>
      <c r="E71" s="324"/>
      <c r="F71" s="324"/>
      <c r="G71" s="324"/>
      <c r="H71" s="320" t="s">
        <v>559</v>
      </c>
      <c r="J71" s="320" t="s">
        <v>559</v>
      </c>
    </row>
    <row r="72" spans="1:10" hidden="1" x14ac:dyDescent="0.25">
      <c r="B72" s="321">
        <v>26</v>
      </c>
      <c r="D72" s="321">
        <v>26</v>
      </c>
      <c r="H72" s="320" t="e">
        <f>+#REF!+E72</f>
        <v>#REF!</v>
      </c>
      <c r="J72" s="320">
        <f>+E72+G72</f>
        <v>0</v>
      </c>
    </row>
    <row r="73" spans="1:10" hidden="1" x14ac:dyDescent="0.25"/>
    <row r="74" spans="1:10" hidden="1" x14ac:dyDescent="0.25"/>
    <row r="75" spans="1:10" hidden="1" x14ac:dyDescent="0.25"/>
    <row r="76" spans="1:10" hidden="1" x14ac:dyDescent="0.25"/>
    <row r="78" spans="1:10" x14ac:dyDescent="0.25">
      <c r="A78" s="320"/>
    </row>
  </sheetData>
  <mergeCells count="6">
    <mergeCell ref="A1:A2"/>
    <mergeCell ref="B1:D1"/>
    <mergeCell ref="E1:G1"/>
    <mergeCell ref="H1:H2"/>
    <mergeCell ref="J1:J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7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zoomScale="90" zoomScaleNormal="90" zoomScalePageLayoutView="70" workbookViewId="0">
      <selection activeCell="F52" sqref="F52"/>
    </sheetView>
  </sheetViews>
  <sheetFormatPr defaultColWidth="9.140625" defaultRowHeight="12.75" x14ac:dyDescent="0.25"/>
  <cols>
    <col min="1" max="1" width="51.42578125" style="319" bestFit="1" customWidth="1"/>
    <col min="2" max="2" width="13.5703125" style="321" customWidth="1"/>
    <col min="3" max="3" width="12.7109375" style="321" customWidth="1"/>
    <col min="4" max="4" width="14.28515625" style="321" customWidth="1"/>
    <col min="5" max="7" width="14.28515625" style="319" customWidth="1"/>
    <col min="8" max="10" width="14.28515625" style="320" customWidth="1"/>
    <col min="11" max="16384" width="9.140625" style="319"/>
  </cols>
  <sheetData>
    <row r="1" spans="1:10" ht="53.25" customHeight="1" x14ac:dyDescent="0.25">
      <c r="A1" s="1132" t="s">
        <v>532</v>
      </c>
      <c r="B1" s="1134" t="s">
        <v>597</v>
      </c>
      <c r="C1" s="1134"/>
      <c r="D1" s="1135"/>
      <c r="E1" s="1134" t="s">
        <v>598</v>
      </c>
      <c r="F1" s="1134"/>
      <c r="G1" s="1134"/>
      <c r="H1" s="1136" t="s">
        <v>913</v>
      </c>
      <c r="I1" s="1136" t="s">
        <v>848</v>
      </c>
      <c r="J1" s="1138" t="s">
        <v>951</v>
      </c>
    </row>
    <row r="2" spans="1:10" s="320" customFormat="1" ht="55.15" customHeight="1" x14ac:dyDescent="0.25">
      <c r="A2" s="1133"/>
      <c r="B2" s="325" t="s">
        <v>913</v>
      </c>
      <c r="C2" s="325" t="s">
        <v>848</v>
      </c>
      <c r="D2" s="325" t="s">
        <v>951</v>
      </c>
      <c r="E2" s="325" t="s">
        <v>913</v>
      </c>
      <c r="F2" s="325" t="s">
        <v>848</v>
      </c>
      <c r="G2" s="325" t="s">
        <v>951</v>
      </c>
      <c r="H2" s="1137" t="s">
        <v>881</v>
      </c>
      <c r="I2" s="1137" t="s">
        <v>848</v>
      </c>
      <c r="J2" s="1139" t="s">
        <v>882</v>
      </c>
    </row>
    <row r="3" spans="1:10" ht="16.5" customHeight="1" x14ac:dyDescent="0.25">
      <c r="A3" s="326" t="s">
        <v>533</v>
      </c>
      <c r="B3" s="583">
        <v>101035</v>
      </c>
      <c r="C3" s="583"/>
      <c r="D3" s="583">
        <f>B3+C3</f>
        <v>101035</v>
      </c>
      <c r="E3" s="328">
        <v>0</v>
      </c>
      <c r="F3" s="328"/>
      <c r="G3" s="328">
        <f>+F3+E3</f>
        <v>0</v>
      </c>
      <c r="H3" s="432">
        <f>+B3+E3</f>
        <v>101035</v>
      </c>
      <c r="I3" s="432">
        <f t="shared" ref="I3:J20" si="0">+C3+F3</f>
        <v>0</v>
      </c>
      <c r="J3" s="432">
        <f t="shared" si="0"/>
        <v>101035</v>
      </c>
    </row>
    <row r="4" spans="1:10" ht="16.5" customHeight="1" x14ac:dyDescent="0.25">
      <c r="A4" s="329" t="s">
        <v>534</v>
      </c>
      <c r="B4" s="330">
        <v>25369</v>
      </c>
      <c r="C4" s="330"/>
      <c r="D4" s="583">
        <f t="shared" ref="D4:D15" si="1">B4+C4</f>
        <v>25369</v>
      </c>
      <c r="E4" s="331">
        <v>0</v>
      </c>
      <c r="F4" s="331"/>
      <c r="G4" s="331">
        <f t="shared" ref="G4:G50" si="2">+F4+E4</f>
        <v>0</v>
      </c>
      <c r="H4" s="432">
        <f t="shared" ref="H4:J52" si="3">+B4+E4</f>
        <v>25369</v>
      </c>
      <c r="I4" s="432">
        <f t="shared" si="0"/>
        <v>0</v>
      </c>
      <c r="J4" s="432">
        <f t="shared" si="0"/>
        <v>25369</v>
      </c>
    </row>
    <row r="5" spans="1:10" s="357" customFormat="1" ht="16.5" customHeight="1" x14ac:dyDescent="0.25">
      <c r="A5" s="354" t="s">
        <v>560</v>
      </c>
      <c r="B5" s="355">
        <v>7910</v>
      </c>
      <c r="C5" s="355"/>
      <c r="D5" s="583">
        <f t="shared" si="1"/>
        <v>7910</v>
      </c>
      <c r="E5" s="356">
        <v>0</v>
      </c>
      <c r="F5" s="356"/>
      <c r="G5" s="356">
        <f t="shared" si="2"/>
        <v>0</v>
      </c>
      <c r="H5" s="432">
        <f t="shared" si="3"/>
        <v>7910</v>
      </c>
      <c r="I5" s="432">
        <f t="shared" si="0"/>
        <v>0</v>
      </c>
      <c r="J5" s="432">
        <f t="shared" si="0"/>
        <v>7910</v>
      </c>
    </row>
    <row r="6" spans="1:10" s="357" customFormat="1" ht="16.5" customHeight="1" x14ac:dyDescent="0.25">
      <c r="A6" s="354" t="s">
        <v>562</v>
      </c>
      <c r="B6" s="355">
        <v>10880</v>
      </c>
      <c r="C6" s="355"/>
      <c r="D6" s="583">
        <f t="shared" si="1"/>
        <v>10880</v>
      </c>
      <c r="E6" s="356">
        <v>0</v>
      </c>
      <c r="F6" s="356"/>
      <c r="G6" s="356">
        <f t="shared" si="2"/>
        <v>0</v>
      </c>
      <c r="H6" s="432">
        <f t="shared" si="3"/>
        <v>10880</v>
      </c>
      <c r="I6" s="432">
        <f t="shared" si="0"/>
        <v>0</v>
      </c>
      <c r="J6" s="432">
        <f t="shared" si="0"/>
        <v>10880</v>
      </c>
    </row>
    <row r="7" spans="1:10" s="357" customFormat="1" ht="16.5" customHeight="1" x14ac:dyDescent="0.25">
      <c r="A7" s="354" t="s">
        <v>563</v>
      </c>
      <c r="B7" s="355">
        <v>1540</v>
      </c>
      <c r="C7" s="355"/>
      <c r="D7" s="583">
        <f t="shared" si="1"/>
        <v>1540</v>
      </c>
      <c r="E7" s="356">
        <v>0</v>
      </c>
      <c r="F7" s="356"/>
      <c r="G7" s="356">
        <f t="shared" si="2"/>
        <v>0</v>
      </c>
      <c r="H7" s="432">
        <f t="shared" si="3"/>
        <v>1540</v>
      </c>
      <c r="I7" s="432">
        <f t="shared" si="0"/>
        <v>0</v>
      </c>
      <c r="J7" s="432">
        <f t="shared" si="0"/>
        <v>1540</v>
      </c>
    </row>
    <row r="8" spans="1:10" s="357" customFormat="1" ht="16.5" customHeight="1" x14ac:dyDescent="0.25">
      <c r="A8" s="354" t="s">
        <v>561</v>
      </c>
      <c r="B8" s="355">
        <v>5039</v>
      </c>
      <c r="C8" s="355"/>
      <c r="D8" s="583">
        <f t="shared" si="1"/>
        <v>5039</v>
      </c>
      <c r="E8" s="356">
        <v>0</v>
      </c>
      <c r="F8" s="356"/>
      <c r="G8" s="356">
        <f t="shared" si="2"/>
        <v>0</v>
      </c>
      <c r="H8" s="432">
        <f t="shared" si="3"/>
        <v>5039</v>
      </c>
      <c r="I8" s="432">
        <f t="shared" si="0"/>
        <v>0</v>
      </c>
      <c r="J8" s="432">
        <f t="shared" si="0"/>
        <v>5039</v>
      </c>
    </row>
    <row r="9" spans="1:10" ht="26.25" customHeight="1" x14ac:dyDescent="0.25">
      <c r="A9" s="458" t="s">
        <v>535</v>
      </c>
      <c r="B9" s="459">
        <v>15541</v>
      </c>
      <c r="C9" s="459"/>
      <c r="D9" s="583">
        <f t="shared" si="1"/>
        <v>15541</v>
      </c>
      <c r="E9" s="460">
        <v>0</v>
      </c>
      <c r="F9" s="460"/>
      <c r="G9" s="460">
        <f t="shared" si="2"/>
        <v>0</v>
      </c>
      <c r="H9" s="538">
        <f t="shared" si="3"/>
        <v>15541</v>
      </c>
      <c r="I9" s="538">
        <f t="shared" si="0"/>
        <v>0</v>
      </c>
      <c r="J9" s="538">
        <f t="shared" si="0"/>
        <v>15541</v>
      </c>
    </row>
    <row r="10" spans="1:10" ht="16.5" customHeight="1" x14ac:dyDescent="0.25">
      <c r="A10" s="332" t="s">
        <v>536</v>
      </c>
      <c r="B10" s="333">
        <v>-22204</v>
      </c>
      <c r="C10" s="333"/>
      <c r="D10" s="947">
        <f t="shared" si="1"/>
        <v>-22204</v>
      </c>
      <c r="E10" s="334">
        <v>0</v>
      </c>
      <c r="F10" s="334"/>
      <c r="G10" s="334">
        <f t="shared" si="2"/>
        <v>0</v>
      </c>
      <c r="H10" s="539">
        <f t="shared" si="3"/>
        <v>-22204</v>
      </c>
      <c r="I10" s="539">
        <f t="shared" si="0"/>
        <v>0</v>
      </c>
      <c r="J10" s="539">
        <f t="shared" si="0"/>
        <v>-22204</v>
      </c>
    </row>
    <row r="11" spans="1:10" s="320" customFormat="1" ht="16.5" customHeight="1" x14ac:dyDescent="0.25">
      <c r="A11" s="335" t="s">
        <v>551</v>
      </c>
      <c r="B11" s="336">
        <v>0</v>
      </c>
      <c r="C11" s="336"/>
      <c r="D11" s="871">
        <f t="shared" si="1"/>
        <v>0</v>
      </c>
      <c r="E11" s="337">
        <v>0</v>
      </c>
      <c r="F11" s="337"/>
      <c r="G11" s="337">
        <f t="shared" si="2"/>
        <v>0</v>
      </c>
      <c r="H11" s="539">
        <f t="shared" si="3"/>
        <v>0</v>
      </c>
      <c r="I11" s="539">
        <f t="shared" si="0"/>
        <v>0</v>
      </c>
      <c r="J11" s="539">
        <f t="shared" si="0"/>
        <v>0</v>
      </c>
    </row>
    <row r="12" spans="1:10" s="320" customFormat="1" ht="16.5" customHeight="1" x14ac:dyDescent="0.25">
      <c r="A12" s="439" t="s">
        <v>552</v>
      </c>
      <c r="B12" s="440">
        <v>905</v>
      </c>
      <c r="C12" s="440"/>
      <c r="D12" s="871">
        <f t="shared" si="1"/>
        <v>905</v>
      </c>
      <c r="E12" s="441">
        <v>0</v>
      </c>
      <c r="F12" s="441"/>
      <c r="G12" s="441">
        <f t="shared" si="2"/>
        <v>0</v>
      </c>
      <c r="H12" s="539">
        <f t="shared" si="3"/>
        <v>905</v>
      </c>
      <c r="I12" s="539">
        <f t="shared" si="0"/>
        <v>0</v>
      </c>
      <c r="J12" s="539">
        <f t="shared" si="0"/>
        <v>905</v>
      </c>
    </row>
    <row r="13" spans="1:10" s="320" customFormat="1" ht="16.5" customHeight="1" x14ac:dyDescent="0.25">
      <c r="A13" s="439" t="s">
        <v>553</v>
      </c>
      <c r="B13" s="440">
        <v>247</v>
      </c>
      <c r="C13" s="440">
        <v>74</v>
      </c>
      <c r="D13" s="871">
        <f t="shared" si="1"/>
        <v>321</v>
      </c>
      <c r="E13" s="441">
        <v>588</v>
      </c>
      <c r="F13" s="441">
        <v>178</v>
      </c>
      <c r="G13" s="441">
        <f t="shared" si="2"/>
        <v>766</v>
      </c>
      <c r="H13" s="539">
        <f t="shared" si="3"/>
        <v>835</v>
      </c>
      <c r="I13" s="539">
        <f t="shared" si="0"/>
        <v>252</v>
      </c>
      <c r="J13" s="539">
        <f t="shared" si="0"/>
        <v>1087</v>
      </c>
    </row>
    <row r="14" spans="1:10" s="320" customFormat="1" ht="16.5" customHeight="1" x14ac:dyDescent="0.25">
      <c r="A14" s="439" t="s">
        <v>714</v>
      </c>
      <c r="B14" s="440">
        <v>1682</v>
      </c>
      <c r="C14" s="440"/>
      <c r="D14" s="1044">
        <f t="shared" si="1"/>
        <v>1682</v>
      </c>
      <c r="E14" s="441"/>
      <c r="F14" s="441"/>
      <c r="G14" s="441">
        <f t="shared" si="2"/>
        <v>0</v>
      </c>
      <c r="H14" s="1049">
        <f t="shared" si="3"/>
        <v>1682</v>
      </c>
      <c r="I14" s="1049">
        <f t="shared" si="0"/>
        <v>0</v>
      </c>
      <c r="J14" s="1049">
        <f t="shared" si="0"/>
        <v>1682</v>
      </c>
    </row>
    <row r="15" spans="1:10" s="320" customFormat="1" ht="16.5" customHeight="1" thickBot="1" x14ac:dyDescent="0.3">
      <c r="A15" s="588" t="s">
        <v>938</v>
      </c>
      <c r="B15" s="589">
        <v>2868</v>
      </c>
      <c r="C15" s="589"/>
      <c r="D15" s="882">
        <f t="shared" si="1"/>
        <v>2868</v>
      </c>
      <c r="E15" s="589"/>
      <c r="F15" s="589"/>
      <c r="G15" s="1050">
        <f t="shared" si="2"/>
        <v>0</v>
      </c>
      <c r="H15" s="540">
        <f t="shared" si="3"/>
        <v>2868</v>
      </c>
      <c r="I15" s="540">
        <f t="shared" si="0"/>
        <v>0</v>
      </c>
      <c r="J15" s="540">
        <f t="shared" si="0"/>
        <v>2868</v>
      </c>
    </row>
    <row r="16" spans="1:10" s="320" customFormat="1" ht="13.5" thickBot="1" x14ac:dyDescent="0.3">
      <c r="A16" s="434" t="s">
        <v>538</v>
      </c>
      <c r="B16" s="582">
        <f>+B3+B4+B9+B10+B11+B12+B14+B13+B15</f>
        <v>125443</v>
      </c>
      <c r="C16" s="582">
        <f>+C3+C4+C9+C10+C11+C12+C14+C13+C15</f>
        <v>74</v>
      </c>
      <c r="D16" s="582">
        <f>+C16+B16</f>
        <v>125517</v>
      </c>
      <c r="E16" s="582">
        <f>+E3+E4+E9+E10+E11+E12+E14+E13</f>
        <v>588</v>
      </c>
      <c r="F16" s="582">
        <f>+F3+F4+F9+F10+F11+F12+F14+F13</f>
        <v>178</v>
      </c>
      <c r="G16" s="582">
        <f>+F16+E16</f>
        <v>766</v>
      </c>
      <c r="H16" s="582">
        <f t="shared" si="3"/>
        <v>126031</v>
      </c>
      <c r="I16" s="582">
        <f t="shared" si="0"/>
        <v>252</v>
      </c>
      <c r="J16" s="884">
        <f>+D16+G16</f>
        <v>126283</v>
      </c>
    </row>
    <row r="17" spans="1:10" ht="16.5" customHeight="1" x14ac:dyDescent="0.25">
      <c r="A17" s="341" t="s">
        <v>858</v>
      </c>
      <c r="B17" s="583">
        <v>63824</v>
      </c>
      <c r="C17" s="583"/>
      <c r="D17" s="583">
        <f>B17+C17</f>
        <v>63824</v>
      </c>
      <c r="E17" s="328"/>
      <c r="F17" s="328"/>
      <c r="G17" s="328">
        <f t="shared" si="2"/>
        <v>0</v>
      </c>
      <c r="H17" s="432">
        <f t="shared" si="3"/>
        <v>63824</v>
      </c>
      <c r="I17" s="432">
        <f t="shared" si="0"/>
        <v>0</v>
      </c>
      <c r="J17" s="432">
        <f t="shared" si="0"/>
        <v>63824</v>
      </c>
    </row>
    <row r="18" spans="1:10" ht="16.5" customHeight="1" x14ac:dyDescent="0.25">
      <c r="A18" s="342" t="s">
        <v>859</v>
      </c>
      <c r="B18" s="584">
        <v>31038</v>
      </c>
      <c r="C18" s="584">
        <v>-583</v>
      </c>
      <c r="D18" s="583">
        <f>B18+C18</f>
        <v>30455</v>
      </c>
      <c r="E18" s="334"/>
      <c r="F18" s="334"/>
      <c r="G18" s="334">
        <f t="shared" si="2"/>
        <v>0</v>
      </c>
      <c r="H18" s="433">
        <f t="shared" si="3"/>
        <v>31038</v>
      </c>
      <c r="I18" s="433">
        <f t="shared" si="0"/>
        <v>-583</v>
      </c>
      <c r="J18" s="433">
        <f t="shared" si="0"/>
        <v>30455</v>
      </c>
    </row>
    <row r="19" spans="1:10" s="320" customFormat="1" ht="16.5" customHeight="1" x14ac:dyDescent="0.25">
      <c r="A19" s="452" t="s">
        <v>539</v>
      </c>
      <c r="B19" s="537">
        <f>SUM(B17:B18)</f>
        <v>94862</v>
      </c>
      <c r="C19" s="537">
        <f>SUM(C17:C18)</f>
        <v>-583</v>
      </c>
      <c r="D19" s="537">
        <f t="shared" ref="D19:D44" si="4">+C19+B19</f>
        <v>94279</v>
      </c>
      <c r="E19" s="339">
        <f t="shared" ref="E19" si="5">SUM(E17:E18)</f>
        <v>0</v>
      </c>
      <c r="F19" s="339"/>
      <c r="G19" s="339">
        <f t="shared" si="2"/>
        <v>0</v>
      </c>
      <c r="H19" s="539">
        <f t="shared" si="3"/>
        <v>94862</v>
      </c>
      <c r="I19" s="539">
        <f t="shared" si="0"/>
        <v>-583</v>
      </c>
      <c r="J19" s="539">
        <f t="shared" si="0"/>
        <v>94279</v>
      </c>
    </row>
    <row r="20" spans="1:10" s="320" customFormat="1" ht="16.5" customHeight="1" x14ac:dyDescent="0.25">
      <c r="A20" s="452" t="s">
        <v>540</v>
      </c>
      <c r="B20" s="537"/>
      <c r="C20" s="537"/>
      <c r="D20" s="537"/>
      <c r="E20" s="340"/>
      <c r="F20" s="340"/>
      <c r="G20" s="340">
        <f t="shared" si="2"/>
        <v>0</v>
      </c>
      <c r="H20" s="539">
        <f t="shared" si="3"/>
        <v>0</v>
      </c>
      <c r="I20" s="539">
        <f t="shared" si="0"/>
        <v>0</v>
      </c>
      <c r="J20" s="539">
        <f t="shared" si="0"/>
        <v>0</v>
      </c>
    </row>
    <row r="21" spans="1:10" s="320" customFormat="1" ht="33.75" customHeight="1" x14ac:dyDescent="0.25">
      <c r="A21" s="457" t="s">
        <v>556</v>
      </c>
      <c r="B21" s="537">
        <v>3129</v>
      </c>
      <c r="C21" s="537"/>
      <c r="D21" s="537">
        <f t="shared" ref="D21:D23" si="6">+C21+B21</f>
        <v>3129</v>
      </c>
      <c r="E21" s="340"/>
      <c r="F21" s="340"/>
      <c r="G21" s="340">
        <f t="shared" si="2"/>
        <v>0</v>
      </c>
      <c r="H21" s="539">
        <f t="shared" si="3"/>
        <v>3129</v>
      </c>
      <c r="I21" s="539">
        <f t="shared" si="3"/>
        <v>0</v>
      </c>
      <c r="J21" s="539">
        <f t="shared" si="3"/>
        <v>3129</v>
      </c>
    </row>
    <row r="22" spans="1:10" ht="16.5" customHeight="1" x14ac:dyDescent="0.25">
      <c r="A22" s="341" t="s">
        <v>860</v>
      </c>
      <c r="B22" s="583">
        <v>20580</v>
      </c>
      <c r="C22" s="583"/>
      <c r="D22" s="871">
        <f t="shared" si="6"/>
        <v>20580</v>
      </c>
      <c r="E22" s="328"/>
      <c r="F22" s="328"/>
      <c r="G22" s="328">
        <f t="shared" si="2"/>
        <v>0</v>
      </c>
      <c r="H22" s="432">
        <f t="shared" si="3"/>
        <v>20580</v>
      </c>
      <c r="I22" s="432">
        <f t="shared" si="3"/>
        <v>0</v>
      </c>
      <c r="J22" s="432">
        <f t="shared" si="3"/>
        <v>20580</v>
      </c>
    </row>
    <row r="23" spans="1:10" ht="16.5" customHeight="1" x14ac:dyDescent="0.25">
      <c r="A23" s="342" t="s">
        <v>859</v>
      </c>
      <c r="B23" s="584">
        <v>10290</v>
      </c>
      <c r="C23" s="584"/>
      <c r="D23" s="871">
        <f t="shared" si="6"/>
        <v>10290</v>
      </c>
      <c r="E23" s="334"/>
      <c r="F23" s="334"/>
      <c r="G23" s="334">
        <f t="shared" si="2"/>
        <v>0</v>
      </c>
      <c r="H23" s="433">
        <f t="shared" si="3"/>
        <v>10290</v>
      </c>
      <c r="I23" s="433">
        <f t="shared" si="3"/>
        <v>0</v>
      </c>
      <c r="J23" s="433">
        <f t="shared" si="3"/>
        <v>10290</v>
      </c>
    </row>
    <row r="24" spans="1:10" s="320" customFormat="1" ht="29.25" customHeight="1" x14ac:dyDescent="0.25">
      <c r="A24" s="453" t="s">
        <v>683</v>
      </c>
      <c r="B24" s="537">
        <f>SUM(B22:B23)</f>
        <v>30870</v>
      </c>
      <c r="C24" s="537">
        <f>SUM(C22:C23)</f>
        <v>0</v>
      </c>
      <c r="D24" s="537">
        <f t="shared" si="4"/>
        <v>30870</v>
      </c>
      <c r="E24" s="340">
        <f t="shared" ref="E24" si="7">SUM(E22:E23)</f>
        <v>0</v>
      </c>
      <c r="F24" s="340"/>
      <c r="G24" s="340">
        <f t="shared" si="2"/>
        <v>0</v>
      </c>
      <c r="H24" s="539">
        <f t="shared" si="3"/>
        <v>30870</v>
      </c>
      <c r="I24" s="539">
        <f t="shared" si="3"/>
        <v>0</v>
      </c>
      <c r="J24" s="539">
        <f t="shared" si="3"/>
        <v>30870</v>
      </c>
    </row>
    <row r="25" spans="1:10" ht="16.5" customHeight="1" x14ac:dyDescent="0.25">
      <c r="A25" s="341" t="s">
        <v>860</v>
      </c>
      <c r="B25" s="583">
        <v>15584</v>
      </c>
      <c r="C25" s="583"/>
      <c r="D25" s="583">
        <f>B25+C25</f>
        <v>15584</v>
      </c>
      <c r="E25" s="328"/>
      <c r="F25" s="328"/>
      <c r="G25" s="328">
        <f t="shared" si="2"/>
        <v>0</v>
      </c>
      <c r="H25" s="432">
        <f t="shared" si="3"/>
        <v>15584</v>
      </c>
      <c r="I25" s="432">
        <f t="shared" si="3"/>
        <v>0</v>
      </c>
      <c r="J25" s="432">
        <f t="shared" si="3"/>
        <v>15584</v>
      </c>
    </row>
    <row r="26" spans="1:10" ht="16.5" customHeight="1" x14ac:dyDescent="0.25">
      <c r="A26" s="342" t="s">
        <v>859</v>
      </c>
      <c r="B26" s="584">
        <v>7760</v>
      </c>
      <c r="C26" s="584">
        <v>-195</v>
      </c>
      <c r="D26" s="583">
        <f>B26+C26</f>
        <v>7565</v>
      </c>
      <c r="E26" s="334"/>
      <c r="F26" s="334"/>
      <c r="G26" s="334">
        <f t="shared" si="2"/>
        <v>0</v>
      </c>
      <c r="H26" s="433">
        <f t="shared" si="3"/>
        <v>7760</v>
      </c>
      <c r="I26" s="433">
        <f t="shared" si="3"/>
        <v>-195</v>
      </c>
      <c r="J26" s="433">
        <f t="shared" si="3"/>
        <v>7565</v>
      </c>
    </row>
    <row r="27" spans="1:10" s="320" customFormat="1" ht="16.5" customHeight="1" x14ac:dyDescent="0.25">
      <c r="A27" s="452" t="s">
        <v>541</v>
      </c>
      <c r="B27" s="537">
        <f t="shared" ref="B27:C27" si="8">+B25+B26</f>
        <v>23344</v>
      </c>
      <c r="C27" s="537">
        <f t="shared" si="8"/>
        <v>-195</v>
      </c>
      <c r="D27" s="537">
        <f t="shared" si="4"/>
        <v>23149</v>
      </c>
      <c r="E27" s="340">
        <f t="shared" ref="E27" si="9">+E25+E26</f>
        <v>0</v>
      </c>
      <c r="F27" s="340"/>
      <c r="G27" s="340">
        <f t="shared" si="2"/>
        <v>0</v>
      </c>
      <c r="H27" s="539">
        <f t="shared" si="3"/>
        <v>23344</v>
      </c>
      <c r="I27" s="539">
        <f t="shared" si="3"/>
        <v>-195</v>
      </c>
      <c r="J27" s="539">
        <f t="shared" si="3"/>
        <v>23149</v>
      </c>
    </row>
    <row r="28" spans="1:10" s="320" customFormat="1" ht="16.5" customHeight="1" x14ac:dyDescent="0.25">
      <c r="A28" s="350" t="s">
        <v>939</v>
      </c>
      <c r="B28" s="537">
        <v>2730</v>
      </c>
      <c r="C28" s="871"/>
      <c r="D28" s="871">
        <f t="shared" ref="D28" si="10">B28+C28</f>
        <v>2730</v>
      </c>
      <c r="E28" s="340"/>
      <c r="F28" s="340"/>
      <c r="G28" s="340"/>
      <c r="H28" s="539">
        <f t="shared" si="3"/>
        <v>2730</v>
      </c>
      <c r="I28" s="539">
        <f t="shared" si="3"/>
        <v>0</v>
      </c>
      <c r="J28" s="539">
        <f t="shared" si="3"/>
        <v>2730</v>
      </c>
    </row>
    <row r="29" spans="1:10" ht="16.5" customHeight="1" x14ac:dyDescent="0.25">
      <c r="A29" s="343" t="s">
        <v>542</v>
      </c>
      <c r="B29" s="585">
        <v>30723</v>
      </c>
      <c r="C29" s="583">
        <v>76</v>
      </c>
      <c r="D29" s="1044">
        <f>B29+C29</f>
        <v>30799</v>
      </c>
      <c r="E29" s="344"/>
      <c r="F29" s="344"/>
      <c r="G29" s="344">
        <f t="shared" si="2"/>
        <v>0</v>
      </c>
      <c r="H29" s="432">
        <f t="shared" si="3"/>
        <v>30723</v>
      </c>
      <c r="I29" s="432">
        <f t="shared" si="3"/>
        <v>76</v>
      </c>
      <c r="J29" s="432">
        <f t="shared" si="3"/>
        <v>30799</v>
      </c>
    </row>
    <row r="30" spans="1:10" ht="16.5" customHeight="1" x14ac:dyDescent="0.25">
      <c r="A30" s="345" t="s">
        <v>543</v>
      </c>
      <c r="B30" s="587">
        <v>36141</v>
      </c>
      <c r="C30" s="584">
        <v>6063</v>
      </c>
      <c r="D30" s="587">
        <f>B30+C30</f>
        <v>42204</v>
      </c>
      <c r="E30" s="346"/>
      <c r="F30" s="346"/>
      <c r="G30" s="346">
        <f t="shared" si="2"/>
        <v>0</v>
      </c>
      <c r="H30" s="433">
        <f t="shared" si="3"/>
        <v>36141</v>
      </c>
      <c r="I30" s="433">
        <f t="shared" si="3"/>
        <v>6063</v>
      </c>
      <c r="J30" s="433">
        <f t="shared" si="3"/>
        <v>42204</v>
      </c>
    </row>
    <row r="31" spans="1:10" ht="16.5" customHeight="1" x14ac:dyDescent="0.25">
      <c r="A31" s="1051" t="s">
        <v>940</v>
      </c>
      <c r="B31" s="871">
        <v>3408</v>
      </c>
      <c r="C31" s="871"/>
      <c r="D31" s="871">
        <f t="shared" ref="D31" si="11">B31+C31</f>
        <v>3408</v>
      </c>
      <c r="E31" s="337"/>
      <c r="F31" s="337"/>
      <c r="G31" s="337"/>
      <c r="H31" s="539">
        <f t="shared" si="3"/>
        <v>3408</v>
      </c>
      <c r="I31" s="539">
        <f t="shared" si="3"/>
        <v>0</v>
      </c>
      <c r="J31" s="539">
        <f t="shared" si="3"/>
        <v>3408</v>
      </c>
    </row>
    <row r="32" spans="1:10" s="320" customFormat="1" ht="16.5" customHeight="1" thickBot="1" x14ac:dyDescent="0.3">
      <c r="A32" s="454" t="s">
        <v>544</v>
      </c>
      <c r="B32" s="586">
        <f>SUM(B29:B31)</f>
        <v>70272</v>
      </c>
      <c r="C32" s="586">
        <f>SUM(C29:C31)</f>
        <v>6139</v>
      </c>
      <c r="D32" s="586">
        <f t="shared" si="4"/>
        <v>76411</v>
      </c>
      <c r="E32" s="455">
        <f t="shared" ref="E32" si="12">SUM(E29:E30)</f>
        <v>0</v>
      </c>
      <c r="F32" s="455"/>
      <c r="G32" s="455">
        <f t="shared" si="2"/>
        <v>0</v>
      </c>
      <c r="H32" s="540">
        <f t="shared" si="3"/>
        <v>70272</v>
      </c>
      <c r="I32" s="540">
        <f t="shared" si="3"/>
        <v>6139</v>
      </c>
      <c r="J32" s="540">
        <f t="shared" si="3"/>
        <v>76411</v>
      </c>
    </row>
    <row r="33" spans="1:10" ht="16.5" customHeight="1" thickBot="1" x14ac:dyDescent="0.3">
      <c r="A33" s="434" t="s">
        <v>545</v>
      </c>
      <c r="B33" s="352">
        <f>+B32+B27+B24+B21+B20+B19+B28</f>
        <v>225207</v>
      </c>
      <c r="C33" s="352">
        <f>+C32+C27+C24+C21+C20+C19+C28</f>
        <v>5361</v>
      </c>
      <c r="D33" s="352">
        <f t="shared" si="4"/>
        <v>230568</v>
      </c>
      <c r="E33" s="353">
        <f t="shared" ref="E33" si="13">+E32+E27+E24+E21+E20+E19</f>
        <v>0</v>
      </c>
      <c r="F33" s="353"/>
      <c r="G33" s="353">
        <f t="shared" si="2"/>
        <v>0</v>
      </c>
      <c r="H33" s="435">
        <f t="shared" si="3"/>
        <v>225207</v>
      </c>
      <c r="I33" s="435">
        <f t="shared" si="3"/>
        <v>5361</v>
      </c>
      <c r="J33" s="435">
        <f t="shared" si="3"/>
        <v>230568</v>
      </c>
    </row>
    <row r="34" spans="1:10" ht="16.5" customHeight="1" x14ac:dyDescent="0.25">
      <c r="A34" s="349" t="s">
        <v>603</v>
      </c>
      <c r="B34" s="327"/>
      <c r="C34" s="327"/>
      <c r="D34" s="327">
        <f t="shared" si="4"/>
        <v>0</v>
      </c>
      <c r="E34" s="581">
        <v>17000</v>
      </c>
      <c r="F34" s="581"/>
      <c r="G34" s="581">
        <f>E34+F34</f>
        <v>17000</v>
      </c>
      <c r="H34" s="432">
        <f t="shared" si="3"/>
        <v>17000</v>
      </c>
      <c r="I34" s="432">
        <f t="shared" si="3"/>
        <v>0</v>
      </c>
      <c r="J34" s="432">
        <f t="shared" si="3"/>
        <v>17000</v>
      </c>
    </row>
    <row r="35" spans="1:10" ht="16.5" customHeight="1" x14ac:dyDescent="0.25">
      <c r="A35" s="349" t="s">
        <v>604</v>
      </c>
      <c r="B35" s="327"/>
      <c r="C35" s="327"/>
      <c r="D35" s="327">
        <f t="shared" si="4"/>
        <v>0</v>
      </c>
      <c r="E35" s="581">
        <v>14190</v>
      </c>
      <c r="F35" s="581"/>
      <c r="G35" s="581">
        <f t="shared" ref="G35:G43" si="14">E35+F35</f>
        <v>14190</v>
      </c>
      <c r="H35" s="432">
        <f t="shared" si="3"/>
        <v>14190</v>
      </c>
      <c r="I35" s="432">
        <f t="shared" si="3"/>
        <v>0</v>
      </c>
      <c r="J35" s="432">
        <f t="shared" si="3"/>
        <v>14190</v>
      </c>
    </row>
    <row r="36" spans="1:10" ht="16.5" customHeight="1" x14ac:dyDescent="0.25">
      <c r="A36" s="349" t="s">
        <v>605</v>
      </c>
      <c r="B36" s="456"/>
      <c r="C36" s="456"/>
      <c r="D36" s="456">
        <f t="shared" si="4"/>
        <v>0</v>
      </c>
      <c r="E36" s="581">
        <v>548</v>
      </c>
      <c r="F36" s="581">
        <v>183</v>
      </c>
      <c r="G36" s="581">
        <f t="shared" si="14"/>
        <v>731</v>
      </c>
      <c r="H36" s="432">
        <f t="shared" si="3"/>
        <v>548</v>
      </c>
      <c r="I36" s="432">
        <f t="shared" si="3"/>
        <v>183</v>
      </c>
      <c r="J36" s="432">
        <f t="shared" si="3"/>
        <v>731</v>
      </c>
    </row>
    <row r="37" spans="1:10" ht="16.5" customHeight="1" x14ac:dyDescent="0.25">
      <c r="A37" s="329" t="s">
        <v>546</v>
      </c>
      <c r="B37" s="330"/>
      <c r="C37" s="330"/>
      <c r="D37" s="330">
        <f t="shared" si="4"/>
        <v>0</v>
      </c>
      <c r="E37" s="356">
        <v>24907</v>
      </c>
      <c r="F37" s="356">
        <v>-429</v>
      </c>
      <c r="G37" s="581">
        <f t="shared" si="14"/>
        <v>24478</v>
      </c>
      <c r="H37" s="432">
        <f t="shared" si="3"/>
        <v>24907</v>
      </c>
      <c r="I37" s="432">
        <f t="shared" si="3"/>
        <v>-429</v>
      </c>
      <c r="J37" s="432">
        <f t="shared" si="3"/>
        <v>24478</v>
      </c>
    </row>
    <row r="38" spans="1:10" ht="16.5" customHeight="1" x14ac:dyDescent="0.25">
      <c r="A38" s="329" t="s">
        <v>548</v>
      </c>
      <c r="B38" s="330"/>
      <c r="C38" s="330"/>
      <c r="D38" s="330">
        <f t="shared" si="4"/>
        <v>0</v>
      </c>
      <c r="E38" s="331">
        <v>164</v>
      </c>
      <c r="F38" s="331"/>
      <c r="G38" s="581">
        <f t="shared" si="14"/>
        <v>164</v>
      </c>
      <c r="H38" s="432">
        <f t="shared" si="3"/>
        <v>164</v>
      </c>
      <c r="I38" s="432">
        <f t="shared" si="3"/>
        <v>0</v>
      </c>
      <c r="J38" s="432">
        <f t="shared" si="3"/>
        <v>164</v>
      </c>
    </row>
    <row r="39" spans="1:10" ht="16.5" customHeight="1" x14ac:dyDescent="0.25">
      <c r="A39" s="329" t="s">
        <v>547</v>
      </c>
      <c r="B39" s="330"/>
      <c r="C39" s="330"/>
      <c r="D39" s="330">
        <f t="shared" si="4"/>
        <v>0</v>
      </c>
      <c r="E39" s="331">
        <v>3100</v>
      </c>
      <c r="F39" s="331"/>
      <c r="G39" s="581">
        <f t="shared" si="14"/>
        <v>3100</v>
      </c>
      <c r="H39" s="432">
        <f t="shared" si="3"/>
        <v>3100</v>
      </c>
      <c r="I39" s="432">
        <f t="shared" si="3"/>
        <v>0</v>
      </c>
      <c r="J39" s="432">
        <f t="shared" si="3"/>
        <v>3100</v>
      </c>
    </row>
    <row r="40" spans="1:10" ht="16.5" customHeight="1" x14ac:dyDescent="0.25">
      <c r="A40" s="329" t="s">
        <v>651</v>
      </c>
      <c r="B40" s="330"/>
      <c r="C40" s="330"/>
      <c r="D40" s="330">
        <f t="shared" si="4"/>
        <v>0</v>
      </c>
      <c r="E40" s="331">
        <v>7020</v>
      </c>
      <c r="F40" s="331"/>
      <c r="G40" s="581">
        <f t="shared" si="14"/>
        <v>7020</v>
      </c>
      <c r="H40" s="432">
        <f t="shared" si="3"/>
        <v>7020</v>
      </c>
      <c r="I40" s="432">
        <f t="shared" si="3"/>
        <v>0</v>
      </c>
      <c r="J40" s="432">
        <f t="shared" si="3"/>
        <v>7020</v>
      </c>
    </row>
    <row r="41" spans="1:10" ht="16.5" customHeight="1" x14ac:dyDescent="0.25">
      <c r="A41" s="329" t="s">
        <v>606</v>
      </c>
      <c r="B41" s="330"/>
      <c r="C41" s="330"/>
      <c r="D41" s="330">
        <f t="shared" si="4"/>
        <v>0</v>
      </c>
      <c r="E41" s="331">
        <v>10040</v>
      </c>
      <c r="F41" s="331"/>
      <c r="G41" s="356">
        <f t="shared" si="14"/>
        <v>10040</v>
      </c>
      <c r="H41" s="883">
        <f t="shared" si="3"/>
        <v>10040</v>
      </c>
      <c r="I41" s="883">
        <f t="shared" si="3"/>
        <v>0</v>
      </c>
      <c r="J41" s="883">
        <f t="shared" si="3"/>
        <v>10040</v>
      </c>
    </row>
    <row r="42" spans="1:10" ht="16.5" customHeight="1" x14ac:dyDescent="0.25">
      <c r="A42" s="442" t="s">
        <v>811</v>
      </c>
      <c r="B42" s="347"/>
      <c r="C42" s="347"/>
      <c r="D42" s="347"/>
      <c r="E42" s="348">
        <v>11525</v>
      </c>
      <c r="F42" s="346"/>
      <c r="G42" s="1058">
        <f t="shared" si="14"/>
        <v>11525</v>
      </c>
      <c r="H42" s="433">
        <f t="shared" si="3"/>
        <v>11525</v>
      </c>
      <c r="I42" s="433"/>
      <c r="J42" s="433"/>
    </row>
    <row r="43" spans="1:10" ht="16.5" customHeight="1" x14ac:dyDescent="0.25">
      <c r="A43" s="1051" t="s">
        <v>942</v>
      </c>
      <c r="B43" s="336"/>
      <c r="C43" s="336"/>
      <c r="D43" s="336"/>
      <c r="E43" s="337">
        <v>7575</v>
      </c>
      <c r="F43" s="337"/>
      <c r="G43" s="1059">
        <f t="shared" si="14"/>
        <v>7575</v>
      </c>
      <c r="H43" s="539">
        <f t="shared" si="3"/>
        <v>7575</v>
      </c>
      <c r="I43" s="539">
        <f t="shared" si="3"/>
        <v>0</v>
      </c>
      <c r="J43" s="539">
        <f t="shared" si="3"/>
        <v>7575</v>
      </c>
    </row>
    <row r="44" spans="1:10" s="320" customFormat="1" ht="16.5" customHeight="1" x14ac:dyDescent="0.25">
      <c r="A44" s="350" t="s">
        <v>549</v>
      </c>
      <c r="B44" s="339">
        <v>0</v>
      </c>
      <c r="C44" s="339"/>
      <c r="D44" s="339">
        <f t="shared" si="4"/>
        <v>0</v>
      </c>
      <c r="E44" s="340">
        <f>SUM(E34:E43)</f>
        <v>96069</v>
      </c>
      <c r="F44" s="340">
        <f>SUM(F34:F43)</f>
        <v>-246</v>
      </c>
      <c r="G44" s="340">
        <f t="shared" si="2"/>
        <v>95823</v>
      </c>
      <c r="H44" s="539">
        <f t="shared" si="3"/>
        <v>96069</v>
      </c>
      <c r="I44" s="539">
        <f t="shared" si="3"/>
        <v>-246</v>
      </c>
      <c r="J44" s="539">
        <f t="shared" si="3"/>
        <v>95823</v>
      </c>
    </row>
    <row r="45" spans="1:10" s="320" customFormat="1" ht="16.5" customHeight="1" x14ac:dyDescent="0.25">
      <c r="A45" s="350" t="s">
        <v>602</v>
      </c>
      <c r="B45" s="537">
        <v>197</v>
      </c>
      <c r="C45" s="537"/>
      <c r="D45" s="537">
        <f>B45+C45</f>
        <v>197</v>
      </c>
      <c r="E45" s="340"/>
      <c r="F45" s="340"/>
      <c r="G45" s="340">
        <f t="shared" si="2"/>
        <v>0</v>
      </c>
      <c r="H45" s="539">
        <f t="shared" si="3"/>
        <v>197</v>
      </c>
      <c r="I45" s="539">
        <f t="shared" si="3"/>
        <v>0</v>
      </c>
      <c r="J45" s="539">
        <f t="shared" si="3"/>
        <v>197</v>
      </c>
    </row>
    <row r="46" spans="1:10" s="320" customFormat="1" ht="29.25" customHeight="1" x14ac:dyDescent="0.25">
      <c r="A46" s="338" t="s">
        <v>537</v>
      </c>
      <c r="B46" s="537">
        <v>17283</v>
      </c>
      <c r="C46" s="537"/>
      <c r="D46" s="537">
        <f t="shared" ref="D46:D51" si="15">B46+C46</f>
        <v>17283</v>
      </c>
      <c r="E46" s="340"/>
      <c r="F46" s="340"/>
      <c r="G46" s="340">
        <f t="shared" si="2"/>
        <v>0</v>
      </c>
      <c r="H46" s="539">
        <f t="shared" si="3"/>
        <v>17283</v>
      </c>
      <c r="I46" s="539">
        <f t="shared" si="3"/>
        <v>0</v>
      </c>
      <c r="J46" s="539">
        <f t="shared" si="3"/>
        <v>17283</v>
      </c>
    </row>
    <row r="47" spans="1:10" s="320" customFormat="1" ht="30.75" customHeight="1" x14ac:dyDescent="0.25">
      <c r="A47" s="338" t="s">
        <v>550</v>
      </c>
      <c r="B47" s="537">
        <v>6965</v>
      </c>
      <c r="C47" s="537"/>
      <c r="D47" s="537">
        <f t="shared" si="15"/>
        <v>6965</v>
      </c>
      <c r="E47" s="340"/>
      <c r="F47" s="340"/>
      <c r="G47" s="340">
        <f t="shared" si="2"/>
        <v>0</v>
      </c>
      <c r="H47" s="539">
        <f t="shared" si="3"/>
        <v>6965</v>
      </c>
      <c r="I47" s="539">
        <f t="shared" si="3"/>
        <v>0</v>
      </c>
      <c r="J47" s="539">
        <f t="shared" si="3"/>
        <v>6965</v>
      </c>
    </row>
    <row r="48" spans="1:10" s="320" customFormat="1" ht="16.5" customHeight="1" x14ac:dyDescent="0.25">
      <c r="A48" s="350" t="s">
        <v>941</v>
      </c>
      <c r="B48" s="339">
        <v>236</v>
      </c>
      <c r="C48" s="339"/>
      <c r="D48" s="537">
        <f t="shared" si="15"/>
        <v>236</v>
      </c>
      <c r="E48" s="340"/>
      <c r="F48" s="340"/>
      <c r="G48" s="340">
        <f t="shared" si="2"/>
        <v>0</v>
      </c>
      <c r="H48" s="539">
        <f t="shared" si="3"/>
        <v>236</v>
      </c>
      <c r="I48" s="539">
        <f t="shared" si="3"/>
        <v>0</v>
      </c>
      <c r="J48" s="539">
        <f t="shared" si="3"/>
        <v>236</v>
      </c>
    </row>
    <row r="49" spans="1:10" s="320" customFormat="1" ht="16.5" customHeight="1" x14ac:dyDescent="0.25">
      <c r="A49" s="350" t="s">
        <v>906</v>
      </c>
      <c r="B49" s="339">
        <v>115</v>
      </c>
      <c r="C49" s="339"/>
      <c r="D49" s="537">
        <f t="shared" si="15"/>
        <v>115</v>
      </c>
      <c r="E49" s="340"/>
      <c r="F49" s="340"/>
      <c r="G49" s="340">
        <f t="shared" si="2"/>
        <v>0</v>
      </c>
      <c r="H49" s="539">
        <f t="shared" si="3"/>
        <v>115</v>
      </c>
      <c r="I49" s="539">
        <f t="shared" si="3"/>
        <v>0</v>
      </c>
      <c r="J49" s="539">
        <f t="shared" si="3"/>
        <v>115</v>
      </c>
    </row>
    <row r="50" spans="1:10" s="320" customFormat="1" ht="16.5" customHeight="1" x14ac:dyDescent="0.25">
      <c r="A50" s="436" t="s">
        <v>799</v>
      </c>
      <c r="B50" s="437">
        <v>1436</v>
      </c>
      <c r="C50" s="437">
        <v>438</v>
      </c>
      <c r="D50" s="537">
        <f t="shared" si="15"/>
        <v>1874</v>
      </c>
      <c r="E50" s="438"/>
      <c r="F50" s="438"/>
      <c r="G50" s="340">
        <f t="shared" si="2"/>
        <v>0</v>
      </c>
      <c r="H50" s="539">
        <f t="shared" si="3"/>
        <v>1436</v>
      </c>
      <c r="I50" s="539">
        <f t="shared" si="3"/>
        <v>438</v>
      </c>
      <c r="J50" s="539">
        <f t="shared" si="3"/>
        <v>1874</v>
      </c>
    </row>
    <row r="51" spans="1:10" s="320" customFormat="1" ht="16.5" customHeight="1" thickBot="1" x14ac:dyDescent="0.3">
      <c r="A51" s="436" t="s">
        <v>861</v>
      </c>
      <c r="B51" s="437"/>
      <c r="C51" s="437"/>
      <c r="D51" s="537">
        <f t="shared" si="15"/>
        <v>0</v>
      </c>
      <c r="E51" s="438">
        <v>16498</v>
      </c>
      <c r="F51" s="438">
        <v>5570</v>
      </c>
      <c r="G51" s="340">
        <f>+F51+E51</f>
        <v>22068</v>
      </c>
      <c r="H51" s="539">
        <f t="shared" si="3"/>
        <v>16498</v>
      </c>
      <c r="I51" s="540">
        <f t="shared" si="3"/>
        <v>5570</v>
      </c>
      <c r="J51" s="540">
        <f t="shared" si="3"/>
        <v>22068</v>
      </c>
    </row>
    <row r="52" spans="1:10" s="320" customFormat="1" ht="16.5" customHeight="1" thickBot="1" x14ac:dyDescent="0.3">
      <c r="A52" s="351" t="s">
        <v>554</v>
      </c>
      <c r="B52" s="352">
        <f>+B48+B47+B46+B33+B16+B45+B49+B50+B51</f>
        <v>376882</v>
      </c>
      <c r="C52" s="352">
        <f t="shared" ref="C52:D52" si="16">+C48+C47+C46+C33+C16+C45+C49+C50+C51</f>
        <v>5873</v>
      </c>
      <c r="D52" s="352">
        <f t="shared" si="16"/>
        <v>382755</v>
      </c>
      <c r="E52" s="353">
        <f>+E44+E33+E51+E16</f>
        <v>113155</v>
      </c>
      <c r="F52" s="353">
        <f>+F44+F33+F51+F16</f>
        <v>5502</v>
      </c>
      <c r="G52" s="353">
        <f>+G44+G33+G51+G16</f>
        <v>118657</v>
      </c>
      <c r="H52" s="435">
        <f t="shared" si="3"/>
        <v>490037</v>
      </c>
      <c r="I52" s="435">
        <f t="shared" si="3"/>
        <v>11375</v>
      </c>
      <c r="J52" s="435">
        <f t="shared" si="3"/>
        <v>501412</v>
      </c>
    </row>
    <row r="53" spans="1:10" hidden="1" x14ac:dyDescent="0.25"/>
    <row r="54" spans="1:10" hidden="1" x14ac:dyDescent="0.25"/>
    <row r="55" spans="1:10" hidden="1" x14ac:dyDescent="0.25">
      <c r="E55" s="322"/>
      <c r="F55" s="322"/>
      <c r="G55" s="322"/>
    </row>
    <row r="56" spans="1:10" ht="25.5" hidden="1" customHeight="1" x14ac:dyDescent="0.25">
      <c r="E56" s="323"/>
      <c r="F56" s="323"/>
      <c r="G56" s="323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>
      <c r="E61" s="322"/>
      <c r="F61" s="322"/>
      <c r="G61" s="322"/>
    </row>
    <row r="62" spans="1:10" ht="12.75" hidden="1" customHeight="1" x14ac:dyDescent="0.25">
      <c r="E62" s="323"/>
      <c r="F62" s="323"/>
      <c r="G62" s="323"/>
    </row>
    <row r="63" spans="1:10" hidden="1" x14ac:dyDescent="0.25"/>
    <row r="64" spans="1:10" hidden="1" x14ac:dyDescent="0.25"/>
    <row r="65" spans="1:10" hidden="1" x14ac:dyDescent="0.25"/>
    <row r="66" spans="1:10" hidden="1" x14ac:dyDescent="0.25"/>
    <row r="67" spans="1:10" hidden="1" x14ac:dyDescent="0.25"/>
    <row r="68" spans="1:10" hidden="1" x14ac:dyDescent="0.25"/>
    <row r="69" spans="1:10" hidden="1" x14ac:dyDescent="0.25"/>
    <row r="70" spans="1:10" hidden="1" x14ac:dyDescent="0.25">
      <c r="A70" s="319" t="s">
        <v>557</v>
      </c>
    </row>
    <row r="71" spans="1:10" ht="25.5" hidden="1" x14ac:dyDescent="0.25">
      <c r="B71" s="321" t="s">
        <v>558</v>
      </c>
      <c r="D71" s="321" t="s">
        <v>558</v>
      </c>
      <c r="E71" s="324"/>
      <c r="F71" s="324"/>
      <c r="G71" s="324"/>
      <c r="H71" s="320" t="s">
        <v>559</v>
      </c>
      <c r="J71" s="320" t="s">
        <v>559</v>
      </c>
    </row>
    <row r="72" spans="1:10" hidden="1" x14ac:dyDescent="0.25">
      <c r="B72" s="321">
        <v>26</v>
      </c>
      <c r="D72" s="321">
        <v>26</v>
      </c>
      <c r="H72" s="320" t="e">
        <f>+#REF!+E72</f>
        <v>#REF!</v>
      </c>
      <c r="J72" s="320">
        <f>+E72+G72</f>
        <v>0</v>
      </c>
    </row>
    <row r="73" spans="1:10" hidden="1" x14ac:dyDescent="0.25"/>
    <row r="74" spans="1:10" hidden="1" x14ac:dyDescent="0.25"/>
    <row r="75" spans="1:10" hidden="1" x14ac:dyDescent="0.25"/>
    <row r="76" spans="1:10" hidden="1" x14ac:dyDescent="0.25"/>
    <row r="78" spans="1:10" x14ac:dyDescent="0.25">
      <c r="A78" s="320"/>
    </row>
  </sheetData>
  <mergeCells count="6">
    <mergeCell ref="J1:J2"/>
    <mergeCell ref="A1:A2"/>
    <mergeCell ref="B1:D1"/>
    <mergeCell ref="E1:G1"/>
    <mergeCell ref="H1:H2"/>
    <mergeCell ref="I1:I2"/>
  </mergeCells>
  <printOptions horizontalCentered="1"/>
  <pageMargins left="0.70866141732283472" right="0.70866141732283472" top="1.0236220472440944" bottom="0.74803149606299213" header="0.39370078740157483" footer="0.31496062992125984"/>
  <pageSetup paperSize="9" scale="47" orientation="portrait" r:id="rId1"/>
  <headerFooter>
    <oddHeader>&amp;C&amp;"Times New Roman,Félkövér"&amp;14MARTONVÁSÁR VÁROS ÖNKORMÁNYZATA 
&amp;"Times New Roman,Normál"NORMATÍV TÁMOGATÁSOK KIMUTATÁSA      &amp;R&amp;"Times New Roman,Félkövér"&amp;10 4. melléklet</oddHeader>
    <oddFooter>&amp;R&amp;P</oddFooter>
  </headerFooter>
  <colBreaks count="1" manualBreakCount="1">
    <brk id="1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16</vt:i4>
      </vt:variant>
    </vt:vector>
  </HeadingPairs>
  <TitlesOfParts>
    <vt:vector size="47" baseType="lpstr">
      <vt:lpstr>Munka1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4.mell. Normatíva ezreselve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6.mell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 Óvoda</vt:lpstr>
      <vt:lpstr>12.d Tételes mód BBK</vt:lpstr>
      <vt:lpstr>12.e Konszolidált módosítás</vt:lpstr>
      <vt:lpstr>'12.a Tételes mód ÖNK'!Nyomtatási_cím</vt:lpstr>
      <vt:lpstr>'12.e Konszolidált módosítás'!Nyomtatási_cím</vt:lpstr>
      <vt:lpstr>'4.mell. Normatíva'!Nyomtatási_cím</vt:lpstr>
      <vt:lpstr>'4.mell. Normatíva ezreselve'!Nyomtatási_cím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'1.mell. Mérleg'!Nyomtatási_terület</vt:lpstr>
      <vt:lpstr>'12.e Konszolidált módosítás'!Nyomtatási_terület</vt:lpstr>
      <vt:lpstr>'6.c. mell. BBKP'!Nyomtatási_terület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2020-03-19T08:43:16Z</cp:lastPrinted>
  <dcterms:created xsi:type="dcterms:W3CDTF">2014-01-29T08:39:20Z</dcterms:created>
  <dcterms:modified xsi:type="dcterms:W3CDTF">2020-04-27T12:58:29Z</dcterms:modified>
</cp:coreProperties>
</file>