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ltai Bernadett\Desktop\"/>
    </mc:Choice>
  </mc:AlternateContent>
  <bookViews>
    <workbookView xWindow="0" yWindow="0" windowWidth="28800" windowHeight="11880" tabRatio="727" firstSheet="21" activeTab="21"/>
  </bookViews>
  <sheets>
    <sheet name="ÖSSZEFÜGGÉSEK" sheetId="75" state="hidden" r:id="rId1"/>
    <sheet name="1.mell.1.tábl." sheetId="1" state="hidden" r:id="rId2"/>
    <sheet name="1.mell.2.tábl." sheetId="148" state="hidden" r:id="rId3"/>
    <sheet name="1.mell.3.tábl." sheetId="149" state="hidden" r:id="rId4"/>
    <sheet name="1.mell.4.tábl." sheetId="150" state="hidden" r:id="rId5"/>
    <sheet name="2.mell.1.tábl." sheetId="73" state="hidden" r:id="rId6"/>
    <sheet name="2.mell.2.tábl." sheetId="61" state="hidden" r:id="rId7"/>
    <sheet name="ELLENŐRZÉS-1.sz.2.a.sz.2.b.sz." sheetId="76" state="hidden" r:id="rId8"/>
    <sheet name="3.mell." sheetId="159" state="hidden" r:id="rId9"/>
    <sheet name="4.mell." sheetId="160" state="hidden" r:id="rId10"/>
    <sheet name="6.mell." sheetId="63" state="hidden" r:id="rId11"/>
    <sheet name="7.mell." sheetId="147" state="hidden" r:id="rId12"/>
    <sheet name="5.sz.mell." sheetId="158" state="hidden" r:id="rId13"/>
    <sheet name="8.sz.melléklet" sheetId="161" state="hidden" r:id="rId14"/>
    <sheet name="9.mell.1.tábl." sheetId="3" state="hidden" r:id="rId15"/>
    <sheet name="9.mell.2.tábl." sheetId="151" state="hidden" r:id="rId16"/>
    <sheet name="9.mell.3.tábl." sheetId="152" state="hidden" r:id="rId17"/>
    <sheet name="9.mell.4-tábl." sheetId="153" state="hidden" r:id="rId18"/>
    <sheet name="9.mell.5.tábl." sheetId="154" state="hidden" r:id="rId19"/>
    <sheet name="9.mell.6.tábl." sheetId="155" state="hidden" r:id="rId20"/>
    <sheet name="9.mell.7-tábl." sheetId="156" state="hidden" r:id="rId21"/>
    <sheet name="9.mell.8-tábl." sheetId="157" r:id="rId22"/>
    <sheet name="10.sz.mell." sheetId="164" state="hidden" r:id="rId23"/>
    <sheet name="11.sz.mell." sheetId="165" state="hidden" r:id="rId24"/>
    <sheet name="12.sz.mell." sheetId="166" state="hidden" r:id="rId25"/>
    <sheet name="13.sz.mell." sheetId="167" state="hidden" r:id="rId26"/>
    <sheet name="14.sz.mell." sheetId="168" state="hidden" r:id="rId27"/>
    <sheet name="15.sz.mell." sheetId="169" state="hidden" r:id="rId28"/>
    <sheet name="16.sz.mell." sheetId="170" state="hidden" r:id="rId29"/>
    <sheet name="17.sz.mell." sheetId="171" state="hidden" r:id="rId30"/>
  </sheets>
  <externalReferences>
    <externalReference r:id="rId31"/>
    <externalReference r:id="rId32"/>
  </externalReferences>
  <definedNames>
    <definedName name="_xlnm.Print_Titles" localSheetId="14">'9.mell.1.tábl.'!$1:$5</definedName>
    <definedName name="_xlnm.Print_Titles" localSheetId="15">'9.mell.2.tábl.'!$1:$5</definedName>
    <definedName name="_xlnm.Print_Titles" localSheetId="16">'9.mell.3.tábl.'!$1:$5</definedName>
    <definedName name="_xlnm.Print_Titles" localSheetId="17">'9.mell.4-tábl.'!$1:$5</definedName>
    <definedName name="_xlnm.Print_Titles" localSheetId="18">'9.mell.5.tábl.'!$1:$5</definedName>
    <definedName name="_xlnm.Print_Titles" localSheetId="19">'9.mell.6.tábl.'!$1:$5</definedName>
    <definedName name="_xlnm.Print_Titles" localSheetId="20">'9.mell.7-tábl.'!$1:$5</definedName>
    <definedName name="_xlnm.Print_Titles" localSheetId="21">'9.mell.8-tábl.'!$1:$5</definedName>
    <definedName name="_xlnm.Print_Area" localSheetId="1">'1.mell.1.tábl.'!$A$1:$G$161</definedName>
    <definedName name="_xlnm.Print_Area" localSheetId="2">'1.mell.2.tábl.'!$A$1:$G$161</definedName>
    <definedName name="_xlnm.Print_Area" localSheetId="3">'1.mell.3.tábl.'!$A$1:$G$161</definedName>
    <definedName name="_xlnm.Print_Area" localSheetId="4">'1.mell.4.tábl.'!$A$1:$G$161</definedName>
    <definedName name="_xlnm.Print_Area" localSheetId="23">'11.sz.mell.'!$A$1:$E$155</definedName>
    <definedName name="_xlnm.Print_Area" localSheetId="5">'2.mell.1.tábl.'!$A$1:$I$36</definedName>
    <definedName name="_xlnm.Print_Area" localSheetId="6">'2.mell.2.tábl.'!$A$1:$I$33</definedName>
    <definedName name="_xlnm.Print_Area" localSheetId="8">'3.mell.'!$A$1:$K$21</definedName>
    <definedName name="_xlnm.Print_Area" localSheetId="18">'9.mell.5.tábl.'!$A$1:$G$158</definedName>
  </definedNames>
  <calcPr calcId="162913"/>
</workbook>
</file>

<file path=xl/calcChain.xml><?xml version="1.0" encoding="utf-8"?>
<calcChain xmlns="http://schemas.openxmlformats.org/spreadsheetml/2006/main">
  <c r="C11" i="160" l="1"/>
  <c r="C3" i="160"/>
  <c r="K14" i="159"/>
  <c r="K21" i="159" s="1"/>
  <c r="J14" i="159"/>
  <c r="J21" i="159" s="1"/>
  <c r="I14" i="159"/>
  <c r="I21" i="159" s="1"/>
  <c r="H14" i="159"/>
  <c r="H21" i="159" s="1"/>
  <c r="G14" i="159"/>
  <c r="G21" i="159" s="1"/>
  <c r="F14" i="159"/>
  <c r="F21" i="159" s="1"/>
  <c r="E14" i="159"/>
  <c r="E21" i="159" s="1"/>
  <c r="D14" i="159"/>
  <c r="D21" i="159" s="1"/>
  <c r="C14" i="159"/>
  <c r="C21" i="159" s="1"/>
  <c r="B14" i="159"/>
  <c r="B21" i="159" s="1"/>
  <c r="K10" i="159"/>
  <c r="J10" i="159"/>
  <c r="I10" i="159"/>
  <c r="H10" i="159"/>
  <c r="G10" i="159"/>
  <c r="F10" i="159"/>
  <c r="E10" i="159"/>
  <c r="D10" i="159"/>
  <c r="C10" i="159"/>
  <c r="B10" i="159"/>
  <c r="E95" i="151"/>
  <c r="H15" i="73"/>
  <c r="H17" i="73"/>
  <c r="I17" i="73" s="1"/>
  <c r="E111" i="151"/>
  <c r="E110" i="151" s="1"/>
  <c r="E113" i="148" s="1"/>
  <c r="D114" i="151"/>
  <c r="D111" i="151"/>
  <c r="D104" i="151"/>
  <c r="D95" i="151"/>
  <c r="D94" i="151"/>
  <c r="D93" i="151"/>
  <c r="D94" i="3" s="1"/>
  <c r="D22" i="151"/>
  <c r="D19" i="151"/>
  <c r="D11" i="151"/>
  <c r="D10" i="151"/>
  <c r="D9" i="148" s="1"/>
  <c r="D9" i="151"/>
  <c r="D8" i="151"/>
  <c r="D95" i="152"/>
  <c r="D96" i="152"/>
  <c r="D98" i="149" s="1"/>
  <c r="F98" i="149" s="1"/>
  <c r="G98" i="149" s="1"/>
  <c r="D115" i="155"/>
  <c r="D96" i="155"/>
  <c r="D96" i="154" s="1"/>
  <c r="D95" i="155"/>
  <c r="F22" i="63"/>
  <c r="H22" i="63" s="1"/>
  <c r="I22" i="63" s="1"/>
  <c r="G24" i="63"/>
  <c r="E8" i="148"/>
  <c r="F16" i="63"/>
  <c r="H16" i="63" s="1"/>
  <c r="I16" i="63" s="1"/>
  <c r="F15" i="63"/>
  <c r="F17" i="63"/>
  <c r="F12" i="63"/>
  <c r="F6" i="147"/>
  <c r="D122" i="151"/>
  <c r="D116" i="151"/>
  <c r="D112" i="151"/>
  <c r="D103" i="151"/>
  <c r="D94" i="152"/>
  <c r="H19" i="73"/>
  <c r="I19" i="73" s="1"/>
  <c r="H14" i="73"/>
  <c r="I14" i="73" s="1"/>
  <c r="H12" i="73"/>
  <c r="E118" i="151"/>
  <c r="F10" i="63"/>
  <c r="F6" i="63"/>
  <c r="F5" i="147"/>
  <c r="D115" i="151"/>
  <c r="F114" i="151"/>
  <c r="G114" i="151"/>
  <c r="D96" i="151"/>
  <c r="D27" i="151"/>
  <c r="D26" i="151"/>
  <c r="D12" i="151"/>
  <c r="D94" i="156"/>
  <c r="D48" i="156"/>
  <c r="D94" i="155"/>
  <c r="F94" i="155" s="1"/>
  <c r="G94" i="155" s="1"/>
  <c r="I18" i="73"/>
  <c r="I9" i="73"/>
  <c r="E93" i="155"/>
  <c r="F23" i="63"/>
  <c r="H23" i="63"/>
  <c r="I23" i="63" s="1"/>
  <c r="E97" i="151"/>
  <c r="D98" i="152"/>
  <c r="E29" i="171"/>
  <c r="E33" i="171" s="1"/>
  <c r="E35" i="171" s="1"/>
  <c r="D29" i="171"/>
  <c r="D33" i="171"/>
  <c r="D35" i="171" s="1"/>
  <c r="C29" i="171"/>
  <c r="C33" i="171"/>
  <c r="C35" i="171"/>
  <c r="E8" i="171"/>
  <c r="E20" i="171" s="1"/>
  <c r="E22" i="171" s="1"/>
  <c r="D8" i="171"/>
  <c r="D20" i="171" s="1"/>
  <c r="D22" i="171" s="1"/>
  <c r="C8" i="171"/>
  <c r="C20" i="171"/>
  <c r="C22" i="171" s="1"/>
  <c r="E3" i="171"/>
  <c r="E26" i="171" s="1"/>
  <c r="D3" i="171"/>
  <c r="D26" i="171" s="1"/>
  <c r="C3" i="171"/>
  <c r="C26" i="171" s="1"/>
  <c r="E2" i="171"/>
  <c r="E25" i="171" s="1"/>
  <c r="D38" i="170"/>
  <c r="C3" i="170"/>
  <c r="A1" i="170"/>
  <c r="B25" i="169"/>
  <c r="B3" i="169"/>
  <c r="A1" i="169"/>
  <c r="N26" i="168"/>
  <c r="M26" i="168"/>
  <c r="L26" i="168"/>
  <c r="K26" i="168"/>
  <c r="J26" i="168"/>
  <c r="I26" i="168"/>
  <c r="H26" i="168"/>
  <c r="G26" i="168"/>
  <c r="F26" i="168"/>
  <c r="E26" i="168"/>
  <c r="D26" i="168"/>
  <c r="C26" i="168"/>
  <c r="O25" i="168"/>
  <c r="O24" i="168"/>
  <c r="O23" i="168"/>
  <c r="O22" i="168"/>
  <c r="O21" i="168"/>
  <c r="O20" i="168"/>
  <c r="O19" i="168"/>
  <c r="O18" i="168"/>
  <c r="O17" i="168"/>
  <c r="O16" i="168"/>
  <c r="N14" i="168"/>
  <c r="M14" i="168"/>
  <c r="L14" i="168"/>
  <c r="K14" i="168"/>
  <c r="J14" i="168"/>
  <c r="I14" i="168"/>
  <c r="H14" i="168"/>
  <c r="G14" i="168"/>
  <c r="F14" i="168"/>
  <c r="E14" i="168"/>
  <c r="D14" i="168"/>
  <c r="C14" i="168"/>
  <c r="O13" i="168"/>
  <c r="O12" i="168"/>
  <c r="O11" i="168"/>
  <c r="O10" i="168"/>
  <c r="O9" i="168"/>
  <c r="O8" i="168"/>
  <c r="O7" i="168"/>
  <c r="O6" i="168"/>
  <c r="O5" i="168"/>
  <c r="O2" i="168"/>
  <c r="A1" i="168"/>
  <c r="D30" i="167"/>
  <c r="C30" i="167"/>
  <c r="D2" i="167"/>
  <c r="I18" i="166"/>
  <c r="H17" i="166"/>
  <c r="G17" i="166"/>
  <c r="F17" i="166"/>
  <c r="E17" i="166"/>
  <c r="D17" i="166"/>
  <c r="I16" i="166"/>
  <c r="H15" i="166"/>
  <c r="G15" i="166"/>
  <c r="F15" i="166"/>
  <c r="E15" i="166"/>
  <c r="D15" i="166"/>
  <c r="I15" i="166"/>
  <c r="I14" i="166"/>
  <c r="I13" i="166"/>
  <c r="H12" i="166"/>
  <c r="G12" i="166"/>
  <c r="F12" i="166"/>
  <c r="E12" i="166"/>
  <c r="D12" i="166"/>
  <c r="I12" i="166"/>
  <c r="I11" i="166"/>
  <c r="I10" i="166"/>
  <c r="H9" i="166"/>
  <c r="G9" i="166"/>
  <c r="F9" i="166"/>
  <c r="E9" i="166"/>
  <c r="D9" i="166"/>
  <c r="I8" i="166"/>
  <c r="I7" i="166"/>
  <c r="H6" i="166"/>
  <c r="G6" i="166"/>
  <c r="F6" i="166"/>
  <c r="E6" i="166"/>
  <c r="D6" i="166"/>
  <c r="H4" i="166"/>
  <c r="G4" i="166"/>
  <c r="F4" i="166"/>
  <c r="E4" i="166"/>
  <c r="D3" i="166"/>
  <c r="I2" i="166"/>
  <c r="E151" i="165"/>
  <c r="E150" i="165"/>
  <c r="E148" i="165"/>
  <c r="E147" i="165"/>
  <c r="D146" i="165"/>
  <c r="C146" i="165"/>
  <c r="E145" i="165"/>
  <c r="E144" i="165"/>
  <c r="E143" i="165"/>
  <c r="E142" i="165"/>
  <c r="E141" i="165" s="1"/>
  <c r="D141" i="165"/>
  <c r="C141" i="165"/>
  <c r="E138" i="165"/>
  <c r="E137" i="165"/>
  <c r="E136" i="165"/>
  <c r="E135" i="165"/>
  <c r="D134" i="165"/>
  <c r="C134" i="165"/>
  <c r="E133" i="165"/>
  <c r="E131" i="165"/>
  <c r="D130" i="165"/>
  <c r="D154" i="165" s="1"/>
  <c r="C130" i="165"/>
  <c r="C154" i="165" s="1"/>
  <c r="E128" i="165"/>
  <c r="E127" i="165"/>
  <c r="E126" i="165"/>
  <c r="E125" i="165"/>
  <c r="E124" i="165"/>
  <c r="E123" i="165"/>
  <c r="E121" i="165"/>
  <c r="E120" i="165"/>
  <c r="E119" i="165"/>
  <c r="E118" i="165"/>
  <c r="E117" i="165"/>
  <c r="E116" i="165"/>
  <c r="E115" i="165"/>
  <c r="D116" i="165"/>
  <c r="D115" i="165" s="1"/>
  <c r="C115" i="165"/>
  <c r="E114" i="165"/>
  <c r="E113" i="165"/>
  <c r="E110" i="165"/>
  <c r="E109" i="165"/>
  <c r="E108" i="165"/>
  <c r="E107" i="165"/>
  <c r="E106" i="165"/>
  <c r="E105" i="165"/>
  <c r="E104" i="165"/>
  <c r="E101" i="165"/>
  <c r="E100" i="165"/>
  <c r="E97" i="165"/>
  <c r="D97" i="165"/>
  <c r="D96" i="165"/>
  <c r="D95" i="165"/>
  <c r="C94" i="165"/>
  <c r="C129" i="165"/>
  <c r="E85" i="165"/>
  <c r="E84" i="165"/>
  <c r="D81" i="165"/>
  <c r="C81" i="165"/>
  <c r="E80" i="165"/>
  <c r="E78" i="165"/>
  <c r="D77" i="165"/>
  <c r="C77" i="165"/>
  <c r="E75" i="165"/>
  <c r="D74" i="165"/>
  <c r="C74" i="165"/>
  <c r="E72" i="165"/>
  <c r="E70" i="165"/>
  <c r="D69" i="165"/>
  <c r="C69" i="165"/>
  <c r="E66" i="165"/>
  <c r="D65" i="165"/>
  <c r="C65" i="165"/>
  <c r="E62" i="165"/>
  <c r="E60" i="165"/>
  <c r="D59" i="165"/>
  <c r="C59" i="165"/>
  <c r="E58" i="165"/>
  <c r="E55" i="165"/>
  <c r="D54" i="165"/>
  <c r="C54" i="165"/>
  <c r="E51" i="165"/>
  <c r="E49" i="165"/>
  <c r="D48" i="165"/>
  <c r="C48" i="165"/>
  <c r="E47" i="165"/>
  <c r="D47" i="165"/>
  <c r="E46" i="165"/>
  <c r="E44" i="165"/>
  <c r="D44" i="165"/>
  <c r="D36" i="165" s="1"/>
  <c r="E43" i="165"/>
  <c r="E42" i="165"/>
  <c r="E41" i="165"/>
  <c r="E39" i="165"/>
  <c r="D39" i="165"/>
  <c r="E38" i="165"/>
  <c r="E37" i="165"/>
  <c r="C36" i="165"/>
  <c r="E34" i="165"/>
  <c r="E32" i="165"/>
  <c r="E31" i="165"/>
  <c r="E29" i="165"/>
  <c r="D26" i="165"/>
  <c r="C26" i="165"/>
  <c r="E25" i="165"/>
  <c r="E23" i="165"/>
  <c r="E22" i="165"/>
  <c r="E21" i="165"/>
  <c r="E20" i="165"/>
  <c r="D19" i="165"/>
  <c r="C19" i="165"/>
  <c r="D17" i="165"/>
  <c r="D12" i="165" s="1"/>
  <c r="E16" i="165"/>
  <c r="E15" i="165"/>
  <c r="E13" i="165"/>
  <c r="C12" i="165"/>
  <c r="E11" i="165"/>
  <c r="E9" i="165"/>
  <c r="E7" i="165"/>
  <c r="E6" i="165"/>
  <c r="D5" i="165"/>
  <c r="C5" i="165"/>
  <c r="E3" i="165"/>
  <c r="E92" i="165"/>
  <c r="D3" i="165"/>
  <c r="D92" i="165" s="1"/>
  <c r="C3" i="165"/>
  <c r="C92" i="165"/>
  <c r="E2" i="165"/>
  <c r="E91" i="165" s="1"/>
  <c r="A20" i="164"/>
  <c r="F16" i="164"/>
  <c r="E16" i="164"/>
  <c r="D16" i="164"/>
  <c r="C16" i="164"/>
  <c r="G15" i="164"/>
  <c r="G14" i="164"/>
  <c r="G13" i="164"/>
  <c r="G12" i="164"/>
  <c r="G11" i="164"/>
  <c r="G10" i="164"/>
  <c r="D122" i="161"/>
  <c r="A117" i="161"/>
  <c r="D115" i="161"/>
  <c r="C115" i="161"/>
  <c r="B115" i="161"/>
  <c r="E114" i="161"/>
  <c r="E113" i="161"/>
  <c r="E112" i="161"/>
  <c r="E111" i="161"/>
  <c r="E110" i="161"/>
  <c r="E109" i="161"/>
  <c r="E115" i="161" s="1"/>
  <c r="E108" i="161"/>
  <c r="D105" i="161"/>
  <c r="C105" i="161"/>
  <c r="B105" i="161"/>
  <c r="E104" i="161"/>
  <c r="E103" i="161"/>
  <c r="E102" i="161"/>
  <c r="E101" i="161"/>
  <c r="E100" i="161"/>
  <c r="E99" i="161"/>
  <c r="E98" i="161"/>
  <c r="D92" i="161"/>
  <c r="C92" i="161"/>
  <c r="B92" i="161"/>
  <c r="E91" i="161"/>
  <c r="E90" i="161"/>
  <c r="E89" i="161"/>
  <c r="E88" i="161"/>
  <c r="E87" i="161"/>
  <c r="E86" i="161"/>
  <c r="E85" i="161"/>
  <c r="D82" i="161"/>
  <c r="C82" i="161"/>
  <c r="B82" i="161"/>
  <c r="E81" i="161"/>
  <c r="E80" i="161"/>
  <c r="E79" i="161"/>
  <c r="E78" i="161"/>
  <c r="E77" i="161"/>
  <c r="E82" i="161"/>
  <c r="E76" i="161"/>
  <c r="E75" i="161"/>
  <c r="D69" i="161"/>
  <c r="C69" i="161"/>
  <c r="B69" i="161"/>
  <c r="E68" i="161"/>
  <c r="E67" i="161"/>
  <c r="E66" i="161"/>
  <c r="E65" i="161"/>
  <c r="E64" i="161"/>
  <c r="E63" i="161"/>
  <c r="E62" i="161"/>
  <c r="D59" i="161"/>
  <c r="C59" i="161"/>
  <c r="B59" i="161"/>
  <c r="E58" i="161"/>
  <c r="E57" i="161"/>
  <c r="E56" i="161"/>
  <c r="E55" i="161"/>
  <c r="E54" i="161"/>
  <c r="E53" i="161"/>
  <c r="E52" i="161"/>
  <c r="E59" i="161" s="1"/>
  <c r="D50" i="161"/>
  <c r="D73" i="161" s="1"/>
  <c r="D96" i="161" s="1"/>
  <c r="D46" i="161"/>
  <c r="C46" i="161"/>
  <c r="B46" i="161"/>
  <c r="E45" i="161"/>
  <c r="E44" i="161"/>
  <c r="E43" i="161"/>
  <c r="E42" i="161"/>
  <c r="E41" i="161"/>
  <c r="E40" i="161"/>
  <c r="E39" i="161"/>
  <c r="D36" i="161"/>
  <c r="C36" i="161"/>
  <c r="B36" i="161"/>
  <c r="E35" i="161"/>
  <c r="E34" i="161"/>
  <c r="E33" i="161"/>
  <c r="E32" i="161"/>
  <c r="E31" i="161"/>
  <c r="E30" i="161"/>
  <c r="E29" i="161"/>
  <c r="D28" i="161"/>
  <c r="D38" i="161" s="1"/>
  <c r="D51" i="161" s="1"/>
  <c r="D61" i="161" s="1"/>
  <c r="D74" i="161" s="1"/>
  <c r="D84" i="161" s="1"/>
  <c r="D97" i="161" s="1"/>
  <c r="D107" i="161" s="1"/>
  <c r="C28" i="161"/>
  <c r="C38" i="161" s="1"/>
  <c r="C51" i="161" s="1"/>
  <c r="C61" i="161" s="1"/>
  <c r="C74" i="161" s="1"/>
  <c r="C84" i="161" s="1"/>
  <c r="C97" i="161" s="1"/>
  <c r="C107" i="161" s="1"/>
  <c r="B28" i="161"/>
  <c r="B38" i="161" s="1"/>
  <c r="B51" i="161" s="1"/>
  <c r="B61" i="161" s="1"/>
  <c r="B74" i="161" s="1"/>
  <c r="B84" i="161" s="1"/>
  <c r="B97" i="161" s="1"/>
  <c r="B107" i="161" s="1"/>
  <c r="D22" i="161"/>
  <c r="C22" i="161"/>
  <c r="B22" i="161"/>
  <c r="E21" i="161"/>
  <c r="E20" i="161"/>
  <c r="E19" i="161"/>
  <c r="E18" i="161"/>
  <c r="E17" i="161"/>
  <c r="E16" i="161"/>
  <c r="E15" i="161"/>
  <c r="D12" i="161"/>
  <c r="C12" i="161"/>
  <c r="B12" i="161"/>
  <c r="E11" i="161"/>
  <c r="E10" i="161"/>
  <c r="E9" i="161"/>
  <c r="E8" i="161"/>
  <c r="E7" i="161"/>
  <c r="E6" i="161"/>
  <c r="E5" i="161"/>
  <c r="E12" i="161" s="1"/>
  <c r="D4" i="161"/>
  <c r="D14" i="161" s="1"/>
  <c r="C4" i="161"/>
  <c r="C14" i="161" s="1"/>
  <c r="B4" i="161"/>
  <c r="B14" i="161" s="1"/>
  <c r="C8" i="158"/>
  <c r="A1" i="158"/>
  <c r="I11" i="73"/>
  <c r="I12" i="73"/>
  <c r="I13" i="73"/>
  <c r="I15" i="73"/>
  <c r="I16" i="73"/>
  <c r="E98" i="152"/>
  <c r="F98" i="151"/>
  <c r="F99" i="151"/>
  <c r="F100" i="151"/>
  <c r="F101" i="151"/>
  <c r="G101" i="151" s="1"/>
  <c r="F102" i="151"/>
  <c r="G102" i="151" s="1"/>
  <c r="F103" i="151"/>
  <c r="F105" i="151"/>
  <c r="F106" i="151"/>
  <c r="F107" i="151"/>
  <c r="F108" i="151"/>
  <c r="F109" i="151"/>
  <c r="I8" i="63"/>
  <c r="E24" i="63"/>
  <c r="B24" i="63"/>
  <c r="F157" i="151"/>
  <c r="E19" i="154"/>
  <c r="D38" i="148"/>
  <c r="D39" i="148"/>
  <c r="D40" i="148"/>
  <c r="D41" i="148"/>
  <c r="D42" i="148"/>
  <c r="D43" i="148"/>
  <c r="D44" i="148"/>
  <c r="D45" i="148"/>
  <c r="D46" i="148"/>
  <c r="D47" i="148"/>
  <c r="E132" i="148"/>
  <c r="F77" i="155"/>
  <c r="G77" i="155" s="1"/>
  <c r="F78" i="155"/>
  <c r="G78" i="155" s="1"/>
  <c r="G78" i="154" s="1"/>
  <c r="C133" i="148"/>
  <c r="C134" i="148"/>
  <c r="G32" i="151"/>
  <c r="H20" i="63"/>
  <c r="I20" i="63" s="1"/>
  <c r="H17" i="63"/>
  <c r="I17" i="63" s="1"/>
  <c r="H21" i="63"/>
  <c r="I21" i="63"/>
  <c r="H18" i="63"/>
  <c r="I18" i="63" s="1"/>
  <c r="C150" i="150"/>
  <c r="D150" i="150"/>
  <c r="E150" i="150"/>
  <c r="C151" i="150"/>
  <c r="D151" i="150"/>
  <c r="E151" i="150"/>
  <c r="C152" i="150"/>
  <c r="D152" i="150"/>
  <c r="E152" i="150"/>
  <c r="C149" i="150"/>
  <c r="D149" i="150"/>
  <c r="E149" i="150"/>
  <c r="D148" i="150"/>
  <c r="E148" i="150"/>
  <c r="F148" i="150" s="1"/>
  <c r="C148" i="150"/>
  <c r="D145" i="150"/>
  <c r="F145" i="150" s="1"/>
  <c r="G145" i="150" s="1"/>
  <c r="E145" i="150"/>
  <c r="D146" i="150"/>
  <c r="E146" i="150"/>
  <c r="C146" i="150"/>
  <c r="C145" i="150"/>
  <c r="D143" i="150"/>
  <c r="E143" i="150"/>
  <c r="D144" i="150"/>
  <c r="E144" i="150"/>
  <c r="C144" i="150"/>
  <c r="C143" i="150"/>
  <c r="D136" i="150"/>
  <c r="E136" i="150"/>
  <c r="D137" i="150"/>
  <c r="E137" i="150"/>
  <c r="D138" i="150"/>
  <c r="E138" i="150"/>
  <c r="D139" i="150"/>
  <c r="E139" i="150"/>
  <c r="D140" i="150"/>
  <c r="E140" i="150"/>
  <c r="D141" i="150"/>
  <c r="E141" i="150"/>
  <c r="C137" i="150"/>
  <c r="C138" i="150"/>
  <c r="C139" i="150"/>
  <c r="C140" i="150"/>
  <c r="C141" i="150"/>
  <c r="C136" i="150"/>
  <c r="C133" i="150"/>
  <c r="D133" i="150"/>
  <c r="E133" i="150"/>
  <c r="C134" i="150"/>
  <c r="D134" i="150"/>
  <c r="E134" i="150"/>
  <c r="D132" i="150"/>
  <c r="E132" i="150"/>
  <c r="C132" i="150"/>
  <c r="C118" i="150"/>
  <c r="D118" i="150"/>
  <c r="E118" i="150"/>
  <c r="C119" i="150"/>
  <c r="D119" i="150"/>
  <c r="E119" i="150"/>
  <c r="C120" i="150"/>
  <c r="D120" i="150"/>
  <c r="E120" i="150"/>
  <c r="C121" i="150"/>
  <c r="D121" i="150"/>
  <c r="F121" i="150" s="1"/>
  <c r="E121" i="150"/>
  <c r="C122" i="150"/>
  <c r="D122" i="150"/>
  <c r="E122" i="150"/>
  <c r="C123" i="150"/>
  <c r="D123" i="150"/>
  <c r="E123" i="150"/>
  <c r="C124" i="150"/>
  <c r="D124" i="150"/>
  <c r="E124" i="150"/>
  <c r="F124" i="150" s="1"/>
  <c r="C125" i="150"/>
  <c r="D125" i="150"/>
  <c r="E125" i="150"/>
  <c r="C126" i="150"/>
  <c r="D126" i="150"/>
  <c r="E126" i="150"/>
  <c r="C127" i="150"/>
  <c r="D127" i="150"/>
  <c r="E127" i="150"/>
  <c r="C128" i="150"/>
  <c r="D128" i="150"/>
  <c r="E128" i="150"/>
  <c r="C129" i="150"/>
  <c r="D129" i="150"/>
  <c r="E129" i="150"/>
  <c r="D117" i="150"/>
  <c r="E117" i="150"/>
  <c r="C117" i="150"/>
  <c r="D96" i="150"/>
  <c r="E96" i="150"/>
  <c r="D97" i="150"/>
  <c r="E97" i="150"/>
  <c r="D98" i="150"/>
  <c r="E98" i="150"/>
  <c r="D99" i="150"/>
  <c r="E99" i="150"/>
  <c r="D100" i="150"/>
  <c r="E100" i="150"/>
  <c r="D101" i="150"/>
  <c r="E101" i="150"/>
  <c r="D102" i="150"/>
  <c r="E102" i="150"/>
  <c r="D103" i="150"/>
  <c r="E103" i="150"/>
  <c r="D104" i="150"/>
  <c r="E104" i="150"/>
  <c r="D105" i="150"/>
  <c r="E105" i="150"/>
  <c r="D106" i="150"/>
  <c r="E106" i="150"/>
  <c r="D107" i="150"/>
  <c r="E107" i="150"/>
  <c r="D108" i="150"/>
  <c r="E108" i="150"/>
  <c r="D109" i="150"/>
  <c r="F109" i="150"/>
  <c r="E109" i="150"/>
  <c r="D110" i="150"/>
  <c r="E110" i="150"/>
  <c r="D111" i="150"/>
  <c r="E111" i="150"/>
  <c r="D112" i="150"/>
  <c r="E112" i="150"/>
  <c r="D113" i="150"/>
  <c r="F113" i="150" s="1"/>
  <c r="E113" i="150"/>
  <c r="D114" i="150"/>
  <c r="E114" i="150"/>
  <c r="D115" i="150"/>
  <c r="F115" i="150" s="1"/>
  <c r="E115" i="150"/>
  <c r="C97" i="150"/>
  <c r="C98" i="150"/>
  <c r="C99" i="150"/>
  <c r="C100" i="150"/>
  <c r="C101" i="150"/>
  <c r="C102" i="150"/>
  <c r="C103" i="150"/>
  <c r="C104" i="150"/>
  <c r="C105" i="150"/>
  <c r="C106" i="150"/>
  <c r="C107" i="150"/>
  <c r="C108" i="150"/>
  <c r="C109" i="150"/>
  <c r="C110" i="150"/>
  <c r="C111" i="150"/>
  <c r="C112" i="150"/>
  <c r="C113" i="150"/>
  <c r="C114" i="150"/>
  <c r="C115" i="150"/>
  <c r="C96" i="150"/>
  <c r="D82" i="150"/>
  <c r="E82" i="150"/>
  <c r="D83" i="150"/>
  <c r="E83" i="150"/>
  <c r="D84" i="150"/>
  <c r="E84" i="150"/>
  <c r="D85" i="150"/>
  <c r="E85" i="150"/>
  <c r="C83" i="150"/>
  <c r="C84" i="150"/>
  <c r="C85" i="150"/>
  <c r="C82" i="150"/>
  <c r="D78" i="150"/>
  <c r="E78" i="150"/>
  <c r="D79" i="150"/>
  <c r="E79" i="150"/>
  <c r="D80" i="150"/>
  <c r="E80" i="150"/>
  <c r="C79" i="150"/>
  <c r="C80" i="150"/>
  <c r="C78" i="150"/>
  <c r="D75" i="150"/>
  <c r="E75" i="150"/>
  <c r="D76" i="150"/>
  <c r="E76" i="150"/>
  <c r="C76" i="150"/>
  <c r="C75" i="150"/>
  <c r="D70" i="150"/>
  <c r="E70" i="150"/>
  <c r="D71" i="150"/>
  <c r="E71" i="150"/>
  <c r="D72" i="150"/>
  <c r="E72" i="150"/>
  <c r="D73" i="150"/>
  <c r="E73" i="150"/>
  <c r="C71" i="150"/>
  <c r="C72" i="150"/>
  <c r="C73" i="150"/>
  <c r="C70" i="150"/>
  <c r="D66" i="150"/>
  <c r="E66" i="150"/>
  <c r="D67" i="150"/>
  <c r="E67" i="150"/>
  <c r="D68" i="150"/>
  <c r="E68" i="150"/>
  <c r="F68" i="150" s="1"/>
  <c r="C67" i="150"/>
  <c r="C68" i="150"/>
  <c r="C66" i="150"/>
  <c r="D60" i="150"/>
  <c r="F60" i="150" s="1"/>
  <c r="E60" i="150"/>
  <c r="D61" i="150"/>
  <c r="E61" i="150"/>
  <c r="D62" i="150"/>
  <c r="F62" i="150" s="1"/>
  <c r="G62" i="150" s="1"/>
  <c r="E62" i="150"/>
  <c r="D63" i="150"/>
  <c r="F63" i="150" s="1"/>
  <c r="E63" i="150"/>
  <c r="C61" i="150"/>
  <c r="C62" i="150"/>
  <c r="C63" i="150"/>
  <c r="C60" i="150"/>
  <c r="D55" i="150"/>
  <c r="E55" i="150"/>
  <c r="D56" i="150"/>
  <c r="F56" i="150" s="1"/>
  <c r="E56" i="150"/>
  <c r="D57" i="150"/>
  <c r="E57" i="150"/>
  <c r="D58" i="150"/>
  <c r="E58" i="150"/>
  <c r="C56" i="150"/>
  <c r="C57" i="150"/>
  <c r="C58" i="150"/>
  <c r="C55" i="150"/>
  <c r="D49" i="150"/>
  <c r="E49" i="150"/>
  <c r="D50" i="150"/>
  <c r="E50" i="150"/>
  <c r="D51" i="150"/>
  <c r="F51" i="150" s="1"/>
  <c r="E51" i="150"/>
  <c r="D52" i="150"/>
  <c r="E52" i="150"/>
  <c r="D53" i="150"/>
  <c r="F53" i="150" s="1"/>
  <c r="E53" i="150"/>
  <c r="C50" i="150"/>
  <c r="C51" i="150"/>
  <c r="C52" i="150"/>
  <c r="C53" i="150"/>
  <c r="C49" i="150"/>
  <c r="D37" i="150"/>
  <c r="E37" i="150"/>
  <c r="D38" i="150"/>
  <c r="E38" i="150"/>
  <c r="D39" i="150"/>
  <c r="E39" i="150"/>
  <c r="D40" i="150"/>
  <c r="E40" i="150"/>
  <c r="D41" i="150"/>
  <c r="E41" i="150"/>
  <c r="D42" i="150"/>
  <c r="E42" i="150"/>
  <c r="D43" i="150"/>
  <c r="E43" i="150"/>
  <c r="D44" i="150"/>
  <c r="E44" i="150"/>
  <c r="D45" i="150"/>
  <c r="E45" i="150"/>
  <c r="D46" i="150"/>
  <c r="E46" i="150"/>
  <c r="D47" i="150"/>
  <c r="E47" i="150"/>
  <c r="C38" i="150"/>
  <c r="C39" i="150"/>
  <c r="C40" i="150"/>
  <c r="C41" i="150"/>
  <c r="C42" i="150"/>
  <c r="C43" i="150"/>
  <c r="C44" i="150"/>
  <c r="C45" i="150"/>
  <c r="C46" i="150"/>
  <c r="C47" i="150"/>
  <c r="C37" i="150"/>
  <c r="D28" i="150"/>
  <c r="E28" i="150"/>
  <c r="D29" i="150"/>
  <c r="E29" i="150"/>
  <c r="D30" i="150"/>
  <c r="E30" i="150"/>
  <c r="D31" i="150"/>
  <c r="F31" i="150" s="1"/>
  <c r="E31" i="150"/>
  <c r="D32" i="150"/>
  <c r="E32" i="150"/>
  <c r="D33" i="150"/>
  <c r="E33" i="150"/>
  <c r="D34" i="150"/>
  <c r="E34" i="150"/>
  <c r="D35" i="150"/>
  <c r="F35" i="150" s="1"/>
  <c r="E35" i="150"/>
  <c r="C29" i="150"/>
  <c r="C30" i="150"/>
  <c r="C31" i="150"/>
  <c r="C32" i="150"/>
  <c r="C33" i="150"/>
  <c r="C34" i="150"/>
  <c r="C35" i="150"/>
  <c r="C28" i="150"/>
  <c r="D21" i="150"/>
  <c r="E21" i="150"/>
  <c r="D22" i="150"/>
  <c r="E22" i="150"/>
  <c r="D23" i="150"/>
  <c r="E23" i="150"/>
  <c r="D24" i="150"/>
  <c r="E24" i="150"/>
  <c r="D25" i="150"/>
  <c r="E25" i="150"/>
  <c r="D26" i="150"/>
  <c r="F26" i="150" s="1"/>
  <c r="E26" i="150"/>
  <c r="C22" i="150"/>
  <c r="C23" i="150"/>
  <c r="C24" i="150"/>
  <c r="C25" i="150"/>
  <c r="C26" i="150"/>
  <c r="C21" i="150"/>
  <c r="D14" i="150"/>
  <c r="F14" i="150" s="1"/>
  <c r="E14" i="150"/>
  <c r="D15" i="150"/>
  <c r="E15" i="150"/>
  <c r="D16" i="150"/>
  <c r="E16" i="150"/>
  <c r="D17" i="150"/>
  <c r="E17" i="150"/>
  <c r="D18" i="150"/>
  <c r="F18" i="150" s="1"/>
  <c r="G18" i="150" s="1"/>
  <c r="E18" i="150"/>
  <c r="D19" i="150"/>
  <c r="E19" i="150"/>
  <c r="C15" i="150"/>
  <c r="C16" i="150"/>
  <c r="C17" i="150"/>
  <c r="C18" i="150"/>
  <c r="C19" i="150"/>
  <c r="C14" i="150"/>
  <c r="D7" i="150"/>
  <c r="F7" i="150" s="1"/>
  <c r="E7" i="150"/>
  <c r="D8" i="150"/>
  <c r="E8" i="150"/>
  <c r="D9" i="150"/>
  <c r="E9" i="150"/>
  <c r="D10" i="150"/>
  <c r="E10" i="150"/>
  <c r="D11" i="150"/>
  <c r="E11" i="150"/>
  <c r="E6" i="150" s="1"/>
  <c r="D12" i="150"/>
  <c r="E12" i="150"/>
  <c r="C8" i="150"/>
  <c r="C9" i="150"/>
  <c r="C10" i="150"/>
  <c r="C11" i="150"/>
  <c r="C12" i="150"/>
  <c r="C7" i="150"/>
  <c r="D148" i="149"/>
  <c r="E148" i="149"/>
  <c r="D149" i="149"/>
  <c r="F149" i="149" s="1"/>
  <c r="E149" i="149"/>
  <c r="D150" i="149"/>
  <c r="E150" i="149"/>
  <c r="D151" i="149"/>
  <c r="E151" i="149"/>
  <c r="D152" i="149"/>
  <c r="E152" i="149"/>
  <c r="C149" i="149"/>
  <c r="C150" i="149"/>
  <c r="C151" i="149"/>
  <c r="C152" i="149"/>
  <c r="C148" i="149"/>
  <c r="D145" i="149"/>
  <c r="E145" i="149"/>
  <c r="D146" i="149"/>
  <c r="E146" i="149"/>
  <c r="C146" i="149"/>
  <c r="C145" i="149"/>
  <c r="D143" i="149"/>
  <c r="E143" i="149"/>
  <c r="D144" i="149"/>
  <c r="D142" i="149" s="1"/>
  <c r="E144" i="149"/>
  <c r="C144" i="149"/>
  <c r="C143" i="149"/>
  <c r="D136" i="149"/>
  <c r="E136" i="149"/>
  <c r="D137" i="149"/>
  <c r="F137" i="149"/>
  <c r="E137" i="149"/>
  <c r="D138" i="149"/>
  <c r="E138" i="149"/>
  <c r="D139" i="149"/>
  <c r="E139" i="149"/>
  <c r="D140" i="149"/>
  <c r="E140" i="149"/>
  <c r="D141" i="149"/>
  <c r="F141" i="149" s="1"/>
  <c r="G141" i="149" s="1"/>
  <c r="E141" i="149"/>
  <c r="C137" i="149"/>
  <c r="C138" i="149"/>
  <c r="C139" i="149"/>
  <c r="C140" i="149"/>
  <c r="C141" i="149"/>
  <c r="C136" i="149"/>
  <c r="D132" i="149"/>
  <c r="E132" i="149"/>
  <c r="D133" i="149"/>
  <c r="E133" i="149"/>
  <c r="D134" i="149"/>
  <c r="E134" i="149"/>
  <c r="C133" i="149"/>
  <c r="C134" i="149"/>
  <c r="C132" i="149"/>
  <c r="D117" i="149"/>
  <c r="E117" i="149"/>
  <c r="D118" i="149"/>
  <c r="E118" i="149"/>
  <c r="D119" i="149"/>
  <c r="E119" i="149"/>
  <c r="F119" i="149" s="1"/>
  <c r="D120" i="149"/>
  <c r="E120" i="149"/>
  <c r="D121" i="149"/>
  <c r="E121" i="149"/>
  <c r="F121" i="149" s="1"/>
  <c r="D122" i="149"/>
  <c r="E122" i="149"/>
  <c r="D123" i="149"/>
  <c r="E123" i="149"/>
  <c r="D124" i="149"/>
  <c r="E124" i="149"/>
  <c r="D125" i="149"/>
  <c r="E125" i="149"/>
  <c r="D126" i="149"/>
  <c r="E126" i="149"/>
  <c r="D127" i="149"/>
  <c r="E127" i="149"/>
  <c r="D128" i="149"/>
  <c r="E128" i="149"/>
  <c r="D129" i="149"/>
  <c r="E129" i="149"/>
  <c r="F129" i="149" s="1"/>
  <c r="C118" i="149"/>
  <c r="C119" i="149"/>
  <c r="C120" i="149"/>
  <c r="C121" i="149"/>
  <c r="C122" i="149"/>
  <c r="C123" i="149"/>
  <c r="C124" i="149"/>
  <c r="C125" i="149"/>
  <c r="C126" i="149"/>
  <c r="C127" i="149"/>
  <c r="C128" i="149"/>
  <c r="C129" i="149"/>
  <c r="C117" i="149"/>
  <c r="E96" i="149"/>
  <c r="E97" i="149"/>
  <c r="E98" i="149"/>
  <c r="D99" i="149"/>
  <c r="E99" i="149"/>
  <c r="D101" i="149"/>
  <c r="E101" i="149"/>
  <c r="D102" i="149"/>
  <c r="E102" i="149"/>
  <c r="D103" i="149"/>
  <c r="F103" i="149" s="1"/>
  <c r="E103" i="149"/>
  <c r="D104" i="149"/>
  <c r="E104" i="149"/>
  <c r="D105" i="149"/>
  <c r="E105" i="149"/>
  <c r="D106" i="149"/>
  <c r="E106" i="149"/>
  <c r="D107" i="149"/>
  <c r="F107" i="149" s="1"/>
  <c r="E107" i="149"/>
  <c r="D108" i="149"/>
  <c r="E108" i="149"/>
  <c r="D109" i="149"/>
  <c r="E109" i="149"/>
  <c r="D110" i="149"/>
  <c r="E110" i="149"/>
  <c r="D111" i="149"/>
  <c r="E111" i="149"/>
  <c r="D112" i="149"/>
  <c r="E112" i="149"/>
  <c r="D113" i="149"/>
  <c r="F113" i="149" s="1"/>
  <c r="E113" i="149"/>
  <c r="D114" i="149"/>
  <c r="E114" i="149"/>
  <c r="D115" i="149"/>
  <c r="E115" i="149"/>
  <c r="C97" i="149"/>
  <c r="C98" i="149"/>
  <c r="C99" i="149"/>
  <c r="C100" i="149"/>
  <c r="C101" i="149"/>
  <c r="C102" i="149"/>
  <c r="C103" i="149"/>
  <c r="C104" i="149"/>
  <c r="C105" i="149"/>
  <c r="C106" i="149"/>
  <c r="C107" i="149"/>
  <c r="C108" i="149"/>
  <c r="C109" i="149"/>
  <c r="C110" i="149"/>
  <c r="C111" i="149"/>
  <c r="C112" i="149"/>
  <c r="C113" i="149"/>
  <c r="C114" i="149"/>
  <c r="C115" i="149"/>
  <c r="C96" i="149"/>
  <c r="D82" i="149"/>
  <c r="E82" i="149"/>
  <c r="D83" i="149"/>
  <c r="E83" i="149"/>
  <c r="D84" i="149"/>
  <c r="E84" i="149"/>
  <c r="D85" i="149"/>
  <c r="E85" i="149"/>
  <c r="C83" i="149"/>
  <c r="C84" i="149"/>
  <c r="C85" i="149"/>
  <c r="C82" i="149"/>
  <c r="D78" i="149"/>
  <c r="E78" i="149"/>
  <c r="D79" i="149"/>
  <c r="E79" i="149"/>
  <c r="D80" i="149"/>
  <c r="E80" i="149"/>
  <c r="C79" i="149"/>
  <c r="C80" i="149"/>
  <c r="C80" i="1" s="1"/>
  <c r="C31" i="73" s="1"/>
  <c r="C78" i="149"/>
  <c r="D75" i="149"/>
  <c r="E75" i="149"/>
  <c r="D76" i="149"/>
  <c r="E76" i="149"/>
  <c r="E74" i="149" s="1"/>
  <c r="C76" i="149"/>
  <c r="C75" i="149"/>
  <c r="D70" i="149"/>
  <c r="E70" i="149"/>
  <c r="D71" i="149"/>
  <c r="E71" i="149"/>
  <c r="D72" i="149"/>
  <c r="E72" i="149"/>
  <c r="F72" i="149" s="1"/>
  <c r="D73" i="149"/>
  <c r="E73" i="149"/>
  <c r="C71" i="149"/>
  <c r="C72" i="149"/>
  <c r="C73" i="149"/>
  <c r="C70" i="149"/>
  <c r="D66" i="149"/>
  <c r="E66" i="149"/>
  <c r="D67" i="149"/>
  <c r="E67" i="149"/>
  <c r="D68" i="149"/>
  <c r="E68" i="149"/>
  <c r="C67" i="149"/>
  <c r="C68" i="149"/>
  <c r="C66" i="149"/>
  <c r="D60" i="149"/>
  <c r="E60" i="149"/>
  <c r="D61" i="149"/>
  <c r="E61" i="149"/>
  <c r="D62" i="149"/>
  <c r="E62" i="149"/>
  <c r="D63" i="149"/>
  <c r="E63" i="149"/>
  <c r="C61" i="149"/>
  <c r="C62" i="149"/>
  <c r="C63" i="149"/>
  <c r="C60" i="149"/>
  <c r="D55" i="149"/>
  <c r="E55" i="149"/>
  <c r="D56" i="149"/>
  <c r="E56" i="149"/>
  <c r="D57" i="149"/>
  <c r="E57" i="149"/>
  <c r="D58" i="149"/>
  <c r="E58" i="149"/>
  <c r="F58" i="149" s="1"/>
  <c r="G58" i="149" s="1"/>
  <c r="C56" i="149"/>
  <c r="C57" i="149"/>
  <c r="C58" i="149"/>
  <c r="C55" i="149"/>
  <c r="D49" i="149"/>
  <c r="E49" i="149"/>
  <c r="D50" i="149"/>
  <c r="E50" i="149"/>
  <c r="F50" i="149" s="1"/>
  <c r="G50" i="149" s="1"/>
  <c r="D51" i="149"/>
  <c r="E51" i="149"/>
  <c r="D52" i="149"/>
  <c r="E52" i="149"/>
  <c r="D53" i="149"/>
  <c r="E53" i="149"/>
  <c r="C50" i="149"/>
  <c r="C51" i="149"/>
  <c r="C52" i="149"/>
  <c r="C53" i="149"/>
  <c r="C49" i="149"/>
  <c r="C29" i="149"/>
  <c r="C30" i="149"/>
  <c r="C31" i="149"/>
  <c r="C32" i="149"/>
  <c r="C33" i="149"/>
  <c r="C34" i="149"/>
  <c r="C35" i="149"/>
  <c r="C28" i="149"/>
  <c r="D37" i="149"/>
  <c r="E37" i="149"/>
  <c r="D38" i="149"/>
  <c r="E38" i="149"/>
  <c r="D39" i="149"/>
  <c r="E39" i="149"/>
  <c r="D40" i="149"/>
  <c r="E40" i="149"/>
  <c r="D41" i="149"/>
  <c r="D41" i="1" s="1"/>
  <c r="E41" i="149"/>
  <c r="D42" i="149"/>
  <c r="F42" i="149" s="1"/>
  <c r="E42" i="149"/>
  <c r="D43" i="149"/>
  <c r="E43" i="149"/>
  <c r="D44" i="149"/>
  <c r="E44" i="149"/>
  <c r="D45" i="149"/>
  <c r="E45" i="149"/>
  <c r="D46" i="149"/>
  <c r="F46" i="149" s="1"/>
  <c r="E46" i="149"/>
  <c r="D47" i="149"/>
  <c r="E47" i="149"/>
  <c r="C38" i="149"/>
  <c r="C39" i="149"/>
  <c r="C40" i="149"/>
  <c r="C41" i="149"/>
  <c r="C42" i="149"/>
  <c r="C43" i="149"/>
  <c r="C44" i="149"/>
  <c r="C45" i="149"/>
  <c r="C46" i="149"/>
  <c r="C47" i="149"/>
  <c r="C37" i="149"/>
  <c r="D28" i="149"/>
  <c r="E28" i="149"/>
  <c r="D29" i="149"/>
  <c r="E29" i="149"/>
  <c r="D30" i="149"/>
  <c r="E30" i="149"/>
  <c r="D31" i="149"/>
  <c r="E31" i="149"/>
  <c r="D32" i="149"/>
  <c r="E32" i="149"/>
  <c r="D33" i="149"/>
  <c r="E33" i="149"/>
  <c r="D34" i="149"/>
  <c r="E34" i="149"/>
  <c r="D35" i="149"/>
  <c r="E35" i="149"/>
  <c r="C22" i="149"/>
  <c r="D22" i="149"/>
  <c r="E22" i="149"/>
  <c r="C23" i="149"/>
  <c r="D23" i="149"/>
  <c r="E23" i="149"/>
  <c r="C24" i="149"/>
  <c r="D24" i="149"/>
  <c r="E24" i="149"/>
  <c r="C25" i="149"/>
  <c r="D25" i="149"/>
  <c r="E25" i="149"/>
  <c r="C26" i="149"/>
  <c r="D26" i="149"/>
  <c r="F26" i="149" s="1"/>
  <c r="E26" i="149"/>
  <c r="D21" i="149"/>
  <c r="E21" i="149"/>
  <c r="C21" i="149"/>
  <c r="D14" i="149"/>
  <c r="E14" i="149"/>
  <c r="D15" i="149"/>
  <c r="E15" i="149"/>
  <c r="D16" i="149"/>
  <c r="E16" i="149"/>
  <c r="D17" i="149"/>
  <c r="E17" i="149"/>
  <c r="D18" i="149"/>
  <c r="E18" i="149"/>
  <c r="D19" i="149"/>
  <c r="E19" i="149"/>
  <c r="C15" i="149"/>
  <c r="C16" i="149"/>
  <c r="C17" i="149"/>
  <c r="C18" i="149"/>
  <c r="C19" i="149"/>
  <c r="C14" i="149"/>
  <c r="C8" i="149"/>
  <c r="D8" i="149"/>
  <c r="E8" i="149"/>
  <c r="C9" i="149"/>
  <c r="D9" i="149"/>
  <c r="E9" i="149"/>
  <c r="C10" i="149"/>
  <c r="D10" i="149"/>
  <c r="E10" i="149"/>
  <c r="C11" i="149"/>
  <c r="D11" i="149"/>
  <c r="E11" i="149"/>
  <c r="C12" i="149"/>
  <c r="D12" i="149"/>
  <c r="E12" i="149"/>
  <c r="E7" i="149"/>
  <c r="D7" i="149"/>
  <c r="C7" i="149"/>
  <c r="D148" i="148"/>
  <c r="E148" i="148"/>
  <c r="D149" i="148"/>
  <c r="E149" i="148"/>
  <c r="D150" i="148"/>
  <c r="E150" i="148"/>
  <c r="F150" i="148" s="1"/>
  <c r="D151" i="148"/>
  <c r="E151" i="148"/>
  <c r="D152" i="148"/>
  <c r="E152" i="148"/>
  <c r="E152" i="1" s="1"/>
  <c r="C149" i="148"/>
  <c r="C150" i="148"/>
  <c r="C151" i="148"/>
  <c r="C152" i="148"/>
  <c r="C148" i="148"/>
  <c r="D143" i="148"/>
  <c r="E143" i="148"/>
  <c r="D144" i="148"/>
  <c r="E144" i="148"/>
  <c r="D145" i="148"/>
  <c r="E145" i="148"/>
  <c r="D146" i="148"/>
  <c r="E146" i="148"/>
  <c r="C146" i="148"/>
  <c r="C145" i="148"/>
  <c r="C144" i="148"/>
  <c r="C143" i="148"/>
  <c r="D136" i="148"/>
  <c r="E136" i="148"/>
  <c r="D137" i="148"/>
  <c r="E137" i="148"/>
  <c r="D138" i="148"/>
  <c r="E138" i="148"/>
  <c r="D139" i="148"/>
  <c r="E139" i="148"/>
  <c r="D140" i="148"/>
  <c r="E140" i="148"/>
  <c r="D141" i="148"/>
  <c r="E141" i="148"/>
  <c r="C137" i="148"/>
  <c r="C138" i="148"/>
  <c r="C139" i="148"/>
  <c r="C140" i="148"/>
  <c r="C141" i="148"/>
  <c r="C136" i="148"/>
  <c r="D132" i="148"/>
  <c r="D133" i="148"/>
  <c r="E133" i="148"/>
  <c r="D134" i="148"/>
  <c r="E134" i="148"/>
  <c r="E131" i="148" s="1"/>
  <c r="E118" i="148"/>
  <c r="D119" i="148"/>
  <c r="E119" i="148"/>
  <c r="D120" i="148"/>
  <c r="E120" i="148"/>
  <c r="D122" i="148"/>
  <c r="E122" i="148"/>
  <c r="D123" i="148"/>
  <c r="E123" i="148"/>
  <c r="D124" i="148"/>
  <c r="E124" i="148"/>
  <c r="E125" i="148"/>
  <c r="D126" i="148"/>
  <c r="E126" i="148"/>
  <c r="D127" i="148"/>
  <c r="E127" i="148"/>
  <c r="F127" i="148" s="1"/>
  <c r="G127" i="148" s="1"/>
  <c r="D128" i="148"/>
  <c r="E128" i="148"/>
  <c r="D129" i="148"/>
  <c r="E129" i="148"/>
  <c r="F129" i="148" s="1"/>
  <c r="C118" i="148"/>
  <c r="C119" i="148"/>
  <c r="C120" i="148"/>
  <c r="C121" i="148"/>
  <c r="C122" i="148"/>
  <c r="C123" i="148"/>
  <c r="C124" i="148"/>
  <c r="C125" i="148"/>
  <c r="C126" i="148"/>
  <c r="C127" i="148"/>
  <c r="C128" i="148"/>
  <c r="C129" i="148"/>
  <c r="C117" i="148"/>
  <c r="E96" i="148"/>
  <c r="E97" i="148"/>
  <c r="E99" i="148"/>
  <c r="D101" i="148"/>
  <c r="E101" i="148"/>
  <c r="D102" i="148"/>
  <c r="E102" i="148"/>
  <c r="D103" i="148"/>
  <c r="E103" i="148"/>
  <c r="D104" i="148"/>
  <c r="E104" i="148"/>
  <c r="D105" i="148"/>
  <c r="E105" i="148"/>
  <c r="D106" i="148"/>
  <c r="E106" i="148"/>
  <c r="E107" i="148"/>
  <c r="D108" i="148"/>
  <c r="E108" i="148"/>
  <c r="D109" i="148"/>
  <c r="E109" i="148"/>
  <c r="E109" i="1" s="1"/>
  <c r="D110" i="148"/>
  <c r="E110" i="148"/>
  <c r="D111" i="148"/>
  <c r="E111" i="148"/>
  <c r="D112" i="148"/>
  <c r="E112" i="148"/>
  <c r="E115" i="148"/>
  <c r="C97" i="148"/>
  <c r="C98" i="148"/>
  <c r="C99" i="148"/>
  <c r="C100" i="148"/>
  <c r="C101" i="148"/>
  <c r="C102" i="148"/>
  <c r="C103" i="148"/>
  <c r="C104" i="148"/>
  <c r="C105" i="148"/>
  <c r="C106" i="148"/>
  <c r="C107" i="148"/>
  <c r="C108" i="148"/>
  <c r="C108" i="1" s="1"/>
  <c r="C109" i="148"/>
  <c r="C110" i="148"/>
  <c r="C111" i="148"/>
  <c r="C112" i="148"/>
  <c r="C113" i="148"/>
  <c r="C114" i="148"/>
  <c r="C115" i="148"/>
  <c r="C96" i="148"/>
  <c r="C96" i="1" s="1"/>
  <c r="D82" i="148"/>
  <c r="E82" i="148"/>
  <c r="D83" i="148"/>
  <c r="E83" i="148"/>
  <c r="F83" i="148" s="1"/>
  <c r="D84" i="148"/>
  <c r="E84" i="148"/>
  <c r="D85" i="148"/>
  <c r="E85" i="148"/>
  <c r="C83" i="148"/>
  <c r="C84" i="148"/>
  <c r="C85" i="148"/>
  <c r="C82" i="148"/>
  <c r="D78" i="148"/>
  <c r="E78" i="148"/>
  <c r="D79" i="148"/>
  <c r="E79" i="148"/>
  <c r="E77" i="148" s="1"/>
  <c r="D80" i="148"/>
  <c r="F80" i="148" s="1"/>
  <c r="G80" i="148" s="1"/>
  <c r="E80" i="148"/>
  <c r="C79" i="148"/>
  <c r="C78" i="148"/>
  <c r="D75" i="148"/>
  <c r="E75" i="148"/>
  <c r="D76" i="148"/>
  <c r="E76" i="148"/>
  <c r="C76" i="148"/>
  <c r="C75" i="148"/>
  <c r="E70" i="148"/>
  <c r="E71" i="148"/>
  <c r="E72" i="148"/>
  <c r="E73" i="148"/>
  <c r="D70" i="148"/>
  <c r="D71" i="148"/>
  <c r="D72" i="148"/>
  <c r="D73" i="148"/>
  <c r="C71" i="148"/>
  <c r="C72" i="148"/>
  <c r="C73" i="148"/>
  <c r="C70" i="148"/>
  <c r="D66" i="148"/>
  <c r="E66" i="148"/>
  <c r="D67" i="148"/>
  <c r="E67" i="148"/>
  <c r="D68" i="148"/>
  <c r="E68" i="148"/>
  <c r="F68" i="148" s="1"/>
  <c r="G68" i="148" s="1"/>
  <c r="C67" i="148"/>
  <c r="C68" i="148"/>
  <c r="C66" i="148"/>
  <c r="D60" i="148"/>
  <c r="E60" i="148"/>
  <c r="D61" i="148"/>
  <c r="E61" i="148"/>
  <c r="F61" i="148" s="1"/>
  <c r="D62" i="148"/>
  <c r="E62" i="148"/>
  <c r="D63" i="148"/>
  <c r="E63" i="148"/>
  <c r="E63" i="1" s="1"/>
  <c r="C61" i="148"/>
  <c r="C62" i="148"/>
  <c r="C63" i="148"/>
  <c r="C60" i="148"/>
  <c r="D55" i="148"/>
  <c r="E55" i="148"/>
  <c r="D56" i="148"/>
  <c r="E56" i="148"/>
  <c r="F56" i="148" s="1"/>
  <c r="G56" i="148" s="1"/>
  <c r="D57" i="148"/>
  <c r="E57" i="148"/>
  <c r="D58" i="148"/>
  <c r="E58" i="148"/>
  <c r="E58" i="1" s="1"/>
  <c r="C56" i="148"/>
  <c r="C57" i="148"/>
  <c r="C58" i="148"/>
  <c r="C55" i="148"/>
  <c r="D49" i="148"/>
  <c r="E49" i="148"/>
  <c r="D50" i="148"/>
  <c r="E50" i="148"/>
  <c r="F50" i="148" s="1"/>
  <c r="G50" i="148" s="1"/>
  <c r="D51" i="148"/>
  <c r="E51" i="148"/>
  <c r="D52" i="148"/>
  <c r="E52" i="148"/>
  <c r="F52" i="148" s="1"/>
  <c r="G52" i="148" s="1"/>
  <c r="D53" i="148"/>
  <c r="E53" i="148"/>
  <c r="C50" i="148"/>
  <c r="C51" i="148"/>
  <c r="C52" i="148"/>
  <c r="C53" i="148"/>
  <c r="C49" i="148"/>
  <c r="D37" i="148"/>
  <c r="F37" i="148" s="1"/>
  <c r="E37" i="148"/>
  <c r="E38" i="148"/>
  <c r="E39" i="148"/>
  <c r="F39" i="148" s="1"/>
  <c r="E40" i="148"/>
  <c r="F40" i="148" s="1"/>
  <c r="E41" i="148"/>
  <c r="E42" i="148"/>
  <c r="E43" i="148"/>
  <c r="E44" i="148"/>
  <c r="F44" i="148" s="1"/>
  <c r="E45" i="148"/>
  <c r="E46" i="148"/>
  <c r="E47" i="148"/>
  <c r="C38" i="148"/>
  <c r="C39" i="148"/>
  <c r="C40" i="148"/>
  <c r="C41" i="148"/>
  <c r="C42" i="148"/>
  <c r="C43" i="148"/>
  <c r="C44" i="148"/>
  <c r="C45" i="148"/>
  <c r="C46" i="148"/>
  <c r="C47" i="148"/>
  <c r="C37" i="148"/>
  <c r="D28" i="148"/>
  <c r="E28" i="148"/>
  <c r="D29" i="148"/>
  <c r="E29" i="148"/>
  <c r="D30" i="148"/>
  <c r="E30" i="148"/>
  <c r="D31" i="148"/>
  <c r="E31" i="148"/>
  <c r="D32" i="148"/>
  <c r="E32" i="148"/>
  <c r="D33" i="148"/>
  <c r="E33" i="148"/>
  <c r="F33" i="148" s="1"/>
  <c r="G33" i="148" s="1"/>
  <c r="D34" i="148"/>
  <c r="E34" i="148"/>
  <c r="D35" i="148"/>
  <c r="E35" i="148"/>
  <c r="C29" i="148"/>
  <c r="G29" i="148" s="1"/>
  <c r="C30" i="148"/>
  <c r="C31" i="148"/>
  <c r="C32" i="148"/>
  <c r="C33" i="148"/>
  <c r="C34" i="148"/>
  <c r="C35" i="148"/>
  <c r="C28" i="148"/>
  <c r="E21" i="148"/>
  <c r="E22" i="148"/>
  <c r="E23" i="148"/>
  <c r="E24" i="148"/>
  <c r="E25" i="148"/>
  <c r="E26" i="148"/>
  <c r="E26" i="1" s="1"/>
  <c r="E14" i="148"/>
  <c r="E14" i="1" s="1"/>
  <c r="E15" i="148"/>
  <c r="E16" i="148"/>
  <c r="E17" i="148"/>
  <c r="E19" i="148"/>
  <c r="D22" i="148"/>
  <c r="D23" i="148"/>
  <c r="D24" i="148"/>
  <c r="D25" i="148"/>
  <c r="C22" i="148"/>
  <c r="C23" i="148"/>
  <c r="C24" i="148"/>
  <c r="C25" i="148"/>
  <c r="C26" i="148"/>
  <c r="C21" i="148"/>
  <c r="D14" i="148"/>
  <c r="D15" i="148"/>
  <c r="D15" i="1" s="1"/>
  <c r="D16" i="148"/>
  <c r="D17" i="148"/>
  <c r="D19" i="148"/>
  <c r="C15" i="148"/>
  <c r="C16" i="148"/>
  <c r="C17" i="148"/>
  <c r="C18" i="148"/>
  <c r="C19" i="148"/>
  <c r="C14" i="148"/>
  <c r="E9" i="148"/>
  <c r="D10" i="148"/>
  <c r="E10" i="148"/>
  <c r="E11" i="148"/>
  <c r="D12" i="148"/>
  <c r="E12" i="148"/>
  <c r="C8" i="148"/>
  <c r="C9" i="148"/>
  <c r="C10" i="148"/>
  <c r="C11" i="148"/>
  <c r="C12" i="148"/>
  <c r="C7" i="148"/>
  <c r="D28" i="153"/>
  <c r="E28" i="153"/>
  <c r="C28" i="153"/>
  <c r="D28" i="152"/>
  <c r="E28" i="152"/>
  <c r="C28" i="152"/>
  <c r="D28" i="151"/>
  <c r="E28" i="151"/>
  <c r="C28" i="151"/>
  <c r="C158" i="3"/>
  <c r="D158" i="3"/>
  <c r="E158" i="3"/>
  <c r="D157" i="3"/>
  <c r="E157" i="3"/>
  <c r="C157" i="3"/>
  <c r="C148" i="3"/>
  <c r="D148" i="3"/>
  <c r="E148" i="3"/>
  <c r="C149" i="3"/>
  <c r="D149" i="3"/>
  <c r="E149" i="3"/>
  <c r="C150" i="3"/>
  <c r="D150" i="3"/>
  <c r="E150" i="3"/>
  <c r="C151" i="3"/>
  <c r="D151" i="3"/>
  <c r="E151" i="3"/>
  <c r="D147" i="3"/>
  <c r="E147" i="3"/>
  <c r="C147" i="3"/>
  <c r="C142" i="3"/>
  <c r="D142" i="3"/>
  <c r="E142" i="3"/>
  <c r="C143" i="3"/>
  <c r="D143" i="3"/>
  <c r="E143" i="3"/>
  <c r="C144" i="3"/>
  <c r="D144" i="3"/>
  <c r="E144" i="3"/>
  <c r="C145" i="3"/>
  <c r="D145" i="3"/>
  <c r="E145" i="3"/>
  <c r="D141" i="3"/>
  <c r="E141" i="3"/>
  <c r="C141" i="3"/>
  <c r="C135" i="3"/>
  <c r="D135" i="3"/>
  <c r="E135" i="3"/>
  <c r="C136" i="3"/>
  <c r="D136" i="3"/>
  <c r="E136" i="3"/>
  <c r="C137" i="3"/>
  <c r="D137" i="3"/>
  <c r="E137" i="3"/>
  <c r="C138" i="3"/>
  <c r="D138" i="3"/>
  <c r="E138" i="3"/>
  <c r="C139" i="3"/>
  <c r="D139" i="3"/>
  <c r="E139" i="3"/>
  <c r="D134" i="3"/>
  <c r="E134" i="3"/>
  <c r="C134" i="3"/>
  <c r="C131" i="3"/>
  <c r="D131" i="3"/>
  <c r="E131" i="3"/>
  <c r="C132" i="3"/>
  <c r="D132" i="3"/>
  <c r="E132" i="3"/>
  <c r="D130" i="3"/>
  <c r="E130" i="3"/>
  <c r="C130" i="3"/>
  <c r="C116" i="3"/>
  <c r="E116" i="3"/>
  <c r="C117" i="3"/>
  <c r="D117" i="3"/>
  <c r="E117" i="3"/>
  <c r="C118" i="3"/>
  <c r="D118" i="3"/>
  <c r="E118" i="3"/>
  <c r="C119" i="3"/>
  <c r="C120" i="3"/>
  <c r="D120" i="3"/>
  <c r="E120" i="3"/>
  <c r="C121" i="3"/>
  <c r="D121" i="3"/>
  <c r="E121" i="3"/>
  <c r="C122" i="3"/>
  <c r="D122" i="3"/>
  <c r="E122" i="3"/>
  <c r="C123" i="3"/>
  <c r="D123" i="3"/>
  <c r="E123" i="3"/>
  <c r="C124" i="3"/>
  <c r="D124" i="3"/>
  <c r="E124" i="3"/>
  <c r="C125" i="3"/>
  <c r="D125" i="3"/>
  <c r="E125" i="3"/>
  <c r="C126" i="3"/>
  <c r="D126" i="3"/>
  <c r="E126" i="3"/>
  <c r="C127" i="3"/>
  <c r="D127" i="3"/>
  <c r="E127" i="3"/>
  <c r="D115" i="3"/>
  <c r="C115" i="3"/>
  <c r="C95" i="3"/>
  <c r="E95" i="3"/>
  <c r="C96" i="3"/>
  <c r="C97" i="3"/>
  <c r="E97" i="3"/>
  <c r="C98" i="3"/>
  <c r="C99" i="3"/>
  <c r="D99" i="3"/>
  <c r="E99" i="3"/>
  <c r="C100" i="3"/>
  <c r="D100" i="3"/>
  <c r="E100" i="3"/>
  <c r="C101" i="3"/>
  <c r="D101" i="3"/>
  <c r="E101" i="3"/>
  <c r="C102" i="3"/>
  <c r="D102" i="3"/>
  <c r="E102" i="3"/>
  <c r="C103" i="3"/>
  <c r="D103" i="3"/>
  <c r="E103" i="3"/>
  <c r="C104" i="3"/>
  <c r="D104" i="3"/>
  <c r="E104" i="3"/>
  <c r="C105" i="3"/>
  <c r="E105" i="3"/>
  <c r="C106" i="3"/>
  <c r="D106" i="3"/>
  <c r="E106" i="3"/>
  <c r="C107" i="3"/>
  <c r="D107" i="3"/>
  <c r="E107" i="3"/>
  <c r="C108" i="3"/>
  <c r="D108" i="3"/>
  <c r="E108" i="3"/>
  <c r="C109" i="3"/>
  <c r="D109" i="3"/>
  <c r="E109" i="3"/>
  <c r="C110" i="3"/>
  <c r="D110" i="3"/>
  <c r="E110" i="3"/>
  <c r="C111" i="3"/>
  <c r="C112" i="3"/>
  <c r="C113" i="3"/>
  <c r="E113" i="3"/>
  <c r="E94" i="3"/>
  <c r="C94" i="3"/>
  <c r="C84" i="3"/>
  <c r="D84" i="3"/>
  <c r="E84" i="3"/>
  <c r="C85" i="3"/>
  <c r="D85" i="3"/>
  <c r="E85" i="3"/>
  <c r="C86" i="3"/>
  <c r="D86" i="3"/>
  <c r="E86" i="3"/>
  <c r="D83" i="3"/>
  <c r="E83" i="3"/>
  <c r="C83" i="3"/>
  <c r="C80" i="3"/>
  <c r="D80" i="3"/>
  <c r="E80" i="3"/>
  <c r="C81" i="3"/>
  <c r="D81" i="3"/>
  <c r="E81" i="3"/>
  <c r="D79" i="3"/>
  <c r="E79" i="3"/>
  <c r="C79" i="3"/>
  <c r="C77" i="3"/>
  <c r="D77" i="3"/>
  <c r="E77" i="3"/>
  <c r="D76" i="3"/>
  <c r="E76" i="3"/>
  <c r="C76" i="3"/>
  <c r="C72" i="3"/>
  <c r="D72" i="3"/>
  <c r="E72" i="3"/>
  <c r="C73" i="3"/>
  <c r="D73" i="3"/>
  <c r="E73" i="3"/>
  <c r="C74" i="3"/>
  <c r="D74" i="3"/>
  <c r="E74" i="3"/>
  <c r="D71" i="3"/>
  <c r="E71" i="3"/>
  <c r="C71" i="3"/>
  <c r="C68" i="3"/>
  <c r="D68" i="3"/>
  <c r="E68" i="3"/>
  <c r="C69" i="3"/>
  <c r="D69" i="3"/>
  <c r="E69" i="3"/>
  <c r="D67" i="3"/>
  <c r="E67" i="3"/>
  <c r="C67" i="3"/>
  <c r="C62" i="3"/>
  <c r="D62" i="3"/>
  <c r="E62" i="3"/>
  <c r="C63" i="3"/>
  <c r="D63" i="3"/>
  <c r="E63" i="3"/>
  <c r="E60" i="3" s="1"/>
  <c r="C64" i="3"/>
  <c r="D64" i="3"/>
  <c r="E64" i="3"/>
  <c r="D61" i="3"/>
  <c r="D60" i="3" s="1"/>
  <c r="E61" i="3"/>
  <c r="C61" i="3"/>
  <c r="C60" i="3" s="1"/>
  <c r="C57" i="3"/>
  <c r="D57" i="3"/>
  <c r="E57" i="3"/>
  <c r="C58" i="3"/>
  <c r="D58" i="3"/>
  <c r="E58" i="3"/>
  <c r="C59" i="3"/>
  <c r="D59" i="3"/>
  <c r="E59" i="3"/>
  <c r="D56" i="3"/>
  <c r="E56" i="3"/>
  <c r="C56" i="3"/>
  <c r="C55" i="3" s="1"/>
  <c r="C51" i="3"/>
  <c r="D51" i="3"/>
  <c r="E51" i="3"/>
  <c r="C52" i="3"/>
  <c r="D52" i="3"/>
  <c r="E52" i="3"/>
  <c r="C53" i="3"/>
  <c r="D53" i="3"/>
  <c r="E53" i="3"/>
  <c r="C54" i="3"/>
  <c r="D54" i="3"/>
  <c r="E54" i="3"/>
  <c r="D50" i="3"/>
  <c r="E50" i="3"/>
  <c r="C50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D38" i="3"/>
  <c r="E38" i="3"/>
  <c r="C38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D29" i="3"/>
  <c r="E29" i="3"/>
  <c r="C29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E27" i="3"/>
  <c r="E22" i="3"/>
  <c r="C22" i="3"/>
  <c r="C16" i="3"/>
  <c r="D16" i="3"/>
  <c r="E16" i="3"/>
  <c r="C17" i="3"/>
  <c r="D17" i="3"/>
  <c r="E17" i="3"/>
  <c r="C18" i="3"/>
  <c r="D18" i="3"/>
  <c r="E18" i="3"/>
  <c r="C19" i="3"/>
  <c r="C20" i="3"/>
  <c r="D20" i="3"/>
  <c r="E20" i="3"/>
  <c r="D15" i="3"/>
  <c r="E15" i="3"/>
  <c r="C15" i="3"/>
  <c r="C9" i="3"/>
  <c r="E9" i="3"/>
  <c r="C10" i="3"/>
  <c r="D10" i="3"/>
  <c r="C11" i="3"/>
  <c r="D11" i="3"/>
  <c r="E11" i="3"/>
  <c r="C12" i="3"/>
  <c r="E12" i="3"/>
  <c r="C13" i="3"/>
  <c r="D13" i="3"/>
  <c r="E13" i="3"/>
  <c r="C8" i="3"/>
  <c r="D75" i="157"/>
  <c r="E75" i="157"/>
  <c r="C75" i="157"/>
  <c r="D75" i="156"/>
  <c r="E75" i="156"/>
  <c r="C75" i="156"/>
  <c r="D75" i="155"/>
  <c r="E75" i="155"/>
  <c r="C75" i="155"/>
  <c r="C78" i="154"/>
  <c r="D78" i="154"/>
  <c r="E78" i="154"/>
  <c r="C158" i="154"/>
  <c r="D158" i="154"/>
  <c r="E158" i="154"/>
  <c r="D157" i="154"/>
  <c r="E157" i="154"/>
  <c r="C157" i="154"/>
  <c r="C148" i="154"/>
  <c r="D148" i="154"/>
  <c r="E148" i="154"/>
  <c r="C149" i="154"/>
  <c r="D149" i="154"/>
  <c r="E149" i="154"/>
  <c r="C150" i="154"/>
  <c r="D150" i="154"/>
  <c r="E150" i="154"/>
  <c r="C151" i="154"/>
  <c r="D151" i="154"/>
  <c r="E151" i="154"/>
  <c r="D147" i="154"/>
  <c r="E147" i="154"/>
  <c r="C147" i="154"/>
  <c r="C142" i="154"/>
  <c r="D142" i="154"/>
  <c r="E142" i="154"/>
  <c r="C143" i="154"/>
  <c r="D143" i="154"/>
  <c r="E143" i="154"/>
  <c r="C144" i="154"/>
  <c r="D144" i="154"/>
  <c r="E144" i="154"/>
  <c r="C145" i="154"/>
  <c r="D145" i="154"/>
  <c r="E145" i="154"/>
  <c r="D141" i="154"/>
  <c r="E141" i="154"/>
  <c r="C141" i="154"/>
  <c r="C135" i="154"/>
  <c r="D135" i="154"/>
  <c r="E135" i="154"/>
  <c r="C136" i="154"/>
  <c r="D136" i="154"/>
  <c r="E136" i="154"/>
  <c r="C137" i="154"/>
  <c r="D137" i="154"/>
  <c r="E137" i="154"/>
  <c r="C138" i="154"/>
  <c r="D138" i="154"/>
  <c r="E138" i="154"/>
  <c r="C139" i="154"/>
  <c r="D139" i="154"/>
  <c r="E139" i="154"/>
  <c r="D134" i="154"/>
  <c r="E134" i="154"/>
  <c r="C134" i="154"/>
  <c r="C131" i="154"/>
  <c r="D131" i="154"/>
  <c r="E131" i="154"/>
  <c r="C132" i="154"/>
  <c r="D132" i="154"/>
  <c r="E132" i="154"/>
  <c r="D130" i="154"/>
  <c r="E130" i="154"/>
  <c r="C130" i="154"/>
  <c r="C116" i="154"/>
  <c r="D116" i="154"/>
  <c r="E116" i="154"/>
  <c r="C117" i="154"/>
  <c r="D117" i="154"/>
  <c r="E117" i="154"/>
  <c r="C118" i="154"/>
  <c r="D118" i="154"/>
  <c r="E118" i="154"/>
  <c r="C119" i="154"/>
  <c r="D119" i="154"/>
  <c r="E119" i="154"/>
  <c r="C120" i="154"/>
  <c r="D120" i="154"/>
  <c r="E120" i="154"/>
  <c r="C121" i="154"/>
  <c r="D121" i="154"/>
  <c r="E121" i="154"/>
  <c r="C122" i="154"/>
  <c r="D122" i="154"/>
  <c r="E122" i="154"/>
  <c r="C123" i="154"/>
  <c r="D123" i="154"/>
  <c r="E123" i="154"/>
  <c r="C124" i="154"/>
  <c r="D124" i="154"/>
  <c r="E124" i="154"/>
  <c r="C125" i="154"/>
  <c r="D125" i="154"/>
  <c r="E125" i="154"/>
  <c r="C126" i="154"/>
  <c r="D126" i="154"/>
  <c r="E126" i="154"/>
  <c r="C127" i="154"/>
  <c r="D127" i="154"/>
  <c r="E127" i="154"/>
  <c r="E115" i="154"/>
  <c r="C115" i="154"/>
  <c r="C95" i="154"/>
  <c r="E95" i="154"/>
  <c r="C96" i="154"/>
  <c r="E96" i="154"/>
  <c r="C97" i="154"/>
  <c r="D97" i="154"/>
  <c r="E97" i="154"/>
  <c r="C98" i="154"/>
  <c r="D98" i="154"/>
  <c r="E98" i="154"/>
  <c r="C99" i="154"/>
  <c r="D99" i="154"/>
  <c r="E99" i="154"/>
  <c r="C100" i="154"/>
  <c r="D100" i="154"/>
  <c r="E100" i="154"/>
  <c r="C101" i="154"/>
  <c r="D101" i="154"/>
  <c r="E101" i="154"/>
  <c r="C102" i="154"/>
  <c r="D102" i="154"/>
  <c r="E102" i="154"/>
  <c r="C103" i="154"/>
  <c r="D103" i="154"/>
  <c r="E103" i="154"/>
  <c r="C104" i="154"/>
  <c r="D104" i="154"/>
  <c r="E104" i="154"/>
  <c r="C105" i="154"/>
  <c r="D105" i="154"/>
  <c r="E105" i="154"/>
  <c r="C106" i="154"/>
  <c r="D106" i="154"/>
  <c r="E106" i="154"/>
  <c r="C107" i="154"/>
  <c r="D107" i="154"/>
  <c r="E107" i="154"/>
  <c r="C108" i="154"/>
  <c r="D108" i="154"/>
  <c r="E108" i="154"/>
  <c r="C109" i="154"/>
  <c r="D109" i="154"/>
  <c r="E109" i="154"/>
  <c r="C110" i="154"/>
  <c r="D110" i="154"/>
  <c r="E110" i="154"/>
  <c r="C111" i="154"/>
  <c r="D111" i="154"/>
  <c r="E111" i="154"/>
  <c r="C112" i="154"/>
  <c r="D112" i="154"/>
  <c r="E112" i="154"/>
  <c r="C113" i="154"/>
  <c r="D113" i="154"/>
  <c r="E113" i="154"/>
  <c r="E94" i="154"/>
  <c r="C94" i="154"/>
  <c r="C85" i="154"/>
  <c r="D85" i="154"/>
  <c r="E85" i="154"/>
  <c r="C86" i="154"/>
  <c r="D86" i="154"/>
  <c r="E86" i="154"/>
  <c r="C87" i="154"/>
  <c r="D87" i="154"/>
  <c r="E87" i="154"/>
  <c r="D84" i="154"/>
  <c r="E84" i="154"/>
  <c r="C84" i="154"/>
  <c r="C81" i="154"/>
  <c r="D81" i="154"/>
  <c r="E81" i="154"/>
  <c r="E79" i="154" s="1"/>
  <c r="C82" i="154"/>
  <c r="D82" i="154"/>
  <c r="E82" i="154"/>
  <c r="D80" i="154"/>
  <c r="E80" i="154"/>
  <c r="C80" i="154"/>
  <c r="D76" i="154"/>
  <c r="E76" i="154"/>
  <c r="D77" i="154"/>
  <c r="E77" i="154"/>
  <c r="C77" i="154"/>
  <c r="C76" i="154"/>
  <c r="C72" i="154"/>
  <c r="D72" i="154"/>
  <c r="E72" i="154"/>
  <c r="C73" i="154"/>
  <c r="D73" i="154"/>
  <c r="E73" i="154"/>
  <c r="C74" i="154"/>
  <c r="D74" i="154"/>
  <c r="E74" i="154"/>
  <c r="D71" i="154"/>
  <c r="E71" i="154"/>
  <c r="C71" i="154"/>
  <c r="C68" i="154"/>
  <c r="D68" i="154"/>
  <c r="E68" i="154"/>
  <c r="C69" i="154"/>
  <c r="D69" i="154"/>
  <c r="E69" i="154"/>
  <c r="D67" i="154"/>
  <c r="E67" i="154"/>
  <c r="C67" i="154"/>
  <c r="C62" i="154"/>
  <c r="D62" i="154"/>
  <c r="E62" i="154"/>
  <c r="C63" i="154"/>
  <c r="D63" i="154"/>
  <c r="E63" i="154"/>
  <c r="C64" i="154"/>
  <c r="D64" i="154"/>
  <c r="E64" i="154"/>
  <c r="D61" i="154"/>
  <c r="E61" i="154"/>
  <c r="C61" i="154"/>
  <c r="C57" i="154"/>
  <c r="D57" i="154"/>
  <c r="E57" i="154"/>
  <c r="C58" i="154"/>
  <c r="D58" i="154"/>
  <c r="E58" i="154"/>
  <c r="C59" i="154"/>
  <c r="D59" i="154"/>
  <c r="E59" i="154"/>
  <c r="D56" i="154"/>
  <c r="E56" i="154"/>
  <c r="C56" i="154"/>
  <c r="C51" i="154"/>
  <c r="D51" i="154"/>
  <c r="E51" i="154"/>
  <c r="C52" i="154"/>
  <c r="D52" i="154"/>
  <c r="E52" i="154"/>
  <c r="C53" i="154"/>
  <c r="D53" i="154"/>
  <c r="E53" i="154"/>
  <c r="C54" i="154"/>
  <c r="D54" i="154"/>
  <c r="E54" i="154"/>
  <c r="D50" i="154"/>
  <c r="E50" i="154"/>
  <c r="C50" i="154"/>
  <c r="C39" i="154"/>
  <c r="D39" i="154"/>
  <c r="E39" i="154"/>
  <c r="C40" i="154"/>
  <c r="D40" i="154"/>
  <c r="E40" i="154"/>
  <c r="C41" i="154"/>
  <c r="D41" i="154"/>
  <c r="E41" i="154"/>
  <c r="C42" i="154"/>
  <c r="D42" i="154"/>
  <c r="E42" i="154"/>
  <c r="C43" i="154"/>
  <c r="D43" i="154"/>
  <c r="E43" i="154"/>
  <c r="C44" i="154"/>
  <c r="D44" i="154"/>
  <c r="E44" i="154"/>
  <c r="C45" i="154"/>
  <c r="D45" i="154"/>
  <c r="E45" i="154"/>
  <c r="C46" i="154"/>
  <c r="D46" i="154"/>
  <c r="E46" i="154"/>
  <c r="C47" i="154"/>
  <c r="D47" i="154"/>
  <c r="E47" i="154"/>
  <c r="C48" i="154"/>
  <c r="D48" i="154"/>
  <c r="E48" i="154"/>
  <c r="D38" i="154"/>
  <c r="E38" i="154"/>
  <c r="C38" i="154"/>
  <c r="C30" i="154"/>
  <c r="D30" i="154"/>
  <c r="E30" i="154"/>
  <c r="C31" i="154"/>
  <c r="D31" i="154"/>
  <c r="E31" i="154"/>
  <c r="C32" i="154"/>
  <c r="D32" i="154"/>
  <c r="E32" i="154"/>
  <c r="C33" i="154"/>
  <c r="D33" i="154"/>
  <c r="E33" i="154"/>
  <c r="C34" i="154"/>
  <c r="D34" i="154"/>
  <c r="E34" i="154"/>
  <c r="C35" i="154"/>
  <c r="D35" i="154"/>
  <c r="E35" i="154"/>
  <c r="C36" i="154"/>
  <c r="D36" i="154"/>
  <c r="E36" i="154"/>
  <c r="D29" i="154"/>
  <c r="E29" i="154"/>
  <c r="C29" i="154"/>
  <c r="C23" i="154"/>
  <c r="D23" i="154"/>
  <c r="E23" i="154"/>
  <c r="C24" i="154"/>
  <c r="D24" i="154"/>
  <c r="E24" i="154"/>
  <c r="C25" i="154"/>
  <c r="D25" i="154"/>
  <c r="E25" i="154"/>
  <c r="C26" i="154"/>
  <c r="D26" i="154"/>
  <c r="E26" i="154"/>
  <c r="C27" i="154"/>
  <c r="D27" i="154"/>
  <c r="E27" i="154"/>
  <c r="D22" i="154"/>
  <c r="E22" i="154"/>
  <c r="C22" i="154"/>
  <c r="C16" i="154"/>
  <c r="D16" i="154"/>
  <c r="E16" i="154"/>
  <c r="C17" i="154"/>
  <c r="D17" i="154"/>
  <c r="E17" i="154"/>
  <c r="C18" i="154"/>
  <c r="D18" i="154"/>
  <c r="E18" i="154"/>
  <c r="C19" i="154"/>
  <c r="C20" i="154"/>
  <c r="D20" i="154"/>
  <c r="E20" i="154"/>
  <c r="D15" i="154"/>
  <c r="E15" i="154"/>
  <c r="C15" i="154"/>
  <c r="C9" i="154"/>
  <c r="D9" i="154"/>
  <c r="E9" i="154"/>
  <c r="C10" i="154"/>
  <c r="D10" i="154"/>
  <c r="E10" i="154"/>
  <c r="C11" i="154"/>
  <c r="D11" i="154"/>
  <c r="E11" i="154"/>
  <c r="C12" i="154"/>
  <c r="D12" i="154"/>
  <c r="E12" i="154"/>
  <c r="C13" i="154"/>
  <c r="D13" i="154"/>
  <c r="E13" i="154"/>
  <c r="D8" i="154"/>
  <c r="E8" i="154"/>
  <c r="C8" i="154"/>
  <c r="F158" i="157"/>
  <c r="F157" i="157"/>
  <c r="G157" i="157" s="1"/>
  <c r="F153" i="157"/>
  <c r="G153" i="157" s="1"/>
  <c r="F152" i="157"/>
  <c r="G152" i="157" s="1"/>
  <c r="F151" i="157"/>
  <c r="G151" i="157" s="1"/>
  <c r="F150" i="157"/>
  <c r="G150" i="157" s="1"/>
  <c r="F149" i="157"/>
  <c r="G149" i="157" s="1"/>
  <c r="F148" i="157"/>
  <c r="G148" i="157" s="1"/>
  <c r="F147" i="157"/>
  <c r="G147" i="157" s="1"/>
  <c r="E146" i="157"/>
  <c r="D146" i="157"/>
  <c r="C146" i="157"/>
  <c r="F145" i="157"/>
  <c r="G145" i="157" s="1"/>
  <c r="F144" i="157"/>
  <c r="F143" i="157"/>
  <c r="G143" i="157" s="1"/>
  <c r="F142" i="157"/>
  <c r="G142" i="157" s="1"/>
  <c r="F141" i="157"/>
  <c r="G141" i="157" s="1"/>
  <c r="E140" i="157"/>
  <c r="D140" i="157"/>
  <c r="C140" i="157"/>
  <c r="F139" i="157"/>
  <c r="G139" i="157" s="1"/>
  <c r="F138" i="157"/>
  <c r="G138" i="157" s="1"/>
  <c r="F137" i="157"/>
  <c r="G137" i="157" s="1"/>
  <c r="F136" i="157"/>
  <c r="G136" i="157" s="1"/>
  <c r="F135" i="157"/>
  <c r="G135" i="157" s="1"/>
  <c r="F134" i="157"/>
  <c r="E133" i="157"/>
  <c r="D133" i="157"/>
  <c r="C133" i="157"/>
  <c r="F132" i="157"/>
  <c r="F131" i="157"/>
  <c r="G131" i="157"/>
  <c r="F130" i="157"/>
  <c r="G130" i="157" s="1"/>
  <c r="E129" i="157"/>
  <c r="D129" i="157"/>
  <c r="C129" i="157"/>
  <c r="F127" i="157"/>
  <c r="G127" i="157" s="1"/>
  <c r="F126" i="157"/>
  <c r="F125" i="157"/>
  <c r="G125" i="157" s="1"/>
  <c r="F124" i="157"/>
  <c r="G124" i="157" s="1"/>
  <c r="F123" i="157"/>
  <c r="G123" i="157" s="1"/>
  <c r="F122" i="157"/>
  <c r="G122" i="157" s="1"/>
  <c r="F121" i="157"/>
  <c r="G121" i="157" s="1"/>
  <c r="F120" i="157"/>
  <c r="G120" i="157" s="1"/>
  <c r="F119" i="157"/>
  <c r="G119" i="157" s="1"/>
  <c r="F118" i="157"/>
  <c r="G118" i="157" s="1"/>
  <c r="F117" i="157"/>
  <c r="G117" i="157" s="1"/>
  <c r="F116" i="157"/>
  <c r="G116" i="157" s="1"/>
  <c r="F115" i="157"/>
  <c r="F114" i="157" s="1"/>
  <c r="E114" i="157"/>
  <c r="D114" i="157"/>
  <c r="C114" i="157"/>
  <c r="F113" i="157"/>
  <c r="F112" i="157"/>
  <c r="G112" i="157" s="1"/>
  <c r="F111" i="157"/>
  <c r="G111" i="157" s="1"/>
  <c r="F110" i="157"/>
  <c r="G110" i="157" s="1"/>
  <c r="F109" i="157"/>
  <c r="G109" i="157" s="1"/>
  <c r="F108" i="157"/>
  <c r="G108" i="157" s="1"/>
  <c r="F107" i="157"/>
  <c r="G107" i="157" s="1"/>
  <c r="F106" i="157"/>
  <c r="F105" i="157"/>
  <c r="G105" i="157"/>
  <c r="F104" i="157"/>
  <c r="G104" i="157"/>
  <c r="F103" i="157"/>
  <c r="F102" i="157"/>
  <c r="G102" i="157" s="1"/>
  <c r="F101" i="157"/>
  <c r="G101" i="157" s="1"/>
  <c r="F100" i="157"/>
  <c r="G100" i="157" s="1"/>
  <c r="F99" i="157"/>
  <c r="G99" i="157" s="1"/>
  <c r="F98" i="157"/>
  <c r="F97" i="157"/>
  <c r="G97" i="157" s="1"/>
  <c r="F96" i="157"/>
  <c r="G96" i="157" s="1"/>
  <c r="F95" i="157"/>
  <c r="G95" i="157" s="1"/>
  <c r="F94" i="157"/>
  <c r="G94" i="157" s="1"/>
  <c r="E93" i="157"/>
  <c r="D93" i="157"/>
  <c r="D128" i="157" s="1"/>
  <c r="C93" i="157"/>
  <c r="F89" i="157"/>
  <c r="G89" i="157" s="1"/>
  <c r="F88" i="157"/>
  <c r="G88" i="157" s="1"/>
  <c r="F87" i="157"/>
  <c r="G87" i="157" s="1"/>
  <c r="F86" i="157"/>
  <c r="F85" i="157"/>
  <c r="F84" i="157"/>
  <c r="E83" i="157"/>
  <c r="D83" i="157"/>
  <c r="C83" i="157"/>
  <c r="F82" i="157"/>
  <c r="G82" i="157" s="1"/>
  <c r="F81" i="157"/>
  <c r="G81" i="157" s="1"/>
  <c r="F80" i="157"/>
  <c r="E79" i="157"/>
  <c r="D79" i="157"/>
  <c r="C79" i="157"/>
  <c r="F77" i="157"/>
  <c r="G77" i="157" s="1"/>
  <c r="F76" i="157"/>
  <c r="F74" i="157"/>
  <c r="G74" i="157" s="1"/>
  <c r="F73" i="157"/>
  <c r="G73" i="157" s="1"/>
  <c r="F72" i="157"/>
  <c r="G72" i="157" s="1"/>
  <c r="F71" i="157"/>
  <c r="G71" i="157" s="1"/>
  <c r="E70" i="157"/>
  <c r="D70" i="157"/>
  <c r="C70" i="157"/>
  <c r="F69" i="157"/>
  <c r="F68" i="157"/>
  <c r="G68" i="157" s="1"/>
  <c r="F67" i="157"/>
  <c r="G67" i="157" s="1"/>
  <c r="E66" i="157"/>
  <c r="E90" i="157" s="1"/>
  <c r="D66" i="157"/>
  <c r="C66" i="157"/>
  <c r="F64" i="157"/>
  <c r="G64" i="157"/>
  <c r="F63" i="157"/>
  <c r="G63" i="157"/>
  <c r="F62" i="157"/>
  <c r="G62" i="157"/>
  <c r="F61" i="157"/>
  <c r="G61" i="157"/>
  <c r="E60" i="157"/>
  <c r="D60" i="157"/>
  <c r="C60" i="157"/>
  <c r="F59" i="157"/>
  <c r="G59" i="157" s="1"/>
  <c r="F58" i="157"/>
  <c r="G58" i="157" s="1"/>
  <c r="F57" i="157"/>
  <c r="G57" i="157" s="1"/>
  <c r="F56" i="157"/>
  <c r="G56" i="157" s="1"/>
  <c r="E55" i="157"/>
  <c r="D55" i="157"/>
  <c r="C55" i="157"/>
  <c r="F54" i="157"/>
  <c r="G54" i="157" s="1"/>
  <c r="F53" i="157"/>
  <c r="G53" i="157" s="1"/>
  <c r="F52" i="157"/>
  <c r="G52" i="157" s="1"/>
  <c r="F51" i="157"/>
  <c r="G51" i="157" s="1"/>
  <c r="F50" i="157"/>
  <c r="E49" i="157"/>
  <c r="D49" i="157"/>
  <c r="C49" i="157"/>
  <c r="F48" i="157"/>
  <c r="F47" i="157"/>
  <c r="G47" i="157" s="1"/>
  <c r="F46" i="157"/>
  <c r="G46" i="157" s="1"/>
  <c r="F45" i="157"/>
  <c r="G45" i="157" s="1"/>
  <c r="F44" i="157"/>
  <c r="F43" i="157"/>
  <c r="G43" i="157"/>
  <c r="F42" i="157"/>
  <c r="G42" i="157" s="1"/>
  <c r="F41" i="157"/>
  <c r="G41" i="157"/>
  <c r="F40" i="157"/>
  <c r="F39" i="157"/>
  <c r="G39" i="157" s="1"/>
  <c r="F38" i="157"/>
  <c r="E37" i="157"/>
  <c r="D37" i="157"/>
  <c r="C37" i="157"/>
  <c r="F36" i="157"/>
  <c r="G36" i="157" s="1"/>
  <c r="F35" i="157"/>
  <c r="F34" i="157"/>
  <c r="G34" i="157" s="1"/>
  <c r="F32" i="157"/>
  <c r="F31" i="157"/>
  <c r="F31" i="154"/>
  <c r="F30" i="157"/>
  <c r="F29" i="157"/>
  <c r="E28" i="157"/>
  <c r="D28" i="157"/>
  <c r="C28" i="157"/>
  <c r="F27" i="157"/>
  <c r="F26" i="157"/>
  <c r="G26" i="157" s="1"/>
  <c r="F25" i="157"/>
  <c r="G25" i="157" s="1"/>
  <c r="F24" i="157"/>
  <c r="F23" i="157"/>
  <c r="G23" i="157"/>
  <c r="F22" i="157"/>
  <c r="E21" i="157"/>
  <c r="D21" i="157"/>
  <c r="C21" i="157"/>
  <c r="F20" i="157"/>
  <c r="G20" i="157"/>
  <c r="F19" i="157"/>
  <c r="G19" i="157"/>
  <c r="F18" i="157"/>
  <c r="G18" i="157"/>
  <c r="F17" i="157"/>
  <c r="G17" i="157"/>
  <c r="F16" i="157"/>
  <c r="G16" i="157"/>
  <c r="F15" i="157"/>
  <c r="E14" i="157"/>
  <c r="D14" i="157"/>
  <c r="C14" i="157"/>
  <c r="F13" i="157"/>
  <c r="G13" i="157"/>
  <c r="F12" i="157"/>
  <c r="G12" i="157"/>
  <c r="F11" i="157"/>
  <c r="G11" i="157"/>
  <c r="F10" i="157"/>
  <c r="G10" i="157"/>
  <c r="F9" i="157"/>
  <c r="G9" i="157"/>
  <c r="F8" i="157"/>
  <c r="E7" i="157"/>
  <c r="D7" i="157"/>
  <c r="C7" i="157"/>
  <c r="F153" i="156"/>
  <c r="G153" i="156" s="1"/>
  <c r="F152" i="156"/>
  <c r="G152" i="156"/>
  <c r="F151" i="156"/>
  <c r="G151" i="156" s="1"/>
  <c r="F150" i="156"/>
  <c r="G150" i="156"/>
  <c r="F149" i="156"/>
  <c r="F148" i="156"/>
  <c r="F147" i="156"/>
  <c r="E146" i="156"/>
  <c r="D146" i="156"/>
  <c r="C146" i="156"/>
  <c r="F145" i="156"/>
  <c r="G145" i="156" s="1"/>
  <c r="F144" i="156"/>
  <c r="F143" i="156"/>
  <c r="G143" i="156" s="1"/>
  <c r="F142" i="156"/>
  <c r="F141" i="156"/>
  <c r="G141" i="156" s="1"/>
  <c r="E140" i="156"/>
  <c r="D140" i="156"/>
  <c r="C140" i="156"/>
  <c r="F139" i="156"/>
  <c r="G139" i="156" s="1"/>
  <c r="F138" i="156"/>
  <c r="G138" i="156" s="1"/>
  <c r="F137" i="156"/>
  <c r="G137" i="156" s="1"/>
  <c r="F136" i="156"/>
  <c r="G136" i="156" s="1"/>
  <c r="F135" i="156"/>
  <c r="G135" i="156" s="1"/>
  <c r="F134" i="156"/>
  <c r="G134" i="156" s="1"/>
  <c r="E133" i="156"/>
  <c r="D133" i="156"/>
  <c r="C133" i="156"/>
  <c r="F132" i="156"/>
  <c r="G132" i="156" s="1"/>
  <c r="F131" i="156"/>
  <c r="F130" i="156"/>
  <c r="E129" i="156"/>
  <c r="D129" i="156"/>
  <c r="C129" i="156"/>
  <c r="F127" i="156"/>
  <c r="F126" i="156"/>
  <c r="G126" i="156" s="1"/>
  <c r="F125" i="156"/>
  <c r="F124" i="156"/>
  <c r="G124" i="156" s="1"/>
  <c r="F123" i="156"/>
  <c r="F122" i="156"/>
  <c r="G122" i="156" s="1"/>
  <c r="F121" i="156"/>
  <c r="G121" i="156" s="1"/>
  <c r="F120" i="156"/>
  <c r="F119" i="156"/>
  <c r="F118" i="156"/>
  <c r="G118" i="156" s="1"/>
  <c r="F117" i="156"/>
  <c r="G117" i="156"/>
  <c r="F116" i="156"/>
  <c r="G116" i="156" s="1"/>
  <c r="F115" i="156"/>
  <c r="G115" i="156" s="1"/>
  <c r="E114" i="156"/>
  <c r="D114" i="156"/>
  <c r="C114" i="156"/>
  <c r="F113" i="156"/>
  <c r="G113" i="156" s="1"/>
  <c r="F112" i="156"/>
  <c r="F111" i="156"/>
  <c r="G111" i="156" s="1"/>
  <c r="F110" i="156"/>
  <c r="F109" i="156"/>
  <c r="G109" i="156" s="1"/>
  <c r="F108" i="156"/>
  <c r="G108" i="156" s="1"/>
  <c r="F107" i="156"/>
  <c r="G107" i="156" s="1"/>
  <c r="F106" i="156"/>
  <c r="G106" i="156"/>
  <c r="F105" i="156"/>
  <c r="G105" i="156" s="1"/>
  <c r="F104" i="156"/>
  <c r="G104" i="156" s="1"/>
  <c r="F103" i="156"/>
  <c r="G103" i="156" s="1"/>
  <c r="F102" i="156"/>
  <c r="G102" i="156" s="1"/>
  <c r="F101" i="156"/>
  <c r="G101" i="156" s="1"/>
  <c r="F100" i="156"/>
  <c r="G100" i="156"/>
  <c r="F99" i="156"/>
  <c r="G99" i="156" s="1"/>
  <c r="F98" i="156"/>
  <c r="G98" i="156" s="1"/>
  <c r="F97" i="156"/>
  <c r="G97" i="156" s="1"/>
  <c r="F96" i="156"/>
  <c r="G96" i="156" s="1"/>
  <c r="F95" i="156"/>
  <c r="G95" i="156" s="1"/>
  <c r="F94" i="156"/>
  <c r="E93" i="156"/>
  <c r="D93" i="156"/>
  <c r="D128" i="156" s="1"/>
  <c r="C93" i="156"/>
  <c r="F89" i="156"/>
  <c r="G89" i="156" s="1"/>
  <c r="F88" i="156"/>
  <c r="G88" i="156" s="1"/>
  <c r="F87" i="156"/>
  <c r="G87" i="156" s="1"/>
  <c r="F86" i="156"/>
  <c r="G86" i="156" s="1"/>
  <c r="F85" i="156"/>
  <c r="G85" i="156" s="1"/>
  <c r="F84" i="156"/>
  <c r="G84" i="156" s="1"/>
  <c r="E83" i="156"/>
  <c r="D83" i="156"/>
  <c r="C83" i="156"/>
  <c r="F82" i="156"/>
  <c r="G82" i="156" s="1"/>
  <c r="F81" i="156"/>
  <c r="F80" i="156"/>
  <c r="G80" i="156"/>
  <c r="E79" i="156"/>
  <c r="D79" i="156"/>
  <c r="C79" i="156"/>
  <c r="F77" i="156"/>
  <c r="G77" i="156" s="1"/>
  <c r="F76" i="156"/>
  <c r="F74" i="156"/>
  <c r="F73" i="156"/>
  <c r="G73" i="156" s="1"/>
  <c r="F72" i="156"/>
  <c r="G72" i="156" s="1"/>
  <c r="F71" i="156"/>
  <c r="E70" i="156"/>
  <c r="E90" i="156" s="1"/>
  <c r="D70" i="156"/>
  <c r="C70" i="156"/>
  <c r="F69" i="156"/>
  <c r="F68" i="156"/>
  <c r="F67" i="156"/>
  <c r="G67" i="156" s="1"/>
  <c r="E66" i="156"/>
  <c r="D66" i="156"/>
  <c r="C66" i="156"/>
  <c r="C90" i="156" s="1"/>
  <c r="F64" i="156"/>
  <c r="G64" i="156" s="1"/>
  <c r="F63" i="156"/>
  <c r="G63" i="156"/>
  <c r="F62" i="156"/>
  <c r="F61" i="156"/>
  <c r="E60" i="156"/>
  <c r="D60" i="156"/>
  <c r="C60" i="156"/>
  <c r="F59" i="156"/>
  <c r="G59" i="156" s="1"/>
  <c r="F58" i="156"/>
  <c r="F57" i="156"/>
  <c r="F57" i="154" s="1"/>
  <c r="F56" i="156"/>
  <c r="G56" i="156" s="1"/>
  <c r="E55" i="156"/>
  <c r="D55" i="156"/>
  <c r="C55" i="156"/>
  <c r="F54" i="156"/>
  <c r="G54" i="156" s="1"/>
  <c r="F53" i="156"/>
  <c r="F52" i="156"/>
  <c r="F51" i="156"/>
  <c r="G51" i="156" s="1"/>
  <c r="F50" i="156"/>
  <c r="E49" i="156"/>
  <c r="D49" i="156"/>
  <c r="C49" i="156"/>
  <c r="F48" i="156"/>
  <c r="G48" i="156"/>
  <c r="F47" i="156"/>
  <c r="G47" i="156" s="1"/>
  <c r="F46" i="156"/>
  <c r="G46" i="156"/>
  <c r="F45" i="156"/>
  <c r="G45" i="156" s="1"/>
  <c r="F44" i="156"/>
  <c r="G44" i="156"/>
  <c r="F43" i="156"/>
  <c r="G43" i="156" s="1"/>
  <c r="F42" i="156"/>
  <c r="G42" i="156"/>
  <c r="F41" i="156"/>
  <c r="G41" i="156" s="1"/>
  <c r="F40" i="156"/>
  <c r="G40" i="156"/>
  <c r="F39" i="156"/>
  <c r="G39" i="156" s="1"/>
  <c r="F38" i="156"/>
  <c r="E37" i="156"/>
  <c r="D37" i="156"/>
  <c r="C37" i="156"/>
  <c r="F36" i="156"/>
  <c r="G36" i="156" s="1"/>
  <c r="F35" i="156"/>
  <c r="G35" i="156"/>
  <c r="F34" i="156"/>
  <c r="G34" i="156" s="1"/>
  <c r="F33" i="156"/>
  <c r="G33" i="156"/>
  <c r="F32" i="156"/>
  <c r="G32" i="156" s="1"/>
  <c r="F30" i="156"/>
  <c r="G30" i="156" s="1"/>
  <c r="F29" i="156"/>
  <c r="E28" i="156"/>
  <c r="D28" i="156"/>
  <c r="C28" i="156"/>
  <c r="F27" i="156"/>
  <c r="G27" i="156"/>
  <c r="F26" i="156"/>
  <c r="G26" i="156" s="1"/>
  <c r="F25" i="156"/>
  <c r="G25" i="156"/>
  <c r="F24" i="156"/>
  <c r="G24" i="156" s="1"/>
  <c r="F23" i="156"/>
  <c r="G23" i="156"/>
  <c r="F22" i="156"/>
  <c r="E21" i="156"/>
  <c r="D21" i="156"/>
  <c r="C21" i="156"/>
  <c r="C65" i="156" s="1"/>
  <c r="C91" i="156" s="1"/>
  <c r="F20" i="156"/>
  <c r="G20" i="156" s="1"/>
  <c r="F19" i="156"/>
  <c r="G19" i="156"/>
  <c r="F18" i="156"/>
  <c r="G18" i="156" s="1"/>
  <c r="F17" i="156"/>
  <c r="F16" i="156"/>
  <c r="G16" i="156" s="1"/>
  <c r="F15" i="156"/>
  <c r="E14" i="156"/>
  <c r="D14" i="156"/>
  <c r="C14" i="156"/>
  <c r="F13" i="156"/>
  <c r="G13" i="156" s="1"/>
  <c r="F12" i="156"/>
  <c r="G12" i="156" s="1"/>
  <c r="F11" i="156"/>
  <c r="F10" i="156"/>
  <c r="F9" i="156"/>
  <c r="F8" i="156"/>
  <c r="G8" i="156" s="1"/>
  <c r="E7" i="156"/>
  <c r="D7" i="156"/>
  <c r="C7" i="156"/>
  <c r="F157" i="155"/>
  <c r="G157" i="155" s="1"/>
  <c r="F153" i="155"/>
  <c r="G153" i="155" s="1"/>
  <c r="F152" i="155"/>
  <c r="G152" i="155" s="1"/>
  <c r="F151" i="155"/>
  <c r="G151" i="155" s="1"/>
  <c r="F150" i="155"/>
  <c r="F149" i="155"/>
  <c r="F148" i="155"/>
  <c r="F147" i="155"/>
  <c r="F146" i="155" s="1"/>
  <c r="E146" i="155"/>
  <c r="D146" i="155"/>
  <c r="C146" i="155"/>
  <c r="F145" i="155"/>
  <c r="F144" i="155"/>
  <c r="G144" i="155" s="1"/>
  <c r="F143" i="155"/>
  <c r="F142" i="155"/>
  <c r="F141" i="155"/>
  <c r="G141" i="155"/>
  <c r="E140" i="155"/>
  <c r="D140" i="155"/>
  <c r="C140" i="155"/>
  <c r="F139" i="155"/>
  <c r="F139" i="154" s="1"/>
  <c r="F138" i="155"/>
  <c r="G138" i="155" s="1"/>
  <c r="F137" i="155"/>
  <c r="F137" i="154" s="1"/>
  <c r="F136" i="155"/>
  <c r="F135" i="155"/>
  <c r="G135" i="155" s="1"/>
  <c r="F134" i="155"/>
  <c r="E133" i="155"/>
  <c r="D133" i="155"/>
  <c r="C133" i="155"/>
  <c r="F132" i="155"/>
  <c r="F131" i="155"/>
  <c r="F130" i="155"/>
  <c r="E129" i="155"/>
  <c r="D129" i="155"/>
  <c r="C129" i="155"/>
  <c r="F127" i="155"/>
  <c r="F126" i="155"/>
  <c r="F125" i="155"/>
  <c r="F124" i="155"/>
  <c r="F123" i="155"/>
  <c r="F122" i="155"/>
  <c r="G122" i="155"/>
  <c r="F121" i="155"/>
  <c r="G121" i="155" s="1"/>
  <c r="F120" i="155"/>
  <c r="G120" i="155" s="1"/>
  <c r="F119" i="155"/>
  <c r="F118" i="155"/>
  <c r="G118" i="155" s="1"/>
  <c r="F117" i="155"/>
  <c r="G117" i="155" s="1"/>
  <c r="F116" i="155"/>
  <c r="G116" i="155" s="1"/>
  <c r="E114" i="155"/>
  <c r="E128" i="155" s="1"/>
  <c r="E155" i="155" s="1"/>
  <c r="C114" i="155"/>
  <c r="F113" i="155"/>
  <c r="G113" i="155" s="1"/>
  <c r="F112" i="155"/>
  <c r="F111" i="155"/>
  <c r="G111" i="155" s="1"/>
  <c r="F110" i="155"/>
  <c r="F109" i="155"/>
  <c r="G109" i="155"/>
  <c r="F108" i="155"/>
  <c r="F107" i="155"/>
  <c r="G107" i="155" s="1"/>
  <c r="F106" i="155"/>
  <c r="F106" i="154" s="1"/>
  <c r="F105" i="155"/>
  <c r="G105" i="155" s="1"/>
  <c r="F104" i="155"/>
  <c r="F103" i="155"/>
  <c r="F102" i="155"/>
  <c r="G102" i="155" s="1"/>
  <c r="F101" i="155"/>
  <c r="G101" i="155" s="1"/>
  <c r="F100" i="155"/>
  <c r="F99" i="155"/>
  <c r="F98" i="155"/>
  <c r="F97" i="155"/>
  <c r="F97" i="154" s="1"/>
  <c r="C93" i="155"/>
  <c r="F89" i="155"/>
  <c r="G89" i="155" s="1"/>
  <c r="F88" i="155"/>
  <c r="G88" i="155" s="1"/>
  <c r="F87" i="155"/>
  <c r="G87" i="155"/>
  <c r="G87" i="154" s="1"/>
  <c r="F86" i="155"/>
  <c r="F83" i="155" s="1"/>
  <c r="F85" i="155"/>
  <c r="F84" i="155"/>
  <c r="G84" i="155"/>
  <c r="E83" i="155"/>
  <c r="D83" i="155"/>
  <c r="C83" i="155"/>
  <c r="F82" i="155"/>
  <c r="F81" i="155"/>
  <c r="F80" i="155"/>
  <c r="E79" i="155"/>
  <c r="D79" i="155"/>
  <c r="C79" i="155"/>
  <c r="F76" i="155"/>
  <c r="F75" i="155"/>
  <c r="G76" i="155"/>
  <c r="F74" i="155"/>
  <c r="F73" i="155"/>
  <c r="F72" i="155"/>
  <c r="F72" i="154" s="1"/>
  <c r="F71" i="155"/>
  <c r="G71" i="155" s="1"/>
  <c r="G70" i="155" s="1"/>
  <c r="E70" i="155"/>
  <c r="D70" i="155"/>
  <c r="C70" i="155"/>
  <c r="F69" i="155"/>
  <c r="G69" i="155" s="1"/>
  <c r="F68" i="155"/>
  <c r="G68" i="155" s="1"/>
  <c r="F67" i="155"/>
  <c r="E66" i="155"/>
  <c r="E90" i="155" s="1"/>
  <c r="D66" i="155"/>
  <c r="C66" i="155"/>
  <c r="F64" i="155"/>
  <c r="F63" i="155"/>
  <c r="F62" i="155"/>
  <c r="F61" i="155"/>
  <c r="F61" i="154" s="1"/>
  <c r="E60" i="155"/>
  <c r="D60" i="155"/>
  <c r="C60" i="155"/>
  <c r="F59" i="155"/>
  <c r="F58" i="155"/>
  <c r="F57" i="155"/>
  <c r="G57" i="155" s="1"/>
  <c r="G57" i="154" s="1"/>
  <c r="F56" i="155"/>
  <c r="E55" i="155"/>
  <c r="D55" i="155"/>
  <c r="C55" i="155"/>
  <c r="F54" i="155"/>
  <c r="F53" i="155"/>
  <c r="G53" i="155" s="1"/>
  <c r="F52" i="155"/>
  <c r="G52" i="155" s="1"/>
  <c r="F51" i="155"/>
  <c r="F50" i="155"/>
  <c r="G50" i="155" s="1"/>
  <c r="E49" i="155"/>
  <c r="D49" i="155"/>
  <c r="C49" i="155"/>
  <c r="F48" i="155"/>
  <c r="G48" i="155" s="1"/>
  <c r="F47" i="155"/>
  <c r="G47" i="155" s="1"/>
  <c r="F46" i="155"/>
  <c r="F45" i="155"/>
  <c r="F44" i="155"/>
  <c r="G44" i="155" s="1"/>
  <c r="G44" i="154" s="1"/>
  <c r="F43" i="155"/>
  <c r="G43" i="155" s="1"/>
  <c r="F42" i="155"/>
  <c r="G42" i="155"/>
  <c r="F41" i="155"/>
  <c r="F40" i="155"/>
  <c r="G40" i="155"/>
  <c r="F39" i="155"/>
  <c r="G39" i="155" s="1"/>
  <c r="F38" i="155"/>
  <c r="E37" i="155"/>
  <c r="D37" i="155"/>
  <c r="C37" i="155"/>
  <c r="F36" i="155"/>
  <c r="F35" i="155"/>
  <c r="F34" i="155"/>
  <c r="F34" i="154"/>
  <c r="F33" i="155"/>
  <c r="G33" i="155" s="1"/>
  <c r="F32" i="155"/>
  <c r="F30" i="155"/>
  <c r="F29" i="155"/>
  <c r="G29" i="155" s="1"/>
  <c r="E28" i="155"/>
  <c r="D28" i="155"/>
  <c r="C28" i="155"/>
  <c r="F27" i="155"/>
  <c r="G27" i="155" s="1"/>
  <c r="F26" i="155"/>
  <c r="G26" i="155"/>
  <c r="F25" i="155"/>
  <c r="F24" i="155"/>
  <c r="F23" i="155"/>
  <c r="F23" i="154" s="1"/>
  <c r="F22" i="155"/>
  <c r="E21" i="155"/>
  <c r="D21" i="155"/>
  <c r="C21" i="155"/>
  <c r="F20" i="155"/>
  <c r="F19" i="155"/>
  <c r="F18" i="155"/>
  <c r="F18" i="154" s="1"/>
  <c r="G18" i="155"/>
  <c r="F17" i="155"/>
  <c r="G17" i="155" s="1"/>
  <c r="F16" i="155"/>
  <c r="F15" i="155"/>
  <c r="G15" i="155" s="1"/>
  <c r="G14" i="155" s="1"/>
  <c r="E14" i="155"/>
  <c r="D14" i="155"/>
  <c r="C14" i="155"/>
  <c r="F13" i="155"/>
  <c r="F12" i="155"/>
  <c r="F11" i="155"/>
  <c r="F10" i="155"/>
  <c r="F9" i="155"/>
  <c r="F7" i="155" s="1"/>
  <c r="F8" i="155"/>
  <c r="G8" i="155" s="1"/>
  <c r="E7" i="155"/>
  <c r="D7" i="155"/>
  <c r="C7" i="155"/>
  <c r="C65" i="155" s="1"/>
  <c r="F153" i="154"/>
  <c r="G153" i="154" s="1"/>
  <c r="F152" i="154"/>
  <c r="G152" i="154" s="1"/>
  <c r="F89" i="154"/>
  <c r="G89" i="154" s="1"/>
  <c r="F88" i="154"/>
  <c r="G88" i="154" s="1"/>
  <c r="F152" i="153"/>
  <c r="G152" i="153" s="1"/>
  <c r="F151" i="153"/>
  <c r="G151" i="153" s="1"/>
  <c r="F150" i="153"/>
  <c r="F149" i="153"/>
  <c r="G149" i="153" s="1"/>
  <c r="F148" i="153"/>
  <c r="G148" i="153" s="1"/>
  <c r="F147" i="153"/>
  <c r="G147" i="153" s="1"/>
  <c r="F146" i="153"/>
  <c r="E145" i="153"/>
  <c r="D145" i="153"/>
  <c r="C145" i="153"/>
  <c r="F144" i="153"/>
  <c r="F143" i="153"/>
  <c r="G143" i="153" s="1"/>
  <c r="F142" i="153"/>
  <c r="F141" i="153"/>
  <c r="G141" i="153" s="1"/>
  <c r="F140" i="153"/>
  <c r="G140" i="153" s="1"/>
  <c r="E139" i="153"/>
  <c r="D139" i="153"/>
  <c r="C139" i="153"/>
  <c r="F138" i="153"/>
  <c r="G138" i="153" s="1"/>
  <c r="F137" i="153"/>
  <c r="G137" i="153" s="1"/>
  <c r="F136" i="153"/>
  <c r="F135" i="153"/>
  <c r="F134" i="153"/>
  <c r="G134" i="153" s="1"/>
  <c r="F133" i="153"/>
  <c r="G133" i="153"/>
  <c r="E132" i="153"/>
  <c r="D132" i="153"/>
  <c r="C132" i="153"/>
  <c r="F131" i="153"/>
  <c r="G131" i="153" s="1"/>
  <c r="F130" i="153"/>
  <c r="F129" i="153"/>
  <c r="G129" i="153" s="1"/>
  <c r="E128" i="153"/>
  <c r="D128" i="153"/>
  <c r="C128" i="153"/>
  <c r="F126" i="153"/>
  <c r="G126" i="153" s="1"/>
  <c r="F125" i="153"/>
  <c r="G125" i="153" s="1"/>
  <c r="F124" i="153"/>
  <c r="G124" i="153" s="1"/>
  <c r="F123" i="153"/>
  <c r="G123" i="153" s="1"/>
  <c r="F122" i="153"/>
  <c r="G122" i="153" s="1"/>
  <c r="F121" i="153"/>
  <c r="G121" i="153" s="1"/>
  <c r="F120" i="153"/>
  <c r="G120" i="153" s="1"/>
  <c r="F119" i="153"/>
  <c r="G119" i="153" s="1"/>
  <c r="F118" i="153"/>
  <c r="G118" i="153" s="1"/>
  <c r="F117" i="153"/>
  <c r="G117" i="153" s="1"/>
  <c r="F116" i="153"/>
  <c r="G116" i="153" s="1"/>
  <c r="F115" i="153"/>
  <c r="G115" i="153" s="1"/>
  <c r="F114" i="153"/>
  <c r="E113" i="153"/>
  <c r="D113" i="153"/>
  <c r="C113" i="153"/>
  <c r="F112" i="153"/>
  <c r="G112" i="153" s="1"/>
  <c r="F111" i="153"/>
  <c r="G111" i="153"/>
  <c r="F110" i="153"/>
  <c r="G110" i="153" s="1"/>
  <c r="F109" i="153"/>
  <c r="G109" i="153"/>
  <c r="F108" i="153"/>
  <c r="G108" i="153" s="1"/>
  <c r="F107" i="153"/>
  <c r="G107" i="153"/>
  <c r="F106" i="153"/>
  <c r="G106" i="153" s="1"/>
  <c r="F105" i="153"/>
  <c r="G105" i="153"/>
  <c r="F104" i="153"/>
  <c r="F103" i="153"/>
  <c r="G103" i="153" s="1"/>
  <c r="F102" i="153"/>
  <c r="G102" i="153" s="1"/>
  <c r="F101" i="153"/>
  <c r="G101" i="153" s="1"/>
  <c r="F100" i="153"/>
  <c r="G100" i="153" s="1"/>
  <c r="F99" i="153"/>
  <c r="G99" i="153" s="1"/>
  <c r="F98" i="153"/>
  <c r="G98" i="153" s="1"/>
  <c r="F97" i="153"/>
  <c r="G97" i="153" s="1"/>
  <c r="F96" i="153"/>
  <c r="G96" i="153" s="1"/>
  <c r="F95" i="153"/>
  <c r="G95" i="153" s="1"/>
  <c r="F94" i="153"/>
  <c r="F93" i="153"/>
  <c r="E92" i="153"/>
  <c r="E127" i="153" s="1"/>
  <c r="E154" i="153" s="1"/>
  <c r="D92" i="153"/>
  <c r="D127" i="153" s="1"/>
  <c r="C92" i="153"/>
  <c r="C127" i="153" s="1"/>
  <c r="C154" i="153" s="1"/>
  <c r="F88" i="153"/>
  <c r="G88" i="153" s="1"/>
  <c r="F87" i="153"/>
  <c r="G87" i="153" s="1"/>
  <c r="F86" i="153"/>
  <c r="G86" i="153" s="1"/>
  <c r="F85" i="153"/>
  <c r="G85" i="153" s="1"/>
  <c r="F84" i="153"/>
  <c r="F83" i="153"/>
  <c r="G83" i="153" s="1"/>
  <c r="E82" i="153"/>
  <c r="D82" i="153"/>
  <c r="C82" i="153"/>
  <c r="F81" i="153"/>
  <c r="G81" i="153" s="1"/>
  <c r="F80" i="153"/>
  <c r="G80" i="153" s="1"/>
  <c r="G78" i="153" s="1"/>
  <c r="F79" i="153"/>
  <c r="E78" i="153"/>
  <c r="D78" i="153"/>
  <c r="C78" i="153"/>
  <c r="F77" i="153"/>
  <c r="G77" i="153"/>
  <c r="F76" i="153"/>
  <c r="E75" i="153"/>
  <c r="D75" i="153"/>
  <c r="C75" i="153"/>
  <c r="F74" i="153"/>
  <c r="G74" i="153" s="1"/>
  <c r="F73" i="153"/>
  <c r="G73" i="153" s="1"/>
  <c r="F72" i="153"/>
  <c r="F71" i="153"/>
  <c r="G71" i="153" s="1"/>
  <c r="E70" i="153"/>
  <c r="D70" i="153"/>
  <c r="C70" i="153"/>
  <c r="C89" i="153" s="1"/>
  <c r="F69" i="153"/>
  <c r="G69" i="153" s="1"/>
  <c r="F68" i="153"/>
  <c r="G68" i="153"/>
  <c r="F67" i="153"/>
  <c r="G67" i="153" s="1"/>
  <c r="E66" i="153"/>
  <c r="D66" i="153"/>
  <c r="C66" i="153"/>
  <c r="F64" i="153"/>
  <c r="G64" i="153" s="1"/>
  <c r="F63" i="153"/>
  <c r="G63" i="153" s="1"/>
  <c r="F62" i="153"/>
  <c r="F61" i="153"/>
  <c r="E60" i="153"/>
  <c r="D60" i="153"/>
  <c r="C60" i="153"/>
  <c r="F59" i="153"/>
  <c r="G59" i="153" s="1"/>
  <c r="F58" i="153"/>
  <c r="F57" i="153"/>
  <c r="G57" i="153" s="1"/>
  <c r="F56" i="153"/>
  <c r="F56" i="3" s="1"/>
  <c r="E55" i="153"/>
  <c r="D55" i="153"/>
  <c r="C55" i="153"/>
  <c r="F54" i="153"/>
  <c r="F53" i="153"/>
  <c r="G53" i="153" s="1"/>
  <c r="F52" i="153"/>
  <c r="G52" i="153" s="1"/>
  <c r="F51" i="153"/>
  <c r="F50" i="153"/>
  <c r="E49" i="153"/>
  <c r="D49" i="153"/>
  <c r="C49" i="153"/>
  <c r="F48" i="153"/>
  <c r="G48" i="153" s="1"/>
  <c r="F47" i="153"/>
  <c r="G47" i="153" s="1"/>
  <c r="F46" i="153"/>
  <c r="G46" i="153" s="1"/>
  <c r="F45" i="153"/>
  <c r="G45" i="153" s="1"/>
  <c r="F44" i="153"/>
  <c r="G44" i="153" s="1"/>
  <c r="F43" i="153"/>
  <c r="G43" i="153" s="1"/>
  <c r="F42" i="153"/>
  <c r="G42" i="153" s="1"/>
  <c r="F41" i="153"/>
  <c r="G41" i="153" s="1"/>
  <c r="F40" i="153"/>
  <c r="G40" i="153" s="1"/>
  <c r="F39" i="153"/>
  <c r="F38" i="153"/>
  <c r="G38" i="153" s="1"/>
  <c r="E37" i="153"/>
  <c r="D37" i="153"/>
  <c r="C37" i="153"/>
  <c r="F36" i="153"/>
  <c r="G36" i="153"/>
  <c r="F35" i="153"/>
  <c r="G35" i="153"/>
  <c r="F34" i="153"/>
  <c r="G34" i="153"/>
  <c r="F33" i="153"/>
  <c r="G33" i="153"/>
  <c r="F31" i="153"/>
  <c r="G31" i="153"/>
  <c r="F30" i="153"/>
  <c r="F29" i="153"/>
  <c r="G29" i="153" s="1"/>
  <c r="F27" i="153"/>
  <c r="G27" i="153" s="1"/>
  <c r="F26" i="153"/>
  <c r="G26" i="153" s="1"/>
  <c r="F25" i="153"/>
  <c r="F24" i="153"/>
  <c r="G24" i="153" s="1"/>
  <c r="F23" i="153"/>
  <c r="F22" i="153"/>
  <c r="G22" i="153" s="1"/>
  <c r="E21" i="153"/>
  <c r="D21" i="153"/>
  <c r="C21" i="153"/>
  <c r="F20" i="153"/>
  <c r="G20" i="153" s="1"/>
  <c r="F19" i="153"/>
  <c r="G19" i="153" s="1"/>
  <c r="F18" i="153"/>
  <c r="G18" i="153" s="1"/>
  <c r="F17" i="153"/>
  <c r="G17" i="153" s="1"/>
  <c r="G17" i="3" s="1"/>
  <c r="F16" i="153"/>
  <c r="G16" i="153" s="1"/>
  <c r="F15" i="153"/>
  <c r="G15" i="153" s="1"/>
  <c r="E14" i="153"/>
  <c r="D14" i="153"/>
  <c r="C14" i="153"/>
  <c r="F13" i="153"/>
  <c r="G13" i="153" s="1"/>
  <c r="F12" i="153"/>
  <c r="G12" i="153" s="1"/>
  <c r="F11" i="153"/>
  <c r="G11" i="153" s="1"/>
  <c r="F10" i="153"/>
  <c r="F9" i="153"/>
  <c r="G9" i="153"/>
  <c r="F8" i="153"/>
  <c r="G8" i="153" s="1"/>
  <c r="E7" i="153"/>
  <c r="D7" i="153"/>
  <c r="D65" i="153" s="1"/>
  <c r="C7" i="153"/>
  <c r="F153" i="152"/>
  <c r="G153" i="152" s="1"/>
  <c r="F152" i="152"/>
  <c r="G152" i="152"/>
  <c r="F151" i="152"/>
  <c r="G151" i="152" s="1"/>
  <c r="F150" i="152"/>
  <c r="G150" i="152" s="1"/>
  <c r="F149" i="152"/>
  <c r="F148" i="152"/>
  <c r="G148" i="152" s="1"/>
  <c r="F147" i="152"/>
  <c r="G147" i="152" s="1"/>
  <c r="E146" i="152"/>
  <c r="D146" i="152"/>
  <c r="C146" i="152"/>
  <c r="F145" i="152"/>
  <c r="G145" i="152" s="1"/>
  <c r="F144" i="152"/>
  <c r="F143" i="152"/>
  <c r="G143" i="152" s="1"/>
  <c r="F142" i="152"/>
  <c r="G142" i="152" s="1"/>
  <c r="F141" i="152"/>
  <c r="E140" i="152"/>
  <c r="D140" i="152"/>
  <c r="C140" i="152"/>
  <c r="F139" i="152"/>
  <c r="G139" i="152" s="1"/>
  <c r="F138" i="152"/>
  <c r="G138" i="152" s="1"/>
  <c r="F137" i="152"/>
  <c r="F136" i="152"/>
  <c r="G136" i="152" s="1"/>
  <c r="F135" i="152"/>
  <c r="G135" i="152" s="1"/>
  <c r="G133" i="152" s="1"/>
  <c r="F134" i="152"/>
  <c r="G134" i="152" s="1"/>
  <c r="E133" i="152"/>
  <c r="D133" i="152"/>
  <c r="C133" i="152"/>
  <c r="F132" i="152"/>
  <c r="G132" i="152" s="1"/>
  <c r="F131" i="152"/>
  <c r="F130" i="152"/>
  <c r="G130" i="152" s="1"/>
  <c r="E129" i="152"/>
  <c r="D129" i="152"/>
  <c r="C129" i="152"/>
  <c r="F127" i="152"/>
  <c r="G127" i="152" s="1"/>
  <c r="F126" i="152"/>
  <c r="G126" i="152"/>
  <c r="F125" i="152"/>
  <c r="G125" i="152" s="1"/>
  <c r="F124" i="152"/>
  <c r="G124" i="152" s="1"/>
  <c r="F123" i="152"/>
  <c r="G123" i="152" s="1"/>
  <c r="F122" i="152"/>
  <c r="G122" i="152" s="1"/>
  <c r="F121" i="152"/>
  <c r="G121" i="152" s="1"/>
  <c r="F120" i="152"/>
  <c r="G120" i="152" s="1"/>
  <c r="F119" i="152"/>
  <c r="G119" i="152" s="1"/>
  <c r="F118" i="152"/>
  <c r="G118" i="152"/>
  <c r="F117" i="152"/>
  <c r="G117" i="152" s="1"/>
  <c r="F116" i="152"/>
  <c r="G116" i="152"/>
  <c r="F115" i="152"/>
  <c r="G115" i="152" s="1"/>
  <c r="E114" i="152"/>
  <c r="D114" i="152"/>
  <c r="C114" i="152"/>
  <c r="F113" i="152"/>
  <c r="G113" i="152" s="1"/>
  <c r="F112" i="152"/>
  <c r="G112" i="152"/>
  <c r="F111" i="152"/>
  <c r="G111" i="152" s="1"/>
  <c r="F110" i="152"/>
  <c r="F109" i="152"/>
  <c r="G109" i="152"/>
  <c r="F108" i="152"/>
  <c r="G108" i="152" s="1"/>
  <c r="F107" i="152"/>
  <c r="G107" i="152" s="1"/>
  <c r="F106" i="152"/>
  <c r="G106" i="152" s="1"/>
  <c r="F105" i="152"/>
  <c r="G105" i="152"/>
  <c r="F104" i="152"/>
  <c r="G104" i="152" s="1"/>
  <c r="F103" i="152"/>
  <c r="G103" i="152" s="1"/>
  <c r="F102" i="152"/>
  <c r="F101" i="152"/>
  <c r="G101" i="152"/>
  <c r="F100" i="152"/>
  <c r="G100" i="152" s="1"/>
  <c r="F99" i="152"/>
  <c r="F99" i="3" s="1"/>
  <c r="F97" i="152"/>
  <c r="G97" i="152" s="1"/>
  <c r="F96" i="152"/>
  <c r="F94" i="152"/>
  <c r="G94" i="152" s="1"/>
  <c r="E93" i="152"/>
  <c r="D93" i="152"/>
  <c r="D128" i="152" s="1"/>
  <c r="C93" i="152"/>
  <c r="F88" i="152"/>
  <c r="G88" i="152"/>
  <c r="F87" i="152"/>
  <c r="G87" i="152"/>
  <c r="F86" i="152"/>
  <c r="G86" i="152" s="1"/>
  <c r="F85" i="152"/>
  <c r="F84" i="152"/>
  <c r="G84" i="152" s="1"/>
  <c r="F83" i="152"/>
  <c r="G83" i="152" s="1"/>
  <c r="E82" i="152"/>
  <c r="D82" i="152"/>
  <c r="C82" i="152"/>
  <c r="F81" i="152"/>
  <c r="F80" i="152"/>
  <c r="F79" i="152"/>
  <c r="G79" i="152" s="1"/>
  <c r="G79" i="3" s="1"/>
  <c r="E78" i="152"/>
  <c r="E89" i="152" s="1"/>
  <c r="D78" i="152"/>
  <c r="C78" i="152"/>
  <c r="F77" i="152"/>
  <c r="F75" i="152" s="1"/>
  <c r="G77" i="152"/>
  <c r="F76" i="152"/>
  <c r="G76" i="152"/>
  <c r="E75" i="152"/>
  <c r="D75" i="152"/>
  <c r="C75" i="152"/>
  <c r="F74" i="152"/>
  <c r="G74" i="152" s="1"/>
  <c r="F73" i="152"/>
  <c r="G73" i="152"/>
  <c r="F72" i="152"/>
  <c r="F71" i="152"/>
  <c r="G71" i="152" s="1"/>
  <c r="E70" i="152"/>
  <c r="D70" i="152"/>
  <c r="C70" i="152"/>
  <c r="F69" i="152"/>
  <c r="F68" i="152"/>
  <c r="G68" i="152" s="1"/>
  <c r="F67" i="152"/>
  <c r="E66" i="152"/>
  <c r="D66" i="152"/>
  <c r="C66" i="152"/>
  <c r="F64" i="152"/>
  <c r="G64" i="152" s="1"/>
  <c r="F63" i="152"/>
  <c r="G63" i="152" s="1"/>
  <c r="F62" i="152"/>
  <c r="G62" i="152"/>
  <c r="F61" i="152"/>
  <c r="E60" i="152"/>
  <c r="D60" i="152"/>
  <c r="C60" i="152"/>
  <c r="F59" i="152"/>
  <c r="G59" i="152" s="1"/>
  <c r="F58" i="152"/>
  <c r="G58" i="152" s="1"/>
  <c r="F57" i="152"/>
  <c r="F56" i="152"/>
  <c r="G56" i="152"/>
  <c r="E55" i="152"/>
  <c r="D55" i="152"/>
  <c r="C55" i="152"/>
  <c r="F54" i="152"/>
  <c r="G54" i="152" s="1"/>
  <c r="F53" i="152"/>
  <c r="G53" i="152" s="1"/>
  <c r="F52" i="152"/>
  <c r="G52" i="152"/>
  <c r="F51" i="152"/>
  <c r="G51" i="152"/>
  <c r="F50" i="152"/>
  <c r="E49" i="152"/>
  <c r="D49" i="152"/>
  <c r="C49" i="152"/>
  <c r="F48" i="152"/>
  <c r="F47" i="152"/>
  <c r="G47" i="152" s="1"/>
  <c r="F46" i="152"/>
  <c r="G46" i="152"/>
  <c r="F45" i="152"/>
  <c r="G45" i="152" s="1"/>
  <c r="F44" i="152"/>
  <c r="G44" i="152" s="1"/>
  <c r="F43" i="152"/>
  <c r="G43" i="152" s="1"/>
  <c r="F42" i="152"/>
  <c r="G42" i="152"/>
  <c r="F41" i="152"/>
  <c r="F40" i="152"/>
  <c r="G40" i="152" s="1"/>
  <c r="F39" i="152"/>
  <c r="G39" i="152" s="1"/>
  <c r="F38" i="152"/>
  <c r="G38" i="152"/>
  <c r="E37" i="152"/>
  <c r="D37" i="152"/>
  <c r="C37" i="152"/>
  <c r="F36" i="152"/>
  <c r="G36" i="152" s="1"/>
  <c r="F35" i="152"/>
  <c r="G35" i="152" s="1"/>
  <c r="G35" i="3" s="1"/>
  <c r="F34" i="152"/>
  <c r="G34" i="152"/>
  <c r="F33" i="152"/>
  <c r="F32" i="152"/>
  <c r="F28" i="152" s="1"/>
  <c r="F30" i="152"/>
  <c r="F29" i="152"/>
  <c r="G29" i="152" s="1"/>
  <c r="F27" i="152"/>
  <c r="G27" i="152"/>
  <c r="F26" i="152"/>
  <c r="F25" i="152"/>
  <c r="G25" i="152" s="1"/>
  <c r="F24" i="152"/>
  <c r="F23" i="152"/>
  <c r="G23" i="152" s="1"/>
  <c r="F22" i="152"/>
  <c r="G22" i="152" s="1"/>
  <c r="E21" i="152"/>
  <c r="D21" i="152"/>
  <c r="C21" i="152"/>
  <c r="F20" i="152"/>
  <c r="G20" i="152" s="1"/>
  <c r="F19" i="152"/>
  <c r="G19" i="152" s="1"/>
  <c r="F18" i="152"/>
  <c r="G18" i="152" s="1"/>
  <c r="F17" i="152"/>
  <c r="G17" i="152"/>
  <c r="F16" i="152"/>
  <c r="F15" i="152"/>
  <c r="G15" i="152" s="1"/>
  <c r="G15" i="3" s="1"/>
  <c r="E14" i="152"/>
  <c r="E65" i="152" s="1"/>
  <c r="D14" i="152"/>
  <c r="C14" i="152"/>
  <c r="F13" i="152"/>
  <c r="F12" i="152"/>
  <c r="G12" i="152" s="1"/>
  <c r="F11" i="152"/>
  <c r="G11" i="152" s="1"/>
  <c r="F10" i="152"/>
  <c r="G10" i="152" s="1"/>
  <c r="F9" i="152"/>
  <c r="F8" i="152"/>
  <c r="G8" i="152" s="1"/>
  <c r="E7" i="152"/>
  <c r="D7" i="152"/>
  <c r="C7" i="152"/>
  <c r="F156" i="151"/>
  <c r="F152" i="151"/>
  <c r="G152" i="151"/>
  <c r="F151" i="151"/>
  <c r="G151" i="151"/>
  <c r="F150" i="151"/>
  <c r="G150" i="151"/>
  <c r="F149" i="151"/>
  <c r="G149" i="151" s="1"/>
  <c r="F148" i="151"/>
  <c r="F147" i="151"/>
  <c r="F146" i="151"/>
  <c r="E145" i="151"/>
  <c r="D145" i="151"/>
  <c r="C145" i="151"/>
  <c r="F144" i="151"/>
  <c r="G144" i="151" s="1"/>
  <c r="F143" i="151"/>
  <c r="F142" i="151"/>
  <c r="F141" i="151"/>
  <c r="G141" i="151"/>
  <c r="F140" i="151"/>
  <c r="E139" i="151"/>
  <c r="D139" i="151"/>
  <c r="C139" i="151"/>
  <c r="F138" i="151"/>
  <c r="F137" i="151"/>
  <c r="G137" i="151" s="1"/>
  <c r="F136" i="151"/>
  <c r="F135" i="151"/>
  <c r="F134" i="151"/>
  <c r="F133" i="151"/>
  <c r="F134" i="3" s="1"/>
  <c r="E132" i="151"/>
  <c r="D132" i="151"/>
  <c r="C132" i="151"/>
  <c r="F131" i="151"/>
  <c r="G131" i="151" s="1"/>
  <c r="F130" i="151"/>
  <c r="F129" i="151"/>
  <c r="F130" i="3" s="1"/>
  <c r="E128" i="151"/>
  <c r="D128" i="151"/>
  <c r="C128" i="151"/>
  <c r="F126" i="151"/>
  <c r="G126" i="151" s="1"/>
  <c r="F125" i="151"/>
  <c r="G125" i="151" s="1"/>
  <c r="F124" i="151"/>
  <c r="G124" i="151" s="1"/>
  <c r="F123" i="151"/>
  <c r="F122" i="151"/>
  <c r="F121" i="151"/>
  <c r="G121" i="151" s="1"/>
  <c r="F120" i="151"/>
  <c r="F119" i="151"/>
  <c r="F117" i="151"/>
  <c r="G117" i="151" s="1"/>
  <c r="F116" i="151"/>
  <c r="G116" i="151" s="1"/>
  <c r="C113" i="151"/>
  <c r="F112" i="151"/>
  <c r="G112" i="151" s="1"/>
  <c r="G108" i="151"/>
  <c r="G98" i="151"/>
  <c r="F93" i="151"/>
  <c r="G93" i="151" s="1"/>
  <c r="C92" i="151"/>
  <c r="F88" i="151"/>
  <c r="G88" i="151" s="1"/>
  <c r="F87" i="151"/>
  <c r="G87" i="151" s="1"/>
  <c r="F86" i="151"/>
  <c r="F85" i="151"/>
  <c r="G85" i="151" s="1"/>
  <c r="F84" i="151"/>
  <c r="F83" i="151"/>
  <c r="G83" i="151" s="1"/>
  <c r="E82" i="151"/>
  <c r="D82" i="151"/>
  <c r="C82" i="151"/>
  <c r="F81" i="151"/>
  <c r="F80" i="151"/>
  <c r="G80" i="151" s="1"/>
  <c r="G78" i="151" s="1"/>
  <c r="F79" i="151"/>
  <c r="G79" i="151" s="1"/>
  <c r="E78" i="151"/>
  <c r="D78" i="151"/>
  <c r="D89" i="151" s="1"/>
  <c r="C78" i="151"/>
  <c r="F77" i="151"/>
  <c r="F77" i="3" s="1"/>
  <c r="F76" i="151"/>
  <c r="F75" i="151" s="1"/>
  <c r="E75" i="151"/>
  <c r="D75" i="151"/>
  <c r="C75" i="151"/>
  <c r="F74" i="151"/>
  <c r="F73" i="151"/>
  <c r="G73" i="151" s="1"/>
  <c r="G73" i="3" s="1"/>
  <c r="F72" i="151"/>
  <c r="G72" i="151"/>
  <c r="F71" i="151"/>
  <c r="G71" i="151" s="1"/>
  <c r="E70" i="151"/>
  <c r="D70" i="151"/>
  <c r="C70" i="151"/>
  <c r="F69" i="151"/>
  <c r="G69" i="151" s="1"/>
  <c r="F68" i="151"/>
  <c r="F67" i="151"/>
  <c r="E66" i="151"/>
  <c r="D66" i="151"/>
  <c r="C66" i="151"/>
  <c r="C89" i="151" s="1"/>
  <c r="F64" i="151"/>
  <c r="G64" i="151" s="1"/>
  <c r="G64" i="3" s="1"/>
  <c r="F63" i="151"/>
  <c r="F62" i="151"/>
  <c r="F61" i="151"/>
  <c r="G61" i="151" s="1"/>
  <c r="E60" i="151"/>
  <c r="D60" i="151"/>
  <c r="C60" i="151"/>
  <c r="F59" i="151"/>
  <c r="F59" i="3" s="1"/>
  <c r="F58" i="151"/>
  <c r="F57" i="151"/>
  <c r="F56" i="151"/>
  <c r="G56" i="151" s="1"/>
  <c r="E55" i="151"/>
  <c r="D55" i="151"/>
  <c r="C55" i="151"/>
  <c r="F54" i="151"/>
  <c r="F53" i="151"/>
  <c r="F49" i="151" s="1"/>
  <c r="F52" i="151"/>
  <c r="F52" i="3" s="1"/>
  <c r="F51" i="151"/>
  <c r="G51" i="151" s="1"/>
  <c r="F50" i="151"/>
  <c r="E49" i="151"/>
  <c r="D49" i="151"/>
  <c r="C49" i="151"/>
  <c r="F48" i="151"/>
  <c r="F47" i="151"/>
  <c r="G47" i="151" s="1"/>
  <c r="F46" i="151"/>
  <c r="G46" i="151" s="1"/>
  <c r="F45" i="151"/>
  <c r="G45" i="151"/>
  <c r="F44" i="151"/>
  <c r="F44" i="3" s="1"/>
  <c r="F43" i="151"/>
  <c r="G43" i="151" s="1"/>
  <c r="F42" i="151"/>
  <c r="F41" i="151"/>
  <c r="F40" i="151"/>
  <c r="G40" i="151" s="1"/>
  <c r="G40" i="3" s="1"/>
  <c r="F39" i="151"/>
  <c r="G39" i="151" s="1"/>
  <c r="F38" i="151"/>
  <c r="G38" i="151" s="1"/>
  <c r="E37" i="151"/>
  <c r="D37" i="151"/>
  <c r="C37" i="151"/>
  <c r="F36" i="151"/>
  <c r="F36" i="3" s="1"/>
  <c r="G36" i="151"/>
  <c r="F35" i="151"/>
  <c r="G35" i="151" s="1"/>
  <c r="F34" i="151"/>
  <c r="F33" i="151"/>
  <c r="F31" i="151"/>
  <c r="F31" i="3" s="1"/>
  <c r="F30" i="151"/>
  <c r="F29" i="151"/>
  <c r="F27" i="151"/>
  <c r="G27" i="151" s="1"/>
  <c r="F26" i="151"/>
  <c r="G26" i="151" s="1"/>
  <c r="F25" i="151"/>
  <c r="F24" i="151"/>
  <c r="G24" i="151"/>
  <c r="F23" i="151"/>
  <c r="F22" i="151"/>
  <c r="G22" i="151"/>
  <c r="E21" i="151"/>
  <c r="D21" i="151"/>
  <c r="C21" i="151"/>
  <c r="F20" i="151"/>
  <c r="G20" i="151" s="1"/>
  <c r="F18" i="151"/>
  <c r="G18" i="151" s="1"/>
  <c r="F17" i="151"/>
  <c r="F16" i="151"/>
  <c r="F15" i="151"/>
  <c r="C14" i="151"/>
  <c r="F13" i="151"/>
  <c r="G13" i="151"/>
  <c r="F12" i="151"/>
  <c r="F11" i="151"/>
  <c r="F9" i="151"/>
  <c r="C7" i="151"/>
  <c r="G154" i="150"/>
  <c r="F154" i="150"/>
  <c r="F153" i="150"/>
  <c r="G153" i="150"/>
  <c r="C92" i="150"/>
  <c r="F87" i="150"/>
  <c r="G87" i="150" s="1"/>
  <c r="F86" i="150"/>
  <c r="G86" i="150"/>
  <c r="D65" i="150"/>
  <c r="G51" i="150"/>
  <c r="F41" i="150"/>
  <c r="G41" i="150" s="1"/>
  <c r="C3" i="150"/>
  <c r="G154" i="149"/>
  <c r="F154" i="149"/>
  <c r="F153" i="149"/>
  <c r="G153" i="149" s="1"/>
  <c r="F151" i="149"/>
  <c r="E147" i="149"/>
  <c r="C92" i="149"/>
  <c r="F87" i="149"/>
  <c r="G87" i="149" s="1"/>
  <c r="F86" i="149"/>
  <c r="G86" i="149"/>
  <c r="F7" i="149"/>
  <c r="C3" i="149"/>
  <c r="G154" i="148"/>
  <c r="F154" i="148"/>
  <c r="F153" i="148"/>
  <c r="G153" i="148" s="1"/>
  <c r="C92" i="148"/>
  <c r="F87" i="148"/>
  <c r="G87" i="148" s="1"/>
  <c r="F86" i="148"/>
  <c r="G86" i="148" s="1"/>
  <c r="C3" i="148"/>
  <c r="F153" i="3"/>
  <c r="G153" i="3" s="1"/>
  <c r="F152" i="3"/>
  <c r="G152" i="3" s="1"/>
  <c r="F88" i="3"/>
  <c r="G88" i="3" s="1"/>
  <c r="F87" i="3"/>
  <c r="G87" i="3" s="1"/>
  <c r="F154" i="1"/>
  <c r="F153" i="1"/>
  <c r="G153" i="1" s="1"/>
  <c r="F87" i="1"/>
  <c r="G87" i="1" s="1"/>
  <c r="F86" i="1"/>
  <c r="G86" i="1" s="1"/>
  <c r="H4" i="73"/>
  <c r="H4" i="61"/>
  <c r="E7" i="147"/>
  <c r="D7" i="147"/>
  <c r="B7" i="147"/>
  <c r="H6" i="147"/>
  <c r="I6" i="147" s="1"/>
  <c r="H5" i="147"/>
  <c r="H7" i="147" s="1"/>
  <c r="E3" i="147"/>
  <c r="D3" i="147"/>
  <c r="H6" i="63"/>
  <c r="I6" i="63" s="1"/>
  <c r="H7" i="63"/>
  <c r="I7" i="63" s="1"/>
  <c r="H9" i="63"/>
  <c r="I9" i="63"/>
  <c r="H10" i="63"/>
  <c r="I10" i="63"/>
  <c r="H11" i="63"/>
  <c r="I11" i="63"/>
  <c r="H12" i="63"/>
  <c r="I12" i="63"/>
  <c r="H13" i="63"/>
  <c r="I13" i="63"/>
  <c r="H14" i="63"/>
  <c r="I14" i="63"/>
  <c r="H15" i="63"/>
  <c r="I15" i="63"/>
  <c r="H19" i="63"/>
  <c r="I19" i="63"/>
  <c r="H5" i="63"/>
  <c r="I5" i="63"/>
  <c r="E3" i="63"/>
  <c r="I29" i="61"/>
  <c r="I28" i="61"/>
  <c r="I27" i="61"/>
  <c r="I26" i="61"/>
  <c r="I25" i="61"/>
  <c r="I24" i="61"/>
  <c r="I23" i="61"/>
  <c r="I22" i="61"/>
  <c r="I21" i="61"/>
  <c r="I30" i="61" s="1"/>
  <c r="I20" i="61"/>
  <c r="I19" i="61"/>
  <c r="I18" i="61"/>
  <c r="I16" i="61"/>
  <c r="I15" i="61"/>
  <c r="I14" i="61"/>
  <c r="I13" i="61"/>
  <c r="I12" i="61"/>
  <c r="I11" i="61"/>
  <c r="I9" i="61"/>
  <c r="E29" i="61"/>
  <c r="E28" i="61"/>
  <c r="E27" i="61"/>
  <c r="E26" i="61"/>
  <c r="E23" i="61"/>
  <c r="E22" i="61"/>
  <c r="E21" i="61"/>
  <c r="E20" i="61"/>
  <c r="E19" i="61"/>
  <c r="E10" i="61"/>
  <c r="E11" i="61"/>
  <c r="E12" i="61"/>
  <c r="E13" i="61"/>
  <c r="E14" i="61"/>
  <c r="E15" i="61"/>
  <c r="E16" i="61"/>
  <c r="I32" i="73"/>
  <c r="I31" i="73"/>
  <c r="I30" i="73"/>
  <c r="I29" i="73"/>
  <c r="I28" i="73"/>
  <c r="I25" i="73"/>
  <c r="I24" i="73"/>
  <c r="E32" i="73"/>
  <c r="E25" i="73"/>
  <c r="E26" i="73"/>
  <c r="E13" i="73"/>
  <c r="E14" i="73"/>
  <c r="E17" i="73"/>
  <c r="E18" i="73"/>
  <c r="E20" i="73"/>
  <c r="A31" i="75"/>
  <c r="A28" i="76" s="1"/>
  <c r="A37" i="75"/>
  <c r="A34" i="76" s="1"/>
  <c r="A19" i="75"/>
  <c r="A16" i="76" s="1"/>
  <c r="A13" i="75"/>
  <c r="A10" i="76" s="1"/>
  <c r="G154" i="1"/>
  <c r="A4" i="76"/>
  <c r="A25" i="75"/>
  <c r="A22" i="76" s="1"/>
  <c r="H30" i="61"/>
  <c r="D18" i="61"/>
  <c r="D24" i="61"/>
  <c r="C92" i="1"/>
  <c r="C3" i="1"/>
  <c r="C4" i="61" s="1"/>
  <c r="G4" i="61" s="1"/>
  <c r="I4" i="61"/>
  <c r="D3" i="63"/>
  <c r="G30" i="61"/>
  <c r="C18" i="61"/>
  <c r="D24" i="63"/>
  <c r="I4" i="73"/>
  <c r="G81" i="151"/>
  <c r="G147" i="155"/>
  <c r="F21" i="156"/>
  <c r="G22" i="156"/>
  <c r="G50" i="156"/>
  <c r="G71" i="156"/>
  <c r="G76" i="156"/>
  <c r="G105" i="151"/>
  <c r="G107" i="151"/>
  <c r="G108" i="3" s="1"/>
  <c r="G50" i="152"/>
  <c r="G50" i="153"/>
  <c r="G11" i="155"/>
  <c r="G24" i="155"/>
  <c r="G38" i="155"/>
  <c r="G38" i="154" s="1"/>
  <c r="G85" i="155"/>
  <c r="G98" i="155"/>
  <c r="G104" i="155"/>
  <c r="G104" i="154" s="1"/>
  <c r="G106" i="155"/>
  <c r="G110" i="155"/>
  <c r="G119" i="155"/>
  <c r="G123" i="155"/>
  <c r="G30" i="151"/>
  <c r="G33" i="151"/>
  <c r="G145" i="155"/>
  <c r="F145" i="154"/>
  <c r="F150" i="154"/>
  <c r="G150" i="155"/>
  <c r="G38" i="156"/>
  <c r="G149" i="155"/>
  <c r="G146" i="155" s="1"/>
  <c r="G15" i="151"/>
  <c r="G25" i="151"/>
  <c r="G42" i="151"/>
  <c r="G57" i="151"/>
  <c r="G94" i="153"/>
  <c r="G10" i="155"/>
  <c r="G45" i="155"/>
  <c r="G45" i="154" s="1"/>
  <c r="G59" i="155"/>
  <c r="G62" i="155"/>
  <c r="G143" i="155"/>
  <c r="G41" i="151"/>
  <c r="G100" i="151"/>
  <c r="G135" i="151"/>
  <c r="G140" i="151"/>
  <c r="G143" i="151"/>
  <c r="G61" i="155"/>
  <c r="G72" i="155"/>
  <c r="G74" i="155"/>
  <c r="G81" i="155"/>
  <c r="G99" i="155"/>
  <c r="G103" i="155"/>
  <c r="G126" i="155"/>
  <c r="G22" i="157"/>
  <c r="G80" i="157"/>
  <c r="G19" i="155"/>
  <c r="C153" i="151"/>
  <c r="G62" i="151"/>
  <c r="G97" i="155"/>
  <c r="F138" i="154"/>
  <c r="G29" i="156"/>
  <c r="G84" i="157"/>
  <c r="G54" i="155"/>
  <c r="C154" i="156"/>
  <c r="C128" i="157"/>
  <c r="E89" i="153"/>
  <c r="F109" i="3"/>
  <c r="G109" i="151"/>
  <c r="D154" i="157"/>
  <c r="G99" i="151"/>
  <c r="G80" i="152"/>
  <c r="G125" i="155"/>
  <c r="G69" i="156"/>
  <c r="G34" i="155"/>
  <c r="G32" i="155"/>
  <c r="G54" i="151"/>
  <c r="G25" i="155"/>
  <c r="G48" i="151"/>
  <c r="F39" i="154"/>
  <c r="G73" i="155"/>
  <c r="F107" i="154"/>
  <c r="G127" i="155"/>
  <c r="G106" i="151"/>
  <c r="G72" i="152"/>
  <c r="G35" i="155"/>
  <c r="F117" i="154"/>
  <c r="G130" i="156"/>
  <c r="G8" i="157"/>
  <c r="G7" i="157" s="1"/>
  <c r="G38" i="157"/>
  <c r="G103" i="151"/>
  <c r="G48" i="152"/>
  <c r="F48" i="3"/>
  <c r="G39" i="153"/>
  <c r="F19" i="154"/>
  <c r="G29" i="157"/>
  <c r="G142" i="151"/>
  <c r="G129" i="151"/>
  <c r="G30" i="157"/>
  <c r="E95" i="165"/>
  <c r="E40" i="165"/>
  <c r="E36" i="165" s="1"/>
  <c r="E102" i="165"/>
  <c r="E8" i="165"/>
  <c r="E18" i="165"/>
  <c r="E35" i="165"/>
  <c r="E45" i="165"/>
  <c r="E52" i="165"/>
  <c r="E73" i="165"/>
  <c r="E132" i="165"/>
  <c r="E130" i="165" s="1"/>
  <c r="E61" i="165"/>
  <c r="E98" i="165"/>
  <c r="E94" i="165" s="1"/>
  <c r="E129" i="165" s="1"/>
  <c r="E139" i="165"/>
  <c r="E149" i="165"/>
  <c r="E33" i="165"/>
  <c r="E67" i="165"/>
  <c r="E65" i="165" s="1"/>
  <c r="E88" i="165" s="1"/>
  <c r="E71" i="165"/>
  <c r="E69" i="165" s="1"/>
  <c r="E122" i="165"/>
  <c r="C2" i="158"/>
  <c r="E111" i="165"/>
  <c r="E17" i="165"/>
  <c r="E59" i="165"/>
  <c r="E79" i="165"/>
  <c r="E77" i="165" s="1"/>
  <c r="E103" i="165"/>
  <c r="E53" i="165"/>
  <c r="E68" i="165"/>
  <c r="I6" i="166"/>
  <c r="E56" i="165"/>
  <c r="E140" i="165"/>
  <c r="E28" i="165"/>
  <c r="E96" i="165"/>
  <c r="E82" i="165"/>
  <c r="E81" i="165"/>
  <c r="E14" i="165"/>
  <c r="E112" i="165"/>
  <c r="E63" i="165"/>
  <c r="E76" i="165"/>
  <c r="E74" i="165" s="1"/>
  <c r="E24" i="165"/>
  <c r="E19" i="165" s="1"/>
  <c r="E57" i="165"/>
  <c r="E83" i="165"/>
  <c r="E50" i="165"/>
  <c r="E30" i="165"/>
  <c r="E10" i="165"/>
  <c r="E99" i="165"/>
  <c r="D3" i="161"/>
  <c r="E112" i="3"/>
  <c r="E114" i="148"/>
  <c r="E114" i="1" s="1"/>
  <c r="E115" i="3"/>
  <c r="E117" i="148"/>
  <c r="F104" i="151"/>
  <c r="F105" i="3" s="1"/>
  <c r="G157" i="151"/>
  <c r="G158" i="3" s="1"/>
  <c r="F67" i="150"/>
  <c r="G67" i="150" s="1"/>
  <c r="C141" i="1"/>
  <c r="F133" i="150"/>
  <c r="C137" i="1"/>
  <c r="F136" i="149"/>
  <c r="G136" i="149" s="1"/>
  <c r="F138" i="149"/>
  <c r="G138" i="149" s="1"/>
  <c r="F144" i="149"/>
  <c r="G144" i="149" s="1"/>
  <c r="D59" i="148"/>
  <c r="F16" i="148"/>
  <c r="F103" i="148"/>
  <c r="E15" i="1"/>
  <c r="C75" i="1"/>
  <c r="C24" i="73" s="1"/>
  <c r="C23" i="73" s="1"/>
  <c r="D140" i="1"/>
  <c r="F140" i="148"/>
  <c r="D24" i="1"/>
  <c r="C4" i="73"/>
  <c r="G4" i="73" s="1"/>
  <c r="D69" i="150"/>
  <c r="F120" i="150"/>
  <c r="D65" i="157"/>
  <c r="C104" i="1"/>
  <c r="F33" i="150"/>
  <c r="G33" i="150" s="1"/>
  <c r="F58" i="150"/>
  <c r="G58" i="150" s="1"/>
  <c r="F61" i="150"/>
  <c r="C65" i="150"/>
  <c r="F141" i="154"/>
  <c r="F60" i="157"/>
  <c r="G15" i="157"/>
  <c r="E59" i="150"/>
  <c r="F99" i="154"/>
  <c r="E70" i="154"/>
  <c r="E116" i="150"/>
  <c r="F26" i="154"/>
  <c r="F7" i="157"/>
  <c r="G31" i="157"/>
  <c r="G31" i="154" s="1"/>
  <c r="C44" i="1"/>
  <c r="F73" i="154"/>
  <c r="F21" i="149"/>
  <c r="F67" i="149"/>
  <c r="C145" i="1"/>
  <c r="F109" i="154"/>
  <c r="F83" i="156"/>
  <c r="F83" i="149"/>
  <c r="G61" i="156"/>
  <c r="F59" i="154"/>
  <c r="F135" i="154"/>
  <c r="F115" i="149"/>
  <c r="G115" i="149" s="1"/>
  <c r="F99" i="149"/>
  <c r="F101" i="154"/>
  <c r="F133" i="156"/>
  <c r="F143" i="154"/>
  <c r="F36" i="154"/>
  <c r="F104" i="154"/>
  <c r="C126" i="1"/>
  <c r="F28" i="149"/>
  <c r="G28" i="149" s="1"/>
  <c r="F44" i="149"/>
  <c r="G44" i="149" s="1"/>
  <c r="F70" i="149"/>
  <c r="F106" i="149"/>
  <c r="G106" i="149" s="1"/>
  <c r="F28" i="155"/>
  <c r="G131" i="155"/>
  <c r="F55" i="155"/>
  <c r="G148" i="155"/>
  <c r="F95" i="155"/>
  <c r="G95" i="155" s="1"/>
  <c r="G95" i="154" s="1"/>
  <c r="C70" i="1"/>
  <c r="F38" i="148"/>
  <c r="G38" i="148" s="1"/>
  <c r="F87" i="154"/>
  <c r="F84" i="154"/>
  <c r="G46" i="155"/>
  <c r="F38" i="154"/>
  <c r="F43" i="148"/>
  <c r="G43" i="148" s="1"/>
  <c r="F105" i="148"/>
  <c r="G105" i="148" s="1"/>
  <c r="E80" i="1"/>
  <c r="C14" i="1"/>
  <c r="F42" i="154"/>
  <c r="G36" i="155"/>
  <c r="F149" i="148"/>
  <c r="G149" i="148" s="1"/>
  <c r="C134" i="1"/>
  <c r="D23" i="1"/>
  <c r="F16" i="150"/>
  <c r="G16" i="150" s="1"/>
  <c r="F105" i="150"/>
  <c r="C116" i="150"/>
  <c r="F140" i="150"/>
  <c r="F136" i="150"/>
  <c r="F14" i="153"/>
  <c r="F66" i="153"/>
  <c r="F15" i="3"/>
  <c r="C25" i="1"/>
  <c r="D83" i="1"/>
  <c r="E138" i="1"/>
  <c r="E136" i="1"/>
  <c r="F108" i="150"/>
  <c r="G108" i="150" s="1"/>
  <c r="G63" i="150"/>
  <c r="F68" i="3"/>
  <c r="F43" i="3"/>
  <c r="F108" i="3"/>
  <c r="G50" i="151"/>
  <c r="G50" i="3" s="1"/>
  <c r="F50" i="3"/>
  <c r="G53" i="151"/>
  <c r="G119" i="151"/>
  <c r="F120" i="3"/>
  <c r="G146" i="151"/>
  <c r="F8" i="151"/>
  <c r="G8" i="151" s="1"/>
  <c r="E7" i="151"/>
  <c r="G139" i="151"/>
  <c r="F139" i="151"/>
  <c r="F141" i="3"/>
  <c r="E8" i="3"/>
  <c r="D126" i="1"/>
  <c r="F94" i="151"/>
  <c r="G94" i="151" s="1"/>
  <c r="D97" i="148"/>
  <c r="D110" i="151"/>
  <c r="D113" i="148" s="1"/>
  <c r="D114" i="148"/>
  <c r="D114" i="1" s="1"/>
  <c r="D112" i="3"/>
  <c r="F111" i="151"/>
  <c r="F110" i="151" s="1"/>
  <c r="D48" i="148"/>
  <c r="E7" i="148"/>
  <c r="E7" i="1" s="1"/>
  <c r="C77" i="148"/>
  <c r="F31" i="148"/>
  <c r="G31" i="151"/>
  <c r="F28" i="151"/>
  <c r="F55" i="151"/>
  <c r="G58" i="151"/>
  <c r="G63" i="151"/>
  <c r="G77" i="151"/>
  <c r="G84" i="151"/>
  <c r="E75" i="1"/>
  <c r="E18" i="148"/>
  <c r="E18" i="1" s="1"/>
  <c r="E19" i="3"/>
  <c r="E14" i="3" s="1"/>
  <c r="F19" i="151"/>
  <c r="F19" i="3" s="1"/>
  <c r="E14" i="151"/>
  <c r="E10" i="3"/>
  <c r="F10" i="151"/>
  <c r="F10" i="3" s="1"/>
  <c r="C128" i="1"/>
  <c r="D153" i="151"/>
  <c r="C6" i="148"/>
  <c r="C68" i="1"/>
  <c r="C29" i="73" s="1"/>
  <c r="E118" i="1"/>
  <c r="D50" i="1"/>
  <c r="F43" i="150"/>
  <c r="E77" i="150"/>
  <c r="F134" i="150"/>
  <c r="G134" i="150" s="1"/>
  <c r="C107" i="1"/>
  <c r="C103" i="1"/>
  <c r="D85" i="1"/>
  <c r="C58" i="1"/>
  <c r="F138" i="150"/>
  <c r="G138" i="150"/>
  <c r="D81" i="150"/>
  <c r="C63" i="1"/>
  <c r="F103" i="150"/>
  <c r="F126" i="150"/>
  <c r="G126" i="150" s="1"/>
  <c r="G70" i="149"/>
  <c r="G99" i="149"/>
  <c r="D147" i="149"/>
  <c r="C115" i="1"/>
  <c r="E120" i="1"/>
  <c r="E27" i="149"/>
  <c r="F146" i="149"/>
  <c r="E33" i="1"/>
  <c r="E29" i="1"/>
  <c r="F38" i="149"/>
  <c r="G38" i="149" s="1"/>
  <c r="C99" i="1"/>
  <c r="G10" i="73" s="1"/>
  <c r="E31" i="1"/>
  <c r="C84" i="1"/>
  <c r="D54" i="149"/>
  <c r="D56" i="1"/>
  <c r="F76" i="149"/>
  <c r="E135" i="149"/>
  <c r="E111" i="1"/>
  <c r="F126" i="149"/>
  <c r="G126" i="149" s="1"/>
  <c r="C28" i="1"/>
  <c r="C32" i="1"/>
  <c r="F34" i="148"/>
  <c r="D34" i="1"/>
  <c r="F101" i="148"/>
  <c r="G101" i="148" s="1"/>
  <c r="D138" i="1"/>
  <c r="F138" i="148"/>
  <c r="G138" i="148" s="1"/>
  <c r="F136" i="148"/>
  <c r="G136" i="148" s="1"/>
  <c r="D136" i="1"/>
  <c r="C146" i="1"/>
  <c r="F145" i="148"/>
  <c r="G145" i="148" s="1"/>
  <c r="F152" i="148"/>
  <c r="G152" i="148" s="1"/>
  <c r="C37" i="1"/>
  <c r="C40" i="1"/>
  <c r="D129" i="1"/>
  <c r="C140" i="1"/>
  <c r="F143" i="148"/>
  <c r="G143" i="148" s="1"/>
  <c r="D54" i="148"/>
  <c r="F62" i="148"/>
  <c r="F59" i="148" s="1"/>
  <c r="F60" i="148"/>
  <c r="D72" i="1"/>
  <c r="F72" i="148"/>
  <c r="C74" i="148"/>
  <c r="C76" i="1"/>
  <c r="F79" i="148"/>
  <c r="F110" i="148"/>
  <c r="G110" i="148" s="1"/>
  <c r="F108" i="148"/>
  <c r="C123" i="1"/>
  <c r="C119" i="1"/>
  <c r="D147" i="148"/>
  <c r="G103" i="148"/>
  <c r="C11" i="1"/>
  <c r="F30" i="148"/>
  <c r="G30" i="148" s="1"/>
  <c r="C48" i="148"/>
  <c r="C54" i="148"/>
  <c r="E115" i="1"/>
  <c r="E43" i="1"/>
  <c r="G44" i="148"/>
  <c r="F17" i="3"/>
  <c r="G17" i="151"/>
  <c r="F124" i="154"/>
  <c r="G124" i="155"/>
  <c r="G17" i="156"/>
  <c r="G17" i="154" s="1"/>
  <c r="F17" i="154"/>
  <c r="F14" i="156"/>
  <c r="G52" i="156"/>
  <c r="F49" i="156"/>
  <c r="G62" i="156"/>
  <c r="G62" i="154"/>
  <c r="F60" i="156"/>
  <c r="G81" i="156"/>
  <c r="F79" i="156"/>
  <c r="G94" i="156"/>
  <c r="F93" i="156"/>
  <c r="G120" i="156"/>
  <c r="F120" i="154"/>
  <c r="G24" i="157"/>
  <c r="G40" i="157"/>
  <c r="F40" i="154"/>
  <c r="G48" i="157"/>
  <c r="F70" i="157"/>
  <c r="G86" i="157"/>
  <c r="F86" i="154"/>
  <c r="F83" i="157"/>
  <c r="G103" i="157"/>
  <c r="F103" i="154"/>
  <c r="G134" i="157"/>
  <c r="F133" i="157"/>
  <c r="F134" i="154"/>
  <c r="F62" i="154"/>
  <c r="F24" i="154"/>
  <c r="E54" i="165"/>
  <c r="G10" i="153"/>
  <c r="F7" i="153"/>
  <c r="G30" i="153"/>
  <c r="F28" i="153"/>
  <c r="G72" i="153"/>
  <c r="G70" i="153" s="1"/>
  <c r="F72" i="3"/>
  <c r="G79" i="153"/>
  <c r="F78" i="153"/>
  <c r="G114" i="153"/>
  <c r="G113" i="153" s="1"/>
  <c r="E48" i="165"/>
  <c r="G59" i="151"/>
  <c r="F60" i="151"/>
  <c r="G120" i="151"/>
  <c r="F148" i="3"/>
  <c r="G147" i="151"/>
  <c r="G67" i="152"/>
  <c r="G85" i="152"/>
  <c r="F85" i="3"/>
  <c r="F45" i="3"/>
  <c r="G68" i="151"/>
  <c r="G136" i="151"/>
  <c r="F137" i="3"/>
  <c r="G33" i="152"/>
  <c r="G33" i="3" s="1"/>
  <c r="F33" i="3"/>
  <c r="G81" i="152"/>
  <c r="G81" i="3" s="1"/>
  <c r="F82" i="152"/>
  <c r="G51" i="153"/>
  <c r="F49" i="153"/>
  <c r="G104" i="153"/>
  <c r="F126" i="3"/>
  <c r="G142" i="153"/>
  <c r="F108" i="154"/>
  <c r="G108" i="155"/>
  <c r="G80" i="155"/>
  <c r="F80" i="154"/>
  <c r="G134" i="151"/>
  <c r="G69" i="152"/>
  <c r="F69" i="3"/>
  <c r="F110" i="3"/>
  <c r="G110" i="152"/>
  <c r="F92" i="153"/>
  <c r="G93" i="153"/>
  <c r="G92" i="153" s="1"/>
  <c r="G135" i="153"/>
  <c r="G136" i="3" s="1"/>
  <c r="F136" i="3"/>
  <c r="F16" i="154"/>
  <c r="G16" i="155"/>
  <c r="F138" i="3"/>
  <c r="G112" i="155"/>
  <c r="G44" i="157"/>
  <c r="C153" i="153"/>
  <c r="F71" i="154"/>
  <c r="F54" i="154"/>
  <c r="C65" i="157"/>
  <c r="C90" i="157"/>
  <c r="C79" i="154"/>
  <c r="F79" i="157"/>
  <c r="F158" i="3"/>
  <c r="C53" i="1"/>
  <c r="C122" i="1"/>
  <c r="G151" i="149"/>
  <c r="G103" i="150"/>
  <c r="E36" i="161"/>
  <c r="I17" i="166"/>
  <c r="F73" i="148"/>
  <c r="G73" i="148" s="1"/>
  <c r="F32" i="149"/>
  <c r="G32" i="149" s="1"/>
  <c r="G140" i="150"/>
  <c r="D44" i="1"/>
  <c r="C88" i="165"/>
  <c r="E106" i="1"/>
  <c r="C81" i="150"/>
  <c r="G105" i="150"/>
  <c r="F19" i="166"/>
  <c r="F24" i="63"/>
  <c r="G14" i="157"/>
  <c r="G60" i="156"/>
  <c r="G79" i="148"/>
  <c r="G16" i="154"/>
  <c r="G78" i="152"/>
  <c r="G133" i="157"/>
  <c r="G85" i="3"/>
  <c r="F95" i="151"/>
  <c r="G95" i="151" s="1"/>
  <c r="D112" i="1"/>
  <c r="D25" i="1"/>
  <c r="F25" i="148"/>
  <c r="G25" i="148" s="1"/>
  <c r="G94" i="154"/>
  <c r="D47" i="1"/>
  <c r="G66" i="153"/>
  <c r="F121" i="154"/>
  <c r="F14" i="157"/>
  <c r="G32" i="157"/>
  <c r="G127" i="156"/>
  <c r="G127" i="154" s="1"/>
  <c r="F127" i="154"/>
  <c r="F37" i="156"/>
  <c r="G132" i="155"/>
  <c r="F132" i="154"/>
  <c r="C9" i="1"/>
  <c r="G39" i="148"/>
  <c r="E53" i="1"/>
  <c r="F53" i="148"/>
  <c r="G53" i="148" s="1"/>
  <c r="G76" i="157"/>
  <c r="G75" i="157"/>
  <c r="G115" i="157"/>
  <c r="G114" i="157" s="1"/>
  <c r="C129" i="154"/>
  <c r="E100" i="149"/>
  <c r="E95" i="149" s="1"/>
  <c r="E44" i="1"/>
  <c r="C117" i="1"/>
  <c r="F49" i="149"/>
  <c r="F122" i="149"/>
  <c r="G122" i="149" s="1"/>
  <c r="F134" i="149"/>
  <c r="G134" i="149" s="1"/>
  <c r="G137" i="149"/>
  <c r="F45" i="150"/>
  <c r="G45" i="150" s="1"/>
  <c r="F71" i="150"/>
  <c r="G71" i="150" s="1"/>
  <c r="F104" i="3"/>
  <c r="E92" i="161"/>
  <c r="D88" i="165"/>
  <c r="D102" i="1"/>
  <c r="F137" i="148"/>
  <c r="F10" i="149"/>
  <c r="G129" i="149"/>
  <c r="F9" i="150"/>
  <c r="G9" i="150" s="1"/>
  <c r="D64" i="165"/>
  <c r="D89" i="165"/>
  <c r="C155" i="165"/>
  <c r="D94" i="165"/>
  <c r="D129" i="165"/>
  <c r="D155" i="165"/>
  <c r="O26" i="168"/>
  <c r="E134" i="1"/>
  <c r="C135" i="149"/>
  <c r="E54" i="150"/>
  <c r="E119" i="3"/>
  <c r="E121" i="148"/>
  <c r="E116" i="148" s="1"/>
  <c r="E113" i="151"/>
  <c r="G122" i="151"/>
  <c r="F122" i="3"/>
  <c r="F117" i="3"/>
  <c r="F119" i="148"/>
  <c r="G119" i="148" s="1"/>
  <c r="D106" i="1"/>
  <c r="E96" i="1"/>
  <c r="F22" i="3"/>
  <c r="G9" i="151"/>
  <c r="F96" i="155"/>
  <c r="F96" i="154"/>
  <c r="G96" i="155"/>
  <c r="G104" i="3"/>
  <c r="G130" i="3"/>
  <c r="G106" i="3"/>
  <c r="G20" i="3"/>
  <c r="F106" i="3"/>
  <c r="G83" i="156"/>
  <c r="G133" i="156"/>
  <c r="G60" i="157"/>
  <c r="F124" i="148"/>
  <c r="G124" i="148" s="1"/>
  <c r="F120" i="148"/>
  <c r="G120" i="148" s="1"/>
  <c r="G104" i="151"/>
  <c r="G11" i="151"/>
  <c r="G11" i="3" s="1"/>
  <c r="G10" i="151"/>
  <c r="F114" i="148"/>
  <c r="G114" i="148" s="1"/>
  <c r="E26" i="165"/>
  <c r="F124" i="149"/>
  <c r="G124" i="149" s="1"/>
  <c r="D124" i="1"/>
  <c r="F11" i="3"/>
  <c r="F21" i="151"/>
  <c r="F64" i="3"/>
  <c r="F125" i="3"/>
  <c r="F127" i="3"/>
  <c r="D96" i="148"/>
  <c r="D11" i="148"/>
  <c r="F11" i="148" s="1"/>
  <c r="G11" i="148" s="1"/>
  <c r="D12" i="3"/>
  <c r="F96" i="151"/>
  <c r="F97" i="3" s="1"/>
  <c r="D99" i="148"/>
  <c r="D99" i="1" s="1"/>
  <c r="D97" i="3"/>
  <c r="F38" i="3"/>
  <c r="G52" i="151"/>
  <c r="F70" i="152"/>
  <c r="F18" i="3"/>
  <c r="F101" i="3"/>
  <c r="F7" i="152"/>
  <c r="F118" i="3"/>
  <c r="G148" i="151"/>
  <c r="G23" i="151"/>
  <c r="F103" i="3"/>
  <c r="D49" i="1"/>
  <c r="F122" i="148"/>
  <c r="G122" i="148" s="1"/>
  <c r="F47" i="150"/>
  <c r="G47" i="150" s="1"/>
  <c r="F29" i="149"/>
  <c r="F22" i="150"/>
  <c r="F144" i="150"/>
  <c r="E98" i="3"/>
  <c r="D108" i="1"/>
  <c r="F19" i="149"/>
  <c r="G19" i="149" s="1"/>
  <c r="F56" i="149"/>
  <c r="G56" i="149" s="1"/>
  <c r="D59" i="149"/>
  <c r="C74" i="149"/>
  <c r="G53" i="150"/>
  <c r="C64" i="165"/>
  <c r="C89" i="165"/>
  <c r="D19" i="166"/>
  <c r="H19" i="166"/>
  <c r="D118" i="151"/>
  <c r="F118" i="151" s="1"/>
  <c r="D125" i="148"/>
  <c r="D125" i="1" s="1"/>
  <c r="G22" i="150"/>
  <c r="G96" i="151"/>
  <c r="D113" i="151"/>
  <c r="D121" i="148"/>
  <c r="D121" i="1" s="1"/>
  <c r="D119" i="3"/>
  <c r="G52" i="3"/>
  <c r="E92" i="151"/>
  <c r="E111" i="3"/>
  <c r="F97" i="148"/>
  <c r="G97" i="148" s="1"/>
  <c r="D111" i="3"/>
  <c r="G111" i="151"/>
  <c r="G112" i="3" s="1"/>
  <c r="E100" i="148"/>
  <c r="F78" i="148"/>
  <c r="E74" i="148"/>
  <c r="F78" i="151"/>
  <c r="E65" i="151"/>
  <c r="E128" i="152"/>
  <c r="E155" i="152"/>
  <c r="G96" i="152"/>
  <c r="F76" i="154"/>
  <c r="G76" i="154"/>
  <c r="F75" i="148"/>
  <c r="G75" i="148" s="1"/>
  <c r="G53" i="156"/>
  <c r="G53" i="154" s="1"/>
  <c r="F53" i="154"/>
  <c r="G125" i="156"/>
  <c r="F125" i="154"/>
  <c r="F28" i="157"/>
  <c r="G126" i="157"/>
  <c r="F126" i="154"/>
  <c r="G15" i="156"/>
  <c r="G102" i="152"/>
  <c r="G75" i="155"/>
  <c r="G149" i="156"/>
  <c r="F149" i="154"/>
  <c r="F78" i="149"/>
  <c r="G78" i="149" s="1"/>
  <c r="D78" i="1"/>
  <c r="G137" i="152"/>
  <c r="G57" i="156"/>
  <c r="G147" i="156"/>
  <c r="F147" i="154"/>
  <c r="G106" i="157"/>
  <c r="G144" i="157"/>
  <c r="F140" i="157"/>
  <c r="E146" i="154"/>
  <c r="F63" i="148"/>
  <c r="G63" i="148" s="1"/>
  <c r="F123" i="148"/>
  <c r="G123" i="148" s="1"/>
  <c r="D8" i="3"/>
  <c r="D7" i="148"/>
  <c r="D7" i="1" s="1"/>
  <c r="D98" i="148"/>
  <c r="D96" i="3"/>
  <c r="F115" i="155"/>
  <c r="G115" i="155" s="1"/>
  <c r="G115" i="154" s="1"/>
  <c r="D115" i="154"/>
  <c r="D114" i="155"/>
  <c r="D117" i="148"/>
  <c r="D8" i="148"/>
  <c r="F8" i="148" s="1"/>
  <c r="G8" i="148" s="1"/>
  <c r="D9" i="3"/>
  <c r="D22" i="3"/>
  <c r="D21" i="148"/>
  <c r="F21" i="148" s="1"/>
  <c r="G21" i="148" s="1"/>
  <c r="D105" i="3"/>
  <c r="D107" i="148"/>
  <c r="C7" i="1"/>
  <c r="F100" i="150"/>
  <c r="G100" i="150" s="1"/>
  <c r="F98" i="150"/>
  <c r="G98" i="150" s="1"/>
  <c r="F128" i="150"/>
  <c r="G128" i="150" s="1"/>
  <c r="D97" i="151"/>
  <c r="F97" i="151" s="1"/>
  <c r="F71" i="3"/>
  <c r="G7" i="149"/>
  <c r="C66" i="3"/>
  <c r="E81" i="150"/>
  <c r="D77" i="148"/>
  <c r="C83" i="1"/>
  <c r="C127" i="1"/>
  <c r="F9" i="149"/>
  <c r="G9" i="149" s="1"/>
  <c r="F25" i="149"/>
  <c r="F110" i="149"/>
  <c r="F73" i="150"/>
  <c r="G73" i="150" s="1"/>
  <c r="E105" i="161"/>
  <c r="G19" i="166"/>
  <c r="I9" i="166"/>
  <c r="I19" i="166"/>
  <c r="D96" i="149"/>
  <c r="F96" i="149" s="1"/>
  <c r="G96" i="149" s="1"/>
  <c r="D115" i="148"/>
  <c r="D115" i="1" s="1"/>
  <c r="D113" i="3"/>
  <c r="C114" i="154"/>
  <c r="E19" i="1"/>
  <c r="D31" i="1"/>
  <c r="F31" i="1" s="1"/>
  <c r="F112" i="148"/>
  <c r="G112" i="148" s="1"/>
  <c r="D116" i="149"/>
  <c r="E69" i="161"/>
  <c r="O14" i="168"/>
  <c r="G25" i="149"/>
  <c r="G140" i="157"/>
  <c r="F115" i="148"/>
  <c r="G115" i="148" s="1"/>
  <c r="D8" i="1"/>
  <c r="F114" i="155"/>
  <c r="G49" i="156"/>
  <c r="D100" i="148"/>
  <c r="D70" i="3"/>
  <c r="C82" i="3"/>
  <c r="C129" i="3"/>
  <c r="D140" i="3"/>
  <c r="D146" i="3"/>
  <c r="E37" i="3"/>
  <c r="G118" i="151" l="1"/>
  <c r="F113" i="151"/>
  <c r="G47" i="3"/>
  <c r="F136" i="154"/>
  <c r="F133" i="154" s="1"/>
  <c r="G136" i="155"/>
  <c r="G136" i="154" s="1"/>
  <c r="G15" i="154"/>
  <c r="F7" i="151"/>
  <c r="F79" i="3"/>
  <c r="F78" i="3" s="1"/>
  <c r="F112" i="3"/>
  <c r="E127" i="151"/>
  <c r="E154" i="151" s="1"/>
  <c r="F125" i="148"/>
  <c r="G125" i="148" s="1"/>
  <c r="F42" i="3"/>
  <c r="F45" i="154"/>
  <c r="F94" i="3"/>
  <c r="I5" i="147"/>
  <c r="F95" i="154"/>
  <c r="C91" i="157"/>
  <c r="F44" i="154"/>
  <c r="F135" i="3"/>
  <c r="F139" i="153"/>
  <c r="F35" i="3"/>
  <c r="F80" i="3"/>
  <c r="G48" i="154"/>
  <c r="F37" i="153"/>
  <c r="G9" i="155"/>
  <c r="F132" i="3"/>
  <c r="G19" i="3"/>
  <c r="D89" i="152"/>
  <c r="G70" i="152"/>
  <c r="G37" i="153"/>
  <c r="G48" i="3"/>
  <c r="G62" i="153"/>
  <c r="F62" i="3"/>
  <c r="D89" i="153"/>
  <c r="D90" i="153" s="1"/>
  <c r="G76" i="153"/>
  <c r="G75" i="153" s="1"/>
  <c r="F75" i="153"/>
  <c r="F30" i="154"/>
  <c r="G30" i="155"/>
  <c r="D65" i="156"/>
  <c r="G10" i="156"/>
  <c r="G10" i="154" s="1"/>
  <c r="F10" i="154"/>
  <c r="G21" i="156"/>
  <c r="G68" i="156"/>
  <c r="F68" i="154"/>
  <c r="F66" i="156"/>
  <c r="G74" i="156"/>
  <c r="G70" i="156" s="1"/>
  <c r="G90" i="156" s="1"/>
  <c r="F70" i="156"/>
  <c r="F74" i="154"/>
  <c r="G96" i="154"/>
  <c r="G119" i="156"/>
  <c r="G119" i="154" s="1"/>
  <c r="F114" i="156"/>
  <c r="F128" i="156" s="1"/>
  <c r="F155" i="156" s="1"/>
  <c r="G132" i="157"/>
  <c r="F129" i="157"/>
  <c r="G31" i="148"/>
  <c r="D95" i="154"/>
  <c r="D93" i="155"/>
  <c r="D128" i="155" s="1"/>
  <c r="E98" i="148"/>
  <c r="E98" i="1" s="1"/>
  <c r="E96" i="3"/>
  <c r="F115" i="154"/>
  <c r="G9" i="152"/>
  <c r="F9" i="3"/>
  <c r="G141" i="152"/>
  <c r="G141" i="3" s="1"/>
  <c r="F140" i="152"/>
  <c r="G7" i="153"/>
  <c r="C91" i="155"/>
  <c r="G28" i="155"/>
  <c r="G149" i="154"/>
  <c r="G114" i="155"/>
  <c r="F93" i="155"/>
  <c r="F128" i="155" s="1"/>
  <c r="F155" i="155" s="1"/>
  <c r="G19" i="151"/>
  <c r="F121" i="148"/>
  <c r="G121" i="148" s="1"/>
  <c r="F40" i="3"/>
  <c r="F47" i="3"/>
  <c r="F37" i="155"/>
  <c r="F32" i="154"/>
  <c r="F105" i="154"/>
  <c r="F48" i="154"/>
  <c r="F73" i="3"/>
  <c r="F66" i="155"/>
  <c r="F28" i="156"/>
  <c r="G61" i="154"/>
  <c r="G147" i="154"/>
  <c r="E89" i="151"/>
  <c r="E90" i="151" s="1"/>
  <c r="G130" i="151"/>
  <c r="G128" i="151" s="1"/>
  <c r="F128" i="151"/>
  <c r="G149" i="152"/>
  <c r="G149" i="3" s="1"/>
  <c r="F146" i="152"/>
  <c r="G14" i="153"/>
  <c r="G31" i="3"/>
  <c r="G71" i="3"/>
  <c r="G123" i="3"/>
  <c r="G20" i="155"/>
  <c r="F20" i="154"/>
  <c r="F22" i="154"/>
  <c r="G22" i="155"/>
  <c r="G22" i="154" s="1"/>
  <c r="G138" i="154"/>
  <c r="G132" i="154"/>
  <c r="G21" i="157"/>
  <c r="G44" i="151"/>
  <c r="G44" i="3" s="1"/>
  <c r="G67" i="151"/>
  <c r="G66" i="151" s="1"/>
  <c r="F67" i="3"/>
  <c r="F32" i="3"/>
  <c r="G32" i="152"/>
  <c r="G32" i="3" s="1"/>
  <c r="F144" i="3"/>
  <c r="G132" i="3"/>
  <c r="G12" i="155"/>
  <c r="G7" i="155" s="1"/>
  <c r="F12" i="154"/>
  <c r="F41" i="154"/>
  <c r="G41" i="155"/>
  <c r="G37" i="155" s="1"/>
  <c r="F79" i="155"/>
  <c r="G82" i="155"/>
  <c r="G42" i="3"/>
  <c r="D30" i="61"/>
  <c r="E18" i="61"/>
  <c r="I7" i="147"/>
  <c r="C65" i="151"/>
  <c r="C90" i="151" s="1"/>
  <c r="F12" i="3"/>
  <c r="F14" i="151"/>
  <c r="G21" i="151"/>
  <c r="F13" i="3"/>
  <c r="G45" i="3"/>
  <c r="C128" i="152"/>
  <c r="C154" i="152"/>
  <c r="G18" i="154"/>
  <c r="D65" i="155"/>
  <c r="F119" i="154"/>
  <c r="D154" i="155"/>
  <c r="E65" i="156"/>
  <c r="E91" i="156" s="1"/>
  <c r="F55" i="156"/>
  <c r="G42" i="154"/>
  <c r="G158" i="157"/>
  <c r="G158" i="154" s="1"/>
  <c r="F158" i="154"/>
  <c r="F46" i="148"/>
  <c r="E46" i="161"/>
  <c r="G16" i="164"/>
  <c r="E19" i="166"/>
  <c r="G37" i="156"/>
  <c r="I24" i="63"/>
  <c r="G43" i="3"/>
  <c r="F57" i="3"/>
  <c r="C65" i="152"/>
  <c r="G75" i="152"/>
  <c r="E90" i="152"/>
  <c r="F81" i="3"/>
  <c r="G82" i="152"/>
  <c r="F142" i="3"/>
  <c r="G113" i="3"/>
  <c r="D153" i="153"/>
  <c r="D154" i="153" s="1"/>
  <c r="F14" i="155"/>
  <c r="F33" i="154"/>
  <c r="C90" i="155"/>
  <c r="D90" i="155"/>
  <c r="D155" i="157"/>
  <c r="D151" i="1"/>
  <c r="E5" i="165"/>
  <c r="E64" i="165" s="1"/>
  <c r="E89" i="165" s="1"/>
  <c r="E134" i="165"/>
  <c r="G80" i="3"/>
  <c r="G55" i="151"/>
  <c r="G46" i="3"/>
  <c r="C127" i="151"/>
  <c r="C154" i="151" s="1"/>
  <c r="F21" i="152"/>
  <c r="F30" i="3"/>
  <c r="F41" i="3"/>
  <c r="C65" i="153"/>
  <c r="C90" i="153" s="1"/>
  <c r="F143" i="3"/>
  <c r="F15" i="154"/>
  <c r="F14" i="154" s="1"/>
  <c r="G66" i="156"/>
  <c r="E22" i="161"/>
  <c r="E12" i="165"/>
  <c r="E146" i="165"/>
  <c r="E154" i="165" s="1"/>
  <c r="E155" i="165" s="1"/>
  <c r="G25" i="154"/>
  <c r="G37" i="157"/>
  <c r="G73" i="154"/>
  <c r="G97" i="154"/>
  <c r="G107" i="154"/>
  <c r="C154" i="157"/>
  <c r="C155" i="157" s="1"/>
  <c r="G146" i="157"/>
  <c r="C55" i="154"/>
  <c r="D19" i="1"/>
  <c r="F14" i="148"/>
  <c r="E45" i="1"/>
  <c r="E76" i="1"/>
  <c r="C78" i="1"/>
  <c r="F109" i="148"/>
  <c r="G109" i="148" s="1"/>
  <c r="C116" i="148"/>
  <c r="D123" i="1"/>
  <c r="F139" i="148"/>
  <c r="D142" i="148"/>
  <c r="C152" i="1"/>
  <c r="F47" i="149"/>
  <c r="F39" i="149"/>
  <c r="C33" i="1"/>
  <c r="C29" i="1"/>
  <c r="E56" i="1"/>
  <c r="C66" i="1"/>
  <c r="F128" i="149"/>
  <c r="F120" i="149"/>
  <c r="F118" i="149"/>
  <c r="F106" i="150"/>
  <c r="C135" i="150"/>
  <c r="F141" i="150"/>
  <c r="G141" i="150" s="1"/>
  <c r="D139" i="1"/>
  <c r="D143" i="1"/>
  <c r="E151" i="1"/>
  <c r="F150" i="150"/>
  <c r="G150" i="150" s="1"/>
  <c r="F45" i="148"/>
  <c r="F41" i="148"/>
  <c r="F98" i="152"/>
  <c r="G98" i="152" s="1"/>
  <c r="G93" i="155"/>
  <c r="G128" i="155" s="1"/>
  <c r="E6" i="148"/>
  <c r="G79" i="156"/>
  <c r="G118" i="154"/>
  <c r="G145" i="154"/>
  <c r="E65" i="157"/>
  <c r="E91" i="157" s="1"/>
  <c r="G19" i="154"/>
  <c r="E128" i="157"/>
  <c r="E155" i="157" s="1"/>
  <c r="G40" i="148"/>
  <c r="G37" i="148"/>
  <c r="C59" i="148"/>
  <c r="C65" i="148"/>
  <c r="G107" i="149"/>
  <c r="D105" i="1"/>
  <c r="G103" i="149"/>
  <c r="C116" i="149"/>
  <c r="G119" i="149"/>
  <c r="E117" i="1"/>
  <c r="D133" i="1"/>
  <c r="E145" i="1"/>
  <c r="G10" i="150"/>
  <c r="F10" i="150"/>
  <c r="G26" i="150"/>
  <c r="F24" i="150"/>
  <c r="D52" i="1"/>
  <c r="C85" i="1"/>
  <c r="C111" i="1"/>
  <c r="G113" i="150"/>
  <c r="F111" i="150"/>
  <c r="G111" i="150" s="1"/>
  <c r="E103" i="1"/>
  <c r="C124" i="1"/>
  <c r="E131" i="150"/>
  <c r="D7" i="151"/>
  <c r="E128" i="156"/>
  <c r="E155" i="156" s="1"/>
  <c r="D154" i="156"/>
  <c r="G71" i="154"/>
  <c r="F75" i="157"/>
  <c r="D55" i="154"/>
  <c r="D60" i="154"/>
  <c r="D66" i="154"/>
  <c r="D75" i="154"/>
  <c r="D90" i="154" s="1"/>
  <c r="D90" i="156"/>
  <c r="E10" i="1"/>
  <c r="C22" i="1"/>
  <c r="D30" i="1"/>
  <c r="D28" i="1"/>
  <c r="C45" i="1"/>
  <c r="E36" i="148"/>
  <c r="D110" i="1"/>
  <c r="D119" i="1"/>
  <c r="F34" i="149"/>
  <c r="D38" i="1"/>
  <c r="F53" i="149"/>
  <c r="G53" i="149" s="1"/>
  <c r="F51" i="149"/>
  <c r="C62" i="1"/>
  <c r="D67" i="1"/>
  <c r="C73" i="1"/>
  <c r="D75" i="1"/>
  <c r="E84" i="1"/>
  <c r="E82" i="1"/>
  <c r="F114" i="149"/>
  <c r="E108" i="1"/>
  <c r="F108" i="1" s="1"/>
  <c r="G108" i="1" s="1"/>
  <c r="F23" i="150"/>
  <c r="G23" i="150" s="1"/>
  <c r="F34" i="150"/>
  <c r="G34" i="150" s="1"/>
  <c r="F80" i="150"/>
  <c r="G80" i="150" s="1"/>
  <c r="F84" i="150"/>
  <c r="G84" i="150" s="1"/>
  <c r="F82" i="150"/>
  <c r="F114" i="150"/>
  <c r="G114" i="150" s="1"/>
  <c r="F123" i="150"/>
  <c r="G123" i="150" s="1"/>
  <c r="F149" i="150"/>
  <c r="F81" i="154"/>
  <c r="G46" i="154"/>
  <c r="G79" i="157"/>
  <c r="G101" i="154"/>
  <c r="G121" i="154"/>
  <c r="G98" i="157"/>
  <c r="G93" i="157" s="1"/>
  <c r="G128" i="157" s="1"/>
  <c r="G155" i="157" s="1"/>
  <c r="F98" i="154"/>
  <c r="F8" i="150"/>
  <c r="G8" i="150" s="1"/>
  <c r="D6" i="150"/>
  <c r="G35" i="150"/>
  <c r="G31" i="150"/>
  <c r="C131" i="150"/>
  <c r="G133" i="150"/>
  <c r="D135" i="150"/>
  <c r="D142" i="150"/>
  <c r="E147" i="150"/>
  <c r="F151" i="150"/>
  <c r="G151" i="150" s="1"/>
  <c r="G144" i="150"/>
  <c r="F111" i="154"/>
  <c r="F21" i="157"/>
  <c r="G81" i="154"/>
  <c r="F122" i="154"/>
  <c r="G27" i="157"/>
  <c r="F27" i="154"/>
  <c r="G50" i="157"/>
  <c r="F50" i="154"/>
  <c r="F49" i="157"/>
  <c r="G55" i="157"/>
  <c r="D90" i="157"/>
  <c r="D91" i="157" s="1"/>
  <c r="G69" i="157"/>
  <c r="G69" i="154" s="1"/>
  <c r="F69" i="154"/>
  <c r="G85" i="157"/>
  <c r="F85" i="154"/>
  <c r="G113" i="157"/>
  <c r="G113" i="154" s="1"/>
  <c r="F113" i="154"/>
  <c r="G35" i="157"/>
  <c r="G28" i="157" s="1"/>
  <c r="F35" i="154"/>
  <c r="G70" i="157"/>
  <c r="F25" i="154"/>
  <c r="G14" i="154"/>
  <c r="C133" i="1"/>
  <c r="F37" i="157"/>
  <c r="D137" i="1"/>
  <c r="F118" i="154"/>
  <c r="F46" i="154"/>
  <c r="F146" i="157"/>
  <c r="F66" i="157"/>
  <c r="F55" i="157"/>
  <c r="F93" i="157"/>
  <c r="F128" i="157" s="1"/>
  <c r="F155" i="157" s="1"/>
  <c r="G150" i="154"/>
  <c r="G129" i="157"/>
  <c r="G154" i="157" s="1"/>
  <c r="F83" i="154"/>
  <c r="G120" i="154"/>
  <c r="G82" i="154"/>
  <c r="F100" i="154"/>
  <c r="G157" i="154"/>
  <c r="G36" i="154"/>
  <c r="G74" i="154"/>
  <c r="G108" i="154"/>
  <c r="G122" i="154"/>
  <c r="E7" i="154"/>
  <c r="E55" i="154"/>
  <c r="E60" i="154"/>
  <c r="E66" i="154"/>
  <c r="C70" i="154"/>
  <c r="C75" i="154"/>
  <c r="D114" i="154"/>
  <c r="E73" i="1"/>
  <c r="D22" i="1"/>
  <c r="C95" i="150"/>
  <c r="F112" i="150"/>
  <c r="F118" i="150"/>
  <c r="G136" i="150"/>
  <c r="G27" i="154"/>
  <c r="G40" i="154"/>
  <c r="G34" i="154"/>
  <c r="G39" i="154"/>
  <c r="G47" i="154"/>
  <c r="G103" i="154"/>
  <c r="G106" i="154"/>
  <c r="G117" i="154"/>
  <c r="G114" i="154" s="1"/>
  <c r="G68" i="150"/>
  <c r="F127" i="150"/>
  <c r="G127" i="150" s="1"/>
  <c r="G124" i="150"/>
  <c r="G149" i="150"/>
  <c r="F29" i="154"/>
  <c r="F28" i="154" s="1"/>
  <c r="F56" i="154"/>
  <c r="G32" i="154"/>
  <c r="C10" i="1"/>
  <c r="C24" i="1"/>
  <c r="E71" i="1"/>
  <c r="C139" i="1"/>
  <c r="C144" i="1"/>
  <c r="G27" i="73" s="1"/>
  <c r="E148" i="1"/>
  <c r="F37" i="150"/>
  <c r="G37" i="150" s="1"/>
  <c r="F85" i="150"/>
  <c r="G85" i="150" s="1"/>
  <c r="F129" i="150"/>
  <c r="G129" i="150" s="1"/>
  <c r="F125" i="150"/>
  <c r="G125" i="150" s="1"/>
  <c r="C142" i="150"/>
  <c r="G11" i="156"/>
  <c r="G11" i="154" s="1"/>
  <c r="F11" i="154"/>
  <c r="D155" i="156"/>
  <c r="F101" i="149"/>
  <c r="D101" i="1"/>
  <c r="G148" i="156"/>
  <c r="G146" i="156" s="1"/>
  <c r="F148" i="154"/>
  <c r="G46" i="149"/>
  <c r="G42" i="149"/>
  <c r="D40" i="1"/>
  <c r="F40" i="149"/>
  <c r="G40" i="149" s="1"/>
  <c r="E48" i="149"/>
  <c r="F62" i="149"/>
  <c r="E62" i="1"/>
  <c r="E59" i="149"/>
  <c r="E60" i="1"/>
  <c r="F60" i="149"/>
  <c r="C67" i="1"/>
  <c r="C65" i="1" s="1"/>
  <c r="G67" i="149"/>
  <c r="G110" i="149"/>
  <c r="G114" i="149"/>
  <c r="G110" i="156"/>
  <c r="G110" i="154" s="1"/>
  <c r="F110" i="154"/>
  <c r="G141" i="154"/>
  <c r="G77" i="154"/>
  <c r="G75" i="154" s="1"/>
  <c r="F117" i="149"/>
  <c r="F75" i="156"/>
  <c r="G75" i="156"/>
  <c r="G28" i="156"/>
  <c r="G112" i="154"/>
  <c r="G24" i="154"/>
  <c r="F77" i="154"/>
  <c r="G21" i="149"/>
  <c r="G58" i="156"/>
  <c r="G55" i="156" s="1"/>
  <c r="G9" i="156"/>
  <c r="F9" i="154"/>
  <c r="F7" i="156"/>
  <c r="F65" i="156" s="1"/>
  <c r="G112" i="156"/>
  <c r="F112" i="154"/>
  <c r="G123" i="156"/>
  <c r="G123" i="154" s="1"/>
  <c r="F123" i="154"/>
  <c r="G131" i="156"/>
  <c r="G131" i="154" s="1"/>
  <c r="F131" i="154"/>
  <c r="F129" i="156"/>
  <c r="D103" i="1"/>
  <c r="G129" i="156"/>
  <c r="G142" i="156"/>
  <c r="G140" i="156" s="1"/>
  <c r="F140" i="156"/>
  <c r="G14" i="156"/>
  <c r="D131" i="149"/>
  <c r="G30" i="154"/>
  <c r="G93" i="156"/>
  <c r="G9" i="154"/>
  <c r="F146" i="156"/>
  <c r="G99" i="154"/>
  <c r="C128" i="156"/>
  <c r="C155" i="156" s="1"/>
  <c r="G114" i="156"/>
  <c r="G144" i="156"/>
  <c r="G144" i="154" s="1"/>
  <c r="F144" i="154"/>
  <c r="G54" i="154"/>
  <c r="G143" i="154"/>
  <c r="F58" i="154"/>
  <c r="G84" i="154"/>
  <c r="G135" i="154"/>
  <c r="G151" i="154"/>
  <c r="F17" i="149"/>
  <c r="G17" i="149" s="1"/>
  <c r="F15" i="149"/>
  <c r="G15" i="149" s="1"/>
  <c r="E65" i="149"/>
  <c r="F84" i="149"/>
  <c r="G84" i="149" s="1"/>
  <c r="G113" i="149"/>
  <c r="G101" i="149"/>
  <c r="C110" i="1"/>
  <c r="D122" i="1"/>
  <c r="G126" i="154"/>
  <c r="G33" i="154"/>
  <c r="F55" i="154"/>
  <c r="F70" i="154"/>
  <c r="G105" i="154"/>
  <c r="G111" i="154"/>
  <c r="D14" i="154"/>
  <c r="D21" i="154"/>
  <c r="D49" i="154"/>
  <c r="E140" i="154"/>
  <c r="E9" i="1"/>
  <c r="C18" i="1"/>
  <c r="E17" i="1"/>
  <c r="G60" i="149"/>
  <c r="F68" i="149"/>
  <c r="G68" i="149" s="1"/>
  <c r="C142" i="149"/>
  <c r="G80" i="154"/>
  <c r="G124" i="154"/>
  <c r="G125" i="154"/>
  <c r="G72" i="154"/>
  <c r="G70" i="154" s="1"/>
  <c r="G59" i="154"/>
  <c r="G20" i="154"/>
  <c r="G26" i="154"/>
  <c r="G41" i="154"/>
  <c r="G43" i="154"/>
  <c r="G52" i="154"/>
  <c r="G68" i="154"/>
  <c r="G102" i="154"/>
  <c r="G109" i="154"/>
  <c r="G116" i="154"/>
  <c r="E75" i="154"/>
  <c r="D129" i="154"/>
  <c r="C146" i="154"/>
  <c r="D146" i="154"/>
  <c r="F18" i="149"/>
  <c r="G18" i="149" s="1"/>
  <c r="D20" i="149"/>
  <c r="C20" i="149"/>
  <c r="F33" i="149"/>
  <c r="F31" i="149"/>
  <c r="G31" i="149" s="1"/>
  <c r="G128" i="149"/>
  <c r="G120" i="149"/>
  <c r="E146" i="1"/>
  <c r="D117" i="1"/>
  <c r="F117" i="1" s="1"/>
  <c r="F117" i="148"/>
  <c r="F96" i="148"/>
  <c r="G96" i="148" s="1"/>
  <c r="D96" i="1"/>
  <c r="F7" i="148"/>
  <c r="D91" i="155"/>
  <c r="G8" i="154"/>
  <c r="D116" i="148"/>
  <c r="F13" i="154"/>
  <c r="G13" i="155"/>
  <c r="G13" i="154" s="1"/>
  <c r="F63" i="154"/>
  <c r="F60" i="154" s="1"/>
  <c r="G63" i="155"/>
  <c r="G142" i="155"/>
  <c r="G142" i="154" s="1"/>
  <c r="F142" i="154"/>
  <c r="F99" i="148"/>
  <c r="G99" i="148" s="1"/>
  <c r="F70" i="155"/>
  <c r="G29" i="154"/>
  <c r="F144" i="148"/>
  <c r="G144" i="148" s="1"/>
  <c r="F157" i="154"/>
  <c r="G79" i="155"/>
  <c r="F102" i="154"/>
  <c r="D36" i="148"/>
  <c r="C135" i="148"/>
  <c r="F21" i="155"/>
  <c r="F47" i="154"/>
  <c r="G100" i="155"/>
  <c r="G100" i="154" s="1"/>
  <c r="F8" i="154"/>
  <c r="G64" i="155"/>
  <c r="G64" i="154" s="1"/>
  <c r="F64" i="154"/>
  <c r="F67" i="154"/>
  <c r="F66" i="154" s="1"/>
  <c r="G67" i="155"/>
  <c r="F82" i="154"/>
  <c r="G86" i="155"/>
  <c r="G86" i="154" s="1"/>
  <c r="C128" i="155"/>
  <c r="G134" i="155"/>
  <c r="F133" i="155"/>
  <c r="G137" i="155"/>
  <c r="G137" i="154" s="1"/>
  <c r="G139" i="155"/>
  <c r="G139" i="154" s="1"/>
  <c r="D7" i="154"/>
  <c r="C7" i="154"/>
  <c r="E14" i="154"/>
  <c r="D28" i="154"/>
  <c r="F19" i="148"/>
  <c r="G19" i="148" s="1"/>
  <c r="F130" i="154"/>
  <c r="F129" i="154" s="1"/>
  <c r="G130" i="155"/>
  <c r="F71" i="148"/>
  <c r="G71" i="148" s="1"/>
  <c r="D71" i="1"/>
  <c r="F71" i="1" s="1"/>
  <c r="G129" i="148"/>
  <c r="D132" i="1"/>
  <c r="D131" i="148"/>
  <c r="F141" i="148"/>
  <c r="G141" i="148" s="1"/>
  <c r="D141" i="1"/>
  <c r="G139" i="148"/>
  <c r="D135" i="148"/>
  <c r="E66" i="1"/>
  <c r="F115" i="1"/>
  <c r="G115" i="1" s="1"/>
  <c r="F21" i="154"/>
  <c r="D94" i="154"/>
  <c r="D93" i="154" s="1"/>
  <c r="D128" i="154" s="1"/>
  <c r="F52" i="154"/>
  <c r="F94" i="154"/>
  <c r="E150" i="1"/>
  <c r="C13" i="148"/>
  <c r="G72" i="148"/>
  <c r="C20" i="148"/>
  <c r="G23" i="155"/>
  <c r="G23" i="154" s="1"/>
  <c r="F60" i="155"/>
  <c r="F116" i="154"/>
  <c r="F129" i="155"/>
  <c r="F43" i="154"/>
  <c r="F140" i="155"/>
  <c r="F151" i="154"/>
  <c r="F146" i="154" s="1"/>
  <c r="E65" i="155"/>
  <c r="E91" i="155" s="1"/>
  <c r="G51" i="155"/>
  <c r="F49" i="155"/>
  <c r="F51" i="154"/>
  <c r="F49" i="154" s="1"/>
  <c r="G56" i="155"/>
  <c r="G58" i="155"/>
  <c r="C132" i="148"/>
  <c r="C154" i="155"/>
  <c r="E83" i="154"/>
  <c r="G60" i="148"/>
  <c r="E21" i="154"/>
  <c r="E28" i="154"/>
  <c r="C28" i="154"/>
  <c r="E37" i="154"/>
  <c r="D37" i="154"/>
  <c r="C37" i="154"/>
  <c r="C49" i="154"/>
  <c r="E49" i="154"/>
  <c r="C60" i="154"/>
  <c r="C66" i="154"/>
  <c r="D70" i="154"/>
  <c r="E114" i="154"/>
  <c r="E129" i="154"/>
  <c r="D133" i="154"/>
  <c r="E133" i="154"/>
  <c r="C133" i="154"/>
  <c r="C140" i="154"/>
  <c r="D140" i="154"/>
  <c r="F78" i="154"/>
  <c r="F75" i="154" s="1"/>
  <c r="F9" i="148"/>
  <c r="F22" i="148"/>
  <c r="G22" i="148" s="1"/>
  <c r="G108" i="148"/>
  <c r="C14" i="154"/>
  <c r="C21" i="154"/>
  <c r="C83" i="154"/>
  <c r="D83" i="154"/>
  <c r="C93" i="154"/>
  <c r="C128" i="154" s="1"/>
  <c r="E93" i="154"/>
  <c r="E128" i="154" s="1"/>
  <c r="E155" i="154" s="1"/>
  <c r="F23" i="148"/>
  <c r="G23" i="148" s="1"/>
  <c r="E59" i="148"/>
  <c r="F151" i="148"/>
  <c r="G151" i="148" s="1"/>
  <c r="E127" i="1"/>
  <c r="D33" i="1"/>
  <c r="F33" i="1" s="1"/>
  <c r="G33" i="1" s="1"/>
  <c r="E46" i="1"/>
  <c r="E42" i="1"/>
  <c r="D79" i="154"/>
  <c r="F24" i="148"/>
  <c r="G46" i="148"/>
  <c r="F59" i="150"/>
  <c r="G60" i="150"/>
  <c r="G127" i="153"/>
  <c r="G54" i="153"/>
  <c r="G49" i="153" s="1"/>
  <c r="F54" i="3"/>
  <c r="F49" i="150"/>
  <c r="G49" i="150" s="1"/>
  <c r="D48" i="150"/>
  <c r="D57" i="1"/>
  <c r="F57" i="150"/>
  <c r="G57" i="150" s="1"/>
  <c r="C59" i="150"/>
  <c r="G61" i="150"/>
  <c r="E69" i="150"/>
  <c r="E74" i="150"/>
  <c r="F76" i="150"/>
  <c r="G76" i="150" s="1"/>
  <c r="G102" i="3"/>
  <c r="G28" i="153"/>
  <c r="F123" i="3"/>
  <c r="G56" i="153"/>
  <c r="F121" i="3"/>
  <c r="G59" i="3"/>
  <c r="F70" i="153"/>
  <c r="G97" i="3"/>
  <c r="G23" i="153"/>
  <c r="G23" i="3" s="1"/>
  <c r="F23" i="3"/>
  <c r="F21" i="153"/>
  <c r="G136" i="153"/>
  <c r="G132" i="153" s="1"/>
  <c r="F132" i="153"/>
  <c r="G144" i="153"/>
  <c r="F145" i="3"/>
  <c r="G146" i="153"/>
  <c r="F145" i="153"/>
  <c r="F147" i="3"/>
  <c r="G150" i="153"/>
  <c r="G151" i="3" s="1"/>
  <c r="F151" i="3"/>
  <c r="F39" i="150"/>
  <c r="G39" i="150" s="1"/>
  <c r="D39" i="1"/>
  <c r="D95" i="150"/>
  <c r="F143" i="150"/>
  <c r="G143" i="150" s="1"/>
  <c r="E142" i="150"/>
  <c r="G9" i="3"/>
  <c r="F55" i="153"/>
  <c r="F113" i="153"/>
  <c r="F127" i="153" s="1"/>
  <c r="F154" i="153" s="1"/>
  <c r="G58" i="153"/>
  <c r="G58" i="3" s="1"/>
  <c r="F58" i="3"/>
  <c r="F55" i="3" s="1"/>
  <c r="G24" i="150"/>
  <c r="D20" i="150"/>
  <c r="F29" i="150"/>
  <c r="G29" i="150" s="1"/>
  <c r="D27" i="150"/>
  <c r="G10" i="3"/>
  <c r="F138" i="1"/>
  <c r="E65" i="153"/>
  <c r="E90" i="153" s="1"/>
  <c r="G25" i="153"/>
  <c r="G25" i="3" s="1"/>
  <c r="F25" i="3"/>
  <c r="G61" i="153"/>
  <c r="G60" i="153" s="1"/>
  <c r="F60" i="153"/>
  <c r="G84" i="153"/>
  <c r="G84" i="3" s="1"/>
  <c r="F82" i="153"/>
  <c r="F84" i="3"/>
  <c r="G130" i="153"/>
  <c r="G128" i="153" s="1"/>
  <c r="F128" i="153"/>
  <c r="D74" i="150"/>
  <c r="D88" i="150" s="1"/>
  <c r="F75" i="150"/>
  <c r="C130" i="150"/>
  <c r="G43" i="150"/>
  <c r="G53" i="3"/>
  <c r="G62" i="3"/>
  <c r="F102" i="3"/>
  <c r="G148" i="3"/>
  <c r="C35" i="1"/>
  <c r="C31" i="1"/>
  <c r="G31" i="1" s="1"/>
  <c r="E40" i="1"/>
  <c r="F40" i="1" s="1"/>
  <c r="G40" i="1" s="1"/>
  <c r="D37" i="1"/>
  <c r="C51" i="1"/>
  <c r="F11" i="150"/>
  <c r="G11" i="150" s="1"/>
  <c r="C27" i="150"/>
  <c r="F44" i="150"/>
  <c r="G44" i="150" s="1"/>
  <c r="F42" i="150"/>
  <c r="G42" i="150" s="1"/>
  <c r="F70" i="150"/>
  <c r="G70" i="150" s="1"/>
  <c r="F78" i="150"/>
  <c r="G78" i="150" s="1"/>
  <c r="G109" i="150"/>
  <c r="F107" i="150"/>
  <c r="G107" i="150" s="1"/>
  <c r="F119" i="150"/>
  <c r="G119" i="150" s="1"/>
  <c r="G118" i="150"/>
  <c r="G38" i="3"/>
  <c r="G150" i="3"/>
  <c r="G103" i="3"/>
  <c r="G138" i="3"/>
  <c r="G143" i="3"/>
  <c r="C70" i="3"/>
  <c r="E78" i="3"/>
  <c r="D82" i="3"/>
  <c r="E124" i="1"/>
  <c r="F124" i="1" s="1"/>
  <c r="G124" i="1" s="1"/>
  <c r="F19" i="150"/>
  <c r="G19" i="150" s="1"/>
  <c r="G82" i="150"/>
  <c r="E7" i="3"/>
  <c r="G109" i="3"/>
  <c r="G101" i="3"/>
  <c r="G107" i="3"/>
  <c r="G126" i="3"/>
  <c r="F12" i="150"/>
  <c r="E13" i="150"/>
  <c r="C74" i="150"/>
  <c r="G115" i="150"/>
  <c r="F104" i="150"/>
  <c r="G104" i="150" s="1"/>
  <c r="F122" i="150"/>
  <c r="G122" i="150" s="1"/>
  <c r="G121" i="150"/>
  <c r="F139" i="150"/>
  <c r="G139" i="150" s="1"/>
  <c r="C147" i="150"/>
  <c r="C155" i="150" s="1"/>
  <c r="G7" i="152"/>
  <c r="G68" i="3"/>
  <c r="G66" i="152"/>
  <c r="G39" i="3"/>
  <c r="G115" i="3"/>
  <c r="G114" i="152"/>
  <c r="F60" i="152"/>
  <c r="F61" i="3"/>
  <c r="G105" i="3"/>
  <c r="G146" i="152"/>
  <c r="G51" i="149"/>
  <c r="G135" i="3"/>
  <c r="F55" i="152"/>
  <c r="G30" i="152"/>
  <c r="F78" i="152"/>
  <c r="C65" i="149"/>
  <c r="F53" i="3"/>
  <c r="F107" i="3"/>
  <c r="G49" i="152"/>
  <c r="G13" i="3"/>
  <c r="G36" i="3"/>
  <c r="G13" i="152"/>
  <c r="G24" i="152"/>
  <c r="G24" i="3" s="1"/>
  <c r="F24" i="3"/>
  <c r="G41" i="152"/>
  <c r="G41" i="3" s="1"/>
  <c r="G131" i="152"/>
  <c r="F129" i="152"/>
  <c r="F131" i="3"/>
  <c r="F129" i="3" s="1"/>
  <c r="D154" i="152"/>
  <c r="D155" i="152" s="1"/>
  <c r="G144" i="152"/>
  <c r="D114" i="3"/>
  <c r="D65" i="152"/>
  <c r="D90" i="152" s="1"/>
  <c r="D68" i="1"/>
  <c r="E119" i="1"/>
  <c r="F119" i="1" s="1"/>
  <c r="G119" i="1" s="1"/>
  <c r="F11" i="149"/>
  <c r="G11" i="149" s="1"/>
  <c r="D6" i="149"/>
  <c r="G10" i="149"/>
  <c r="F16" i="149"/>
  <c r="G16" i="149" s="1"/>
  <c r="D16" i="1"/>
  <c r="D14" i="1"/>
  <c r="F14" i="1" s="1"/>
  <c r="G14" i="1" s="1"/>
  <c r="F14" i="149"/>
  <c r="G33" i="149"/>
  <c r="C131" i="149"/>
  <c r="G149" i="149"/>
  <c r="C149" i="1"/>
  <c r="G16" i="152"/>
  <c r="G14" i="152" s="1"/>
  <c r="F14" i="152"/>
  <c r="F65" i="152" s="1"/>
  <c r="F90" i="152" s="1"/>
  <c r="F43" i="149"/>
  <c r="G43" i="149" s="1"/>
  <c r="D43" i="1"/>
  <c r="F43" i="1" s="1"/>
  <c r="D97" i="149"/>
  <c r="F95" i="152"/>
  <c r="F133" i="152"/>
  <c r="F114" i="152"/>
  <c r="F49" i="152"/>
  <c r="F115" i="3"/>
  <c r="F106" i="1"/>
  <c r="F66" i="152"/>
  <c r="F89" i="152" s="1"/>
  <c r="F63" i="3"/>
  <c r="D95" i="3"/>
  <c r="D93" i="3" s="1"/>
  <c r="F37" i="152"/>
  <c r="F39" i="3"/>
  <c r="F133" i="149"/>
  <c r="G133" i="149" s="1"/>
  <c r="E133" i="1"/>
  <c r="F133" i="1" s="1"/>
  <c r="G133" i="1" s="1"/>
  <c r="G26" i="3"/>
  <c r="G26" i="152"/>
  <c r="G21" i="152" s="1"/>
  <c r="F26" i="3"/>
  <c r="D98" i="3"/>
  <c r="G29" i="149"/>
  <c r="F113" i="3"/>
  <c r="G96" i="3"/>
  <c r="G57" i="152"/>
  <c r="G55" i="152" s="1"/>
  <c r="G51" i="3"/>
  <c r="G69" i="3"/>
  <c r="G118" i="3"/>
  <c r="G61" i="152"/>
  <c r="C89" i="152"/>
  <c r="C90" i="152" s="1"/>
  <c r="G99" i="152"/>
  <c r="E69" i="149"/>
  <c r="F80" i="149"/>
  <c r="G80" i="149" s="1"/>
  <c r="D80" i="1"/>
  <c r="F80" i="1" s="1"/>
  <c r="D77" i="149"/>
  <c r="D100" i="149"/>
  <c r="F100" i="149" s="1"/>
  <c r="G100" i="149" s="1"/>
  <c r="G121" i="3"/>
  <c r="C74" i="1"/>
  <c r="G77" i="3"/>
  <c r="G27" i="3"/>
  <c r="G142" i="3"/>
  <c r="D75" i="3"/>
  <c r="E78" i="1"/>
  <c r="F78" i="1" s="1"/>
  <c r="C114" i="1"/>
  <c r="F52" i="149"/>
  <c r="G52" i="149" s="1"/>
  <c r="F108" i="149"/>
  <c r="G108" i="149" s="1"/>
  <c r="F102" i="149"/>
  <c r="G102" i="149" s="1"/>
  <c r="F100" i="3"/>
  <c r="G63" i="3"/>
  <c r="F114" i="1"/>
  <c r="G120" i="3"/>
  <c r="G83" i="149"/>
  <c r="G100" i="3"/>
  <c r="G110" i="3"/>
  <c r="G18" i="3"/>
  <c r="G72" i="3"/>
  <c r="G99" i="3"/>
  <c r="G117" i="3"/>
  <c r="G122" i="3"/>
  <c r="G125" i="3"/>
  <c r="G127" i="3"/>
  <c r="F149" i="3"/>
  <c r="C14" i="3"/>
  <c r="C21" i="3"/>
  <c r="D51" i="1"/>
  <c r="C118" i="1"/>
  <c r="G7" i="61" s="1"/>
  <c r="E141" i="1"/>
  <c r="D149" i="1"/>
  <c r="E55" i="3"/>
  <c r="D133" i="3"/>
  <c r="C140" i="3"/>
  <c r="E140" i="3"/>
  <c r="E146" i="3"/>
  <c r="C146" i="3"/>
  <c r="E61" i="1"/>
  <c r="F132" i="148"/>
  <c r="G76" i="149"/>
  <c r="G118" i="149"/>
  <c r="C147" i="149"/>
  <c r="E11" i="1"/>
  <c r="E68" i="1"/>
  <c r="C98" i="1"/>
  <c r="G8" i="73" s="1"/>
  <c r="C136" i="1"/>
  <c r="C135" i="1" s="1"/>
  <c r="G23" i="73" s="1"/>
  <c r="C138" i="1"/>
  <c r="G8" i="3"/>
  <c r="G97" i="151"/>
  <c r="G98" i="3" s="1"/>
  <c r="F98" i="3"/>
  <c r="G113" i="151"/>
  <c r="G119" i="3"/>
  <c r="F111" i="3"/>
  <c r="G110" i="151"/>
  <c r="G111" i="3" s="1"/>
  <c r="F113" i="148"/>
  <c r="G113" i="148" s="1"/>
  <c r="D113" i="1"/>
  <c r="F136" i="1"/>
  <c r="G136" i="1" s="1"/>
  <c r="D74" i="148"/>
  <c r="F76" i="148"/>
  <c r="F92" i="151"/>
  <c r="F127" i="151" s="1"/>
  <c r="F154" i="151" s="1"/>
  <c r="F19" i="1"/>
  <c r="F8" i="3"/>
  <c r="F96" i="3"/>
  <c r="G76" i="151"/>
  <c r="F119" i="3"/>
  <c r="F114" i="3" s="1"/>
  <c r="D11" i="1"/>
  <c r="F11" i="1" s="1"/>
  <c r="G11" i="1" s="1"/>
  <c r="G83" i="3"/>
  <c r="E13" i="148"/>
  <c r="E121" i="1"/>
  <c r="F121" i="1" s="1"/>
  <c r="F51" i="3"/>
  <c r="F49" i="3" s="1"/>
  <c r="F145" i="151"/>
  <c r="G60" i="151"/>
  <c r="F27" i="3"/>
  <c r="G133" i="151"/>
  <c r="G16" i="151"/>
  <c r="F16" i="3"/>
  <c r="G34" i="151"/>
  <c r="G34" i="3" s="1"/>
  <c r="F34" i="3"/>
  <c r="F139" i="3"/>
  <c r="F133" i="3" s="1"/>
  <c r="G138" i="151"/>
  <c r="G139" i="3" s="1"/>
  <c r="F83" i="3"/>
  <c r="G94" i="3"/>
  <c r="D37" i="3"/>
  <c r="C49" i="3"/>
  <c r="D27" i="3"/>
  <c r="D26" i="148"/>
  <c r="D116" i="3"/>
  <c r="D118" i="148"/>
  <c r="F115" i="151"/>
  <c r="D18" i="148"/>
  <c r="D19" i="3"/>
  <c r="D14" i="3" s="1"/>
  <c r="D14" i="151"/>
  <c r="F74" i="3"/>
  <c r="F70" i="3" s="1"/>
  <c r="G74" i="151"/>
  <c r="G22" i="3"/>
  <c r="G49" i="151"/>
  <c r="G145" i="151"/>
  <c r="F70" i="151"/>
  <c r="G12" i="151"/>
  <c r="G12" i="3" s="1"/>
  <c r="G78" i="3"/>
  <c r="F37" i="151"/>
  <c r="F76" i="3"/>
  <c r="F75" i="3" s="1"/>
  <c r="F20" i="3"/>
  <c r="F124" i="3"/>
  <c r="G123" i="151"/>
  <c r="G124" i="3" s="1"/>
  <c r="E75" i="3"/>
  <c r="F66" i="3"/>
  <c r="F14" i="3"/>
  <c r="G29" i="151"/>
  <c r="F29" i="3"/>
  <c r="F86" i="3"/>
  <c r="G86" i="151"/>
  <c r="G86" i="3" s="1"/>
  <c r="G156" i="151"/>
  <c r="G157" i="3" s="1"/>
  <c r="F157" i="3"/>
  <c r="D92" i="151"/>
  <c r="D127" i="151" s="1"/>
  <c r="D154" i="151" s="1"/>
  <c r="D7" i="3"/>
  <c r="F66" i="151"/>
  <c r="F89" i="151" s="1"/>
  <c r="F82" i="151"/>
  <c r="F46" i="3"/>
  <c r="D76" i="1"/>
  <c r="D74" i="1" s="1"/>
  <c r="F150" i="3"/>
  <c r="F146" i="3" s="1"/>
  <c r="F132" i="151"/>
  <c r="C7" i="3"/>
  <c r="E21" i="3"/>
  <c r="C37" i="3"/>
  <c r="E49" i="3"/>
  <c r="D49" i="3"/>
  <c r="D66" i="3"/>
  <c r="E66" i="3"/>
  <c r="C75" i="3"/>
  <c r="E133" i="3"/>
  <c r="G9" i="148"/>
  <c r="F15" i="148"/>
  <c r="G15" i="148" s="1"/>
  <c r="E54" i="148"/>
  <c r="C81" i="148"/>
  <c r="F111" i="148"/>
  <c r="G111" i="148" s="1"/>
  <c r="F133" i="148"/>
  <c r="G133" i="148" s="1"/>
  <c r="F148" i="148"/>
  <c r="F147" i="148" s="1"/>
  <c r="E12" i="1"/>
  <c r="C19" i="1"/>
  <c r="C8" i="73" s="1"/>
  <c r="D35" i="1"/>
  <c r="D29" i="1"/>
  <c r="F29" i="1" s="1"/>
  <c r="C47" i="1"/>
  <c r="C43" i="1"/>
  <c r="C60" i="1"/>
  <c r="C129" i="1"/>
  <c r="C125" i="1"/>
  <c r="E129" i="1"/>
  <c r="F129" i="1" s="1"/>
  <c r="E125" i="1"/>
  <c r="F125" i="1" s="1"/>
  <c r="C12" i="1"/>
  <c r="E25" i="1"/>
  <c r="F25" i="1" s="1"/>
  <c r="G25" i="1" s="1"/>
  <c r="C30" i="1"/>
  <c r="G30" i="1" s="1"/>
  <c r="E32" i="1"/>
  <c r="E30" i="1"/>
  <c r="C46" i="1"/>
  <c r="E52" i="1"/>
  <c r="E110" i="1"/>
  <c r="C133" i="3"/>
  <c r="G24" i="148"/>
  <c r="D9" i="1"/>
  <c r="G83" i="148"/>
  <c r="D21" i="3"/>
  <c r="D28" i="3"/>
  <c r="E28" i="3"/>
  <c r="C28" i="3"/>
  <c r="D55" i="3"/>
  <c r="E70" i="3"/>
  <c r="C78" i="3"/>
  <c r="D78" i="3"/>
  <c r="E82" i="3"/>
  <c r="C93" i="3"/>
  <c r="E93" i="3"/>
  <c r="C114" i="3"/>
  <c r="E114" i="3"/>
  <c r="D129" i="3"/>
  <c r="E129" i="3"/>
  <c r="F17" i="148"/>
  <c r="G17" i="148" s="1"/>
  <c r="F57" i="148"/>
  <c r="G57" i="148" s="1"/>
  <c r="F106" i="148"/>
  <c r="G106" i="148" s="1"/>
  <c r="G140" i="148"/>
  <c r="F146" i="148"/>
  <c r="C57" i="1"/>
  <c r="E128" i="1"/>
  <c r="D144" i="1"/>
  <c r="H24" i="63"/>
  <c r="G14" i="150"/>
  <c r="C6" i="150"/>
  <c r="E20" i="150"/>
  <c r="F21" i="150"/>
  <c r="G21" i="150" s="1"/>
  <c r="E28" i="1"/>
  <c r="F28" i="1" s="1"/>
  <c r="G28" i="1" s="1"/>
  <c r="F28" i="150"/>
  <c r="C42" i="1"/>
  <c r="C38" i="1"/>
  <c r="C36" i="150"/>
  <c r="F46" i="150"/>
  <c r="G46" i="150" s="1"/>
  <c r="D46" i="1"/>
  <c r="F46" i="1" s="1"/>
  <c r="D36" i="150"/>
  <c r="F40" i="150"/>
  <c r="G40" i="150" s="1"/>
  <c r="E36" i="150"/>
  <c r="E38" i="1"/>
  <c r="F38" i="1" s="1"/>
  <c r="F38" i="150"/>
  <c r="G38" i="150" s="1"/>
  <c r="C48" i="150"/>
  <c r="C49" i="1"/>
  <c r="C50" i="1"/>
  <c r="E50" i="1"/>
  <c r="F50" i="1" s="1"/>
  <c r="F50" i="150"/>
  <c r="G50" i="150" s="1"/>
  <c r="E48" i="150"/>
  <c r="C54" i="150"/>
  <c r="F101" i="150"/>
  <c r="G101" i="150" s="1"/>
  <c r="E101" i="1"/>
  <c r="F99" i="150"/>
  <c r="G99" i="150" s="1"/>
  <c r="E99" i="1"/>
  <c r="F99" i="1" s="1"/>
  <c r="C21" i="1"/>
  <c r="F15" i="1"/>
  <c r="F25" i="150"/>
  <c r="G25" i="150" s="1"/>
  <c r="G7" i="150"/>
  <c r="F6" i="150"/>
  <c r="C13" i="150"/>
  <c r="C17" i="1"/>
  <c r="F17" i="150"/>
  <c r="G17" i="150" s="1"/>
  <c r="D17" i="1"/>
  <c r="F17" i="1" s="1"/>
  <c r="D13" i="150"/>
  <c r="F15" i="150"/>
  <c r="G15" i="150" s="1"/>
  <c r="E83" i="1"/>
  <c r="F83" i="1" s="1"/>
  <c r="G83" i="1" s="1"/>
  <c r="F83" i="150"/>
  <c r="G112" i="150"/>
  <c r="C112" i="1"/>
  <c r="F110" i="150"/>
  <c r="G110" i="150" s="1"/>
  <c r="F97" i="150"/>
  <c r="G97" i="150" s="1"/>
  <c r="F146" i="150"/>
  <c r="D146" i="1"/>
  <c r="F146" i="1" s="1"/>
  <c r="G146" i="1" s="1"/>
  <c r="G148" i="150"/>
  <c r="C148" i="1"/>
  <c r="D147" i="150"/>
  <c r="F152" i="150"/>
  <c r="F7" i="1"/>
  <c r="G7" i="1" s="1"/>
  <c r="E27" i="150"/>
  <c r="C20" i="150"/>
  <c r="F32" i="150"/>
  <c r="G32" i="150" s="1"/>
  <c r="C23" i="1"/>
  <c r="C55" i="1"/>
  <c r="G75" i="150"/>
  <c r="C79" i="1"/>
  <c r="C77" i="1" s="1"/>
  <c r="C77" i="150"/>
  <c r="F79" i="150"/>
  <c r="D77" i="150"/>
  <c r="D79" i="1"/>
  <c r="D77" i="1" s="1"/>
  <c r="F96" i="150"/>
  <c r="G96" i="150" s="1"/>
  <c r="E95" i="150"/>
  <c r="E130" i="150" s="1"/>
  <c r="F117" i="150"/>
  <c r="D116" i="150"/>
  <c r="C120" i="1"/>
  <c r="G120" i="150"/>
  <c r="F137" i="150"/>
  <c r="E135" i="150"/>
  <c r="E155" i="150" s="1"/>
  <c r="G12" i="150"/>
  <c r="E34" i="1"/>
  <c r="F34" i="1" s="1"/>
  <c r="F52" i="150"/>
  <c r="G52" i="150" s="1"/>
  <c r="G56" i="150"/>
  <c r="C56" i="1"/>
  <c r="D54" i="150"/>
  <c r="F55" i="150"/>
  <c r="F54" i="150" s="1"/>
  <c r="D60" i="1"/>
  <c r="D59" i="150"/>
  <c r="E65" i="150"/>
  <c r="F66" i="150"/>
  <c r="C69" i="150"/>
  <c r="F72" i="150"/>
  <c r="E72" i="1"/>
  <c r="F72" i="1" s="1"/>
  <c r="G106" i="150"/>
  <c r="C106" i="1"/>
  <c r="C102" i="1"/>
  <c r="F102" i="150"/>
  <c r="G102" i="150" s="1"/>
  <c r="D131" i="150"/>
  <c r="F132" i="150"/>
  <c r="C8" i="1"/>
  <c r="D62" i="1"/>
  <c r="F62" i="1" s="1"/>
  <c r="G62" i="1" s="1"/>
  <c r="E97" i="1"/>
  <c r="E122" i="1"/>
  <c r="E139" i="1"/>
  <c r="F139" i="1" s="1"/>
  <c r="G139" i="1" s="1"/>
  <c r="E107" i="1"/>
  <c r="C151" i="1"/>
  <c r="C61" i="1"/>
  <c r="E6" i="149"/>
  <c r="C15" i="1"/>
  <c r="C13" i="149"/>
  <c r="F22" i="149"/>
  <c r="G22" i="149" s="1"/>
  <c r="E22" i="1"/>
  <c r="G39" i="149"/>
  <c r="C39" i="1"/>
  <c r="C36" i="149"/>
  <c r="C69" i="149"/>
  <c r="C72" i="1"/>
  <c r="C30" i="73" s="1"/>
  <c r="E30" i="73" s="1"/>
  <c r="G72" i="149"/>
  <c r="D81" i="149"/>
  <c r="F82" i="149"/>
  <c r="C105" i="1"/>
  <c r="C97" i="1"/>
  <c r="G7" i="73" s="1"/>
  <c r="C95" i="149"/>
  <c r="C130" i="149" s="1"/>
  <c r="F112" i="149"/>
  <c r="G112" i="149" s="1"/>
  <c r="E112" i="1"/>
  <c r="F112" i="1" s="1"/>
  <c r="F123" i="149"/>
  <c r="G123" i="149" s="1"/>
  <c r="E123" i="1"/>
  <c r="E116" i="149"/>
  <c r="E130" i="149" s="1"/>
  <c r="F139" i="149"/>
  <c r="D135" i="149"/>
  <c r="F143" i="149"/>
  <c r="E142" i="149"/>
  <c r="E143" i="1"/>
  <c r="F12" i="149"/>
  <c r="G12" i="149" s="1"/>
  <c r="E100" i="1"/>
  <c r="D27" i="149"/>
  <c r="F35" i="149"/>
  <c r="C54" i="149"/>
  <c r="G121" i="149"/>
  <c r="F23" i="149"/>
  <c r="G23" i="149" s="1"/>
  <c r="E23" i="1"/>
  <c r="F23" i="1" s="1"/>
  <c r="D63" i="1"/>
  <c r="F63" i="1" s="1"/>
  <c r="G63" i="1" s="1"/>
  <c r="F63" i="149"/>
  <c r="G63" i="149" s="1"/>
  <c r="F61" i="149"/>
  <c r="D61" i="1"/>
  <c r="D65" i="149"/>
  <c r="F66" i="149"/>
  <c r="F79" i="149"/>
  <c r="F77" i="149" s="1"/>
  <c r="E79" i="1"/>
  <c r="E77" i="149"/>
  <c r="C81" i="149"/>
  <c r="C82" i="1"/>
  <c r="C81" i="1" s="1"/>
  <c r="E81" i="149"/>
  <c r="F85" i="149"/>
  <c r="G85" i="149" s="1"/>
  <c r="D104" i="1"/>
  <c r="F104" i="149"/>
  <c r="G104" i="149" s="1"/>
  <c r="F127" i="149"/>
  <c r="G127" i="149" s="1"/>
  <c r="D127" i="1"/>
  <c r="F127" i="1" s="1"/>
  <c r="G127" i="1" s="1"/>
  <c r="F140" i="149"/>
  <c r="E140" i="1"/>
  <c r="F140" i="1" s="1"/>
  <c r="G140" i="1" s="1"/>
  <c r="G49" i="149"/>
  <c r="C121" i="1"/>
  <c r="G10" i="61" s="1"/>
  <c r="D13" i="149"/>
  <c r="F125" i="149"/>
  <c r="G125" i="149" s="1"/>
  <c r="C101" i="1"/>
  <c r="E20" i="149"/>
  <c r="C26" i="1"/>
  <c r="G26" i="149"/>
  <c r="F24" i="149"/>
  <c r="G24" i="149" s="1"/>
  <c r="E24" i="1"/>
  <c r="F24" i="1" s="1"/>
  <c r="G24" i="1" s="1"/>
  <c r="F57" i="149"/>
  <c r="G57" i="149" s="1"/>
  <c r="E57" i="1"/>
  <c r="E54" i="149"/>
  <c r="F55" i="149"/>
  <c r="E55" i="1"/>
  <c r="G62" i="149"/>
  <c r="C59" i="149"/>
  <c r="C77" i="149"/>
  <c r="F105" i="149"/>
  <c r="G105" i="149" s="1"/>
  <c r="E105" i="1"/>
  <c r="F105" i="1" s="1"/>
  <c r="F132" i="149"/>
  <c r="E131" i="149"/>
  <c r="E132" i="1"/>
  <c r="G140" i="149"/>
  <c r="F152" i="149"/>
  <c r="G152" i="149" s="1"/>
  <c r="D152" i="1"/>
  <c r="F152" i="1" s="1"/>
  <c r="D150" i="1"/>
  <c r="F150" i="149"/>
  <c r="G150" i="149" s="1"/>
  <c r="D148" i="1"/>
  <c r="F148" i="1" s="1"/>
  <c r="F148" i="149"/>
  <c r="F123" i="1"/>
  <c r="G123" i="1" s="1"/>
  <c r="C6" i="149"/>
  <c r="G47" i="149"/>
  <c r="F8" i="149"/>
  <c r="G8" i="149" s="1"/>
  <c r="E16" i="1"/>
  <c r="E13" i="1" s="1"/>
  <c r="E13" i="149"/>
  <c r="F45" i="149"/>
  <c r="G45" i="149" s="1"/>
  <c r="D45" i="1"/>
  <c r="F45" i="1" s="1"/>
  <c r="G45" i="1" s="1"/>
  <c r="D36" i="149"/>
  <c r="F41" i="149"/>
  <c r="G41" i="149" s="1"/>
  <c r="E41" i="1"/>
  <c r="F41" i="1" s="1"/>
  <c r="F37" i="149"/>
  <c r="E36" i="149"/>
  <c r="G34" i="149"/>
  <c r="C27" i="149"/>
  <c r="C52" i="1"/>
  <c r="C48" i="149"/>
  <c r="D53" i="1"/>
  <c r="F53" i="1" s="1"/>
  <c r="G53" i="1" s="1"/>
  <c r="D48" i="149"/>
  <c r="F73" i="149"/>
  <c r="G73" i="149" s="1"/>
  <c r="D73" i="1"/>
  <c r="F73" i="1" s="1"/>
  <c r="G73" i="1" s="1"/>
  <c r="D69" i="149"/>
  <c r="F71" i="149"/>
  <c r="D74" i="149"/>
  <c r="F75" i="149"/>
  <c r="F111" i="149"/>
  <c r="G111" i="149" s="1"/>
  <c r="D111" i="1"/>
  <c r="F111" i="1" s="1"/>
  <c r="G111" i="1" s="1"/>
  <c r="F109" i="149"/>
  <c r="G109" i="149" s="1"/>
  <c r="D109" i="1"/>
  <c r="F109" i="1" s="1"/>
  <c r="G146" i="149"/>
  <c r="D145" i="1"/>
  <c r="F145" i="149"/>
  <c r="G145" i="149" s="1"/>
  <c r="F56" i="1"/>
  <c r="E37" i="1"/>
  <c r="D120" i="1"/>
  <c r="F120" i="1" s="1"/>
  <c r="E8" i="1"/>
  <c r="F8" i="1" s="1"/>
  <c r="C113" i="1"/>
  <c r="G21" i="73" s="1"/>
  <c r="C109" i="1"/>
  <c r="F141" i="1"/>
  <c r="G141" i="1" s="1"/>
  <c r="E39" i="1"/>
  <c r="E113" i="1"/>
  <c r="D98" i="1"/>
  <c r="D95" i="148"/>
  <c r="D130" i="148" s="1"/>
  <c r="F20" i="148"/>
  <c r="G7" i="148"/>
  <c r="D21" i="1"/>
  <c r="D20" i="148"/>
  <c r="G137" i="148"/>
  <c r="D66" i="1"/>
  <c r="F66" i="148"/>
  <c r="D65" i="148"/>
  <c r="C71" i="1"/>
  <c r="C69" i="148"/>
  <c r="D70" i="1"/>
  <c r="F70" i="148"/>
  <c r="D69" i="148"/>
  <c r="E70" i="1"/>
  <c r="E69" i="148"/>
  <c r="C150" i="1"/>
  <c r="G150" i="148"/>
  <c r="E149" i="1"/>
  <c r="E147" i="148"/>
  <c r="F100" i="148"/>
  <c r="G100" i="148" s="1"/>
  <c r="D100" i="1"/>
  <c r="D10" i="1"/>
  <c r="D6" i="148"/>
  <c r="F10" i="148"/>
  <c r="G10" i="148" s="1"/>
  <c r="D18" i="1"/>
  <c r="F18" i="148"/>
  <c r="G18" i="148" s="1"/>
  <c r="D13" i="148"/>
  <c r="G14" i="148"/>
  <c r="E21" i="1"/>
  <c r="E20" i="148"/>
  <c r="C34" i="1"/>
  <c r="G34" i="148"/>
  <c r="C27" i="148"/>
  <c r="F116" i="148"/>
  <c r="G117" i="148"/>
  <c r="G116" i="148" s="1"/>
  <c r="D107" i="1"/>
  <c r="F107" i="148"/>
  <c r="G107" i="148" s="1"/>
  <c r="G78" i="148"/>
  <c r="G77" i="148" s="1"/>
  <c r="F77" i="148"/>
  <c r="F151" i="1"/>
  <c r="F96" i="1"/>
  <c r="H6" i="73" s="1"/>
  <c r="G62" i="148"/>
  <c r="F12" i="148"/>
  <c r="G12" i="148" s="1"/>
  <c r="D12" i="1"/>
  <c r="C16" i="1"/>
  <c r="G16" i="148"/>
  <c r="F55" i="148"/>
  <c r="D55" i="1"/>
  <c r="G61" i="148"/>
  <c r="E65" i="148"/>
  <c r="E67" i="1"/>
  <c r="F67" i="1" s="1"/>
  <c r="G67" i="1" s="1"/>
  <c r="F67" i="148"/>
  <c r="G67" i="148" s="1"/>
  <c r="D84" i="1"/>
  <c r="F84" i="1" s="1"/>
  <c r="G84" i="1" s="1"/>
  <c r="F84" i="148"/>
  <c r="G84" i="148" s="1"/>
  <c r="D81" i="148"/>
  <c r="D82" i="1"/>
  <c r="F82" i="148"/>
  <c r="C95" i="148"/>
  <c r="C100" i="1"/>
  <c r="G132" i="148"/>
  <c r="E135" i="148"/>
  <c r="E137" i="1"/>
  <c r="C143" i="1"/>
  <c r="C142" i="148"/>
  <c r="E144" i="1"/>
  <c r="E142" i="148"/>
  <c r="C147" i="148"/>
  <c r="F44" i="1"/>
  <c r="G44" i="1" s="1"/>
  <c r="E85" i="1"/>
  <c r="F85" i="1" s="1"/>
  <c r="G85" i="1" s="1"/>
  <c r="F85" i="148"/>
  <c r="G85" i="148" s="1"/>
  <c r="E81" i="148"/>
  <c r="D128" i="1"/>
  <c r="F128" i="148"/>
  <c r="G128" i="148" s="1"/>
  <c r="E126" i="1"/>
  <c r="F126" i="1" s="1"/>
  <c r="G126" i="1" s="1"/>
  <c r="F126" i="148"/>
  <c r="G126" i="148" s="1"/>
  <c r="D134" i="1"/>
  <c r="F134" i="1" s="1"/>
  <c r="F134" i="148"/>
  <c r="G134" i="148" s="1"/>
  <c r="D42" i="1"/>
  <c r="F42" i="148"/>
  <c r="F35" i="148"/>
  <c r="G35" i="148" s="1"/>
  <c r="E27" i="148"/>
  <c r="E35" i="1"/>
  <c r="D32" i="1"/>
  <c r="F32" i="148"/>
  <c r="G32" i="148" s="1"/>
  <c r="D27" i="148"/>
  <c r="F28" i="148"/>
  <c r="G45" i="148"/>
  <c r="C41" i="1"/>
  <c r="G41" i="148"/>
  <c r="C36" i="148"/>
  <c r="F47" i="148"/>
  <c r="G47" i="148" s="1"/>
  <c r="E47" i="1"/>
  <c r="F47" i="1" s="1"/>
  <c r="F51" i="148"/>
  <c r="G51" i="148" s="1"/>
  <c r="E51" i="1"/>
  <c r="F49" i="148"/>
  <c r="E49" i="1"/>
  <c r="F49" i="1" s="1"/>
  <c r="E48" i="148"/>
  <c r="D58" i="1"/>
  <c r="F58" i="1" s="1"/>
  <c r="G58" i="1" s="1"/>
  <c r="F58" i="148"/>
  <c r="G58" i="148" s="1"/>
  <c r="E104" i="1"/>
  <c r="F104" i="148"/>
  <c r="G104" i="148" s="1"/>
  <c r="E102" i="1"/>
  <c r="F102" i="1" s="1"/>
  <c r="F102" i="148"/>
  <c r="G102" i="148" s="1"/>
  <c r="G17" i="1"/>
  <c r="C25" i="61"/>
  <c r="F75" i="1"/>
  <c r="G6" i="61"/>
  <c r="E74" i="1"/>
  <c r="D135" i="1"/>
  <c r="G6" i="73"/>
  <c r="G138" i="1"/>
  <c r="C142" i="1" l="1"/>
  <c r="E131" i="1"/>
  <c r="F122" i="1"/>
  <c r="G122" i="1" s="1"/>
  <c r="G37" i="151"/>
  <c r="D65" i="151"/>
  <c r="D90" i="151" s="1"/>
  <c r="G7" i="3"/>
  <c r="G137" i="3"/>
  <c r="G82" i="153"/>
  <c r="G89" i="153" s="1"/>
  <c r="F140" i="3"/>
  <c r="D155" i="148"/>
  <c r="F65" i="155"/>
  <c r="F90" i="155"/>
  <c r="G12" i="154"/>
  <c r="G98" i="154"/>
  <c r="F90" i="157"/>
  <c r="E95" i="148"/>
  <c r="E130" i="148" s="1"/>
  <c r="D155" i="155"/>
  <c r="G102" i="1"/>
  <c r="C130" i="148"/>
  <c r="F98" i="1"/>
  <c r="H8" i="73" s="1"/>
  <c r="I8" i="73" s="1"/>
  <c r="G152" i="1"/>
  <c r="G74" i="150"/>
  <c r="G46" i="1"/>
  <c r="F110" i="1"/>
  <c r="G110" i="1" s="1"/>
  <c r="G7" i="151"/>
  <c r="G89" i="152"/>
  <c r="F21" i="3"/>
  <c r="E90" i="154"/>
  <c r="F93" i="154"/>
  <c r="G140" i="155"/>
  <c r="G37" i="154"/>
  <c r="G148" i="154"/>
  <c r="G146" i="154" s="1"/>
  <c r="F103" i="1"/>
  <c r="G103" i="1" s="1"/>
  <c r="F90" i="156"/>
  <c r="F114" i="154"/>
  <c r="D91" i="156"/>
  <c r="G67" i="3"/>
  <c r="G66" i="3" s="1"/>
  <c r="C69" i="1"/>
  <c r="F135" i="148"/>
  <c r="F98" i="148"/>
  <c r="G98" i="148" s="1"/>
  <c r="G95" i="148" s="1"/>
  <c r="G130" i="148" s="1"/>
  <c r="F61" i="1"/>
  <c r="G61" i="1" s="1"/>
  <c r="F74" i="150"/>
  <c r="F52" i="1"/>
  <c r="F65" i="151"/>
  <c r="F90" i="151" s="1"/>
  <c r="F7" i="3"/>
  <c r="G28" i="152"/>
  <c r="C90" i="154"/>
  <c r="F140" i="154"/>
  <c r="G35" i="154"/>
  <c r="C155" i="152"/>
  <c r="G7" i="154"/>
  <c r="E77" i="1"/>
  <c r="F22" i="1"/>
  <c r="G22" i="1" s="1"/>
  <c r="F77" i="150"/>
  <c r="G55" i="150"/>
  <c r="G54" i="150" s="1"/>
  <c r="E65" i="1"/>
  <c r="C65" i="154"/>
  <c r="G28" i="154"/>
  <c r="G93" i="154"/>
  <c r="G128" i="154" s="1"/>
  <c r="G49" i="157"/>
  <c r="G65" i="157" s="1"/>
  <c r="G50" i="154"/>
  <c r="F69" i="150"/>
  <c r="G20" i="150"/>
  <c r="G114" i="1"/>
  <c r="F68" i="1"/>
  <c r="G21" i="154"/>
  <c r="F79" i="154"/>
  <c r="F90" i="154" s="1"/>
  <c r="G79" i="154"/>
  <c r="F60" i="1"/>
  <c r="G60" i="1" s="1"/>
  <c r="G85" i="154"/>
  <c r="G83" i="154" s="1"/>
  <c r="G83" i="157"/>
  <c r="F65" i="157"/>
  <c r="F91" i="157" s="1"/>
  <c r="G66" i="157"/>
  <c r="E155" i="149"/>
  <c r="G20" i="149"/>
  <c r="D65" i="154"/>
  <c r="D91" i="154" s="1"/>
  <c r="D116" i="1"/>
  <c r="F113" i="1"/>
  <c r="H21" i="73" s="1"/>
  <c r="I21" i="73" s="1"/>
  <c r="D155" i="149"/>
  <c r="F9" i="1"/>
  <c r="G9" i="1" s="1"/>
  <c r="E65" i="154"/>
  <c r="F7" i="154"/>
  <c r="G154" i="156"/>
  <c r="G7" i="156"/>
  <c r="G65" i="156" s="1"/>
  <c r="G91" i="156" s="1"/>
  <c r="D154" i="154"/>
  <c r="D155" i="154" s="1"/>
  <c r="G140" i="154"/>
  <c r="F91" i="156"/>
  <c r="F116" i="149"/>
  <c r="G117" i="149"/>
  <c r="G116" i="149" s="1"/>
  <c r="F35" i="1"/>
  <c r="G35" i="1" s="1"/>
  <c r="F42" i="1"/>
  <c r="G42" i="1" s="1"/>
  <c r="G8" i="1"/>
  <c r="G23" i="1"/>
  <c r="E142" i="1"/>
  <c r="G106" i="1"/>
  <c r="C54" i="1"/>
  <c r="C12" i="73" s="1"/>
  <c r="F101" i="1"/>
  <c r="G101" i="1" s="1"/>
  <c r="G19" i="1"/>
  <c r="C155" i="149"/>
  <c r="E59" i="1"/>
  <c r="D48" i="1"/>
  <c r="G43" i="1"/>
  <c r="C154" i="154"/>
  <c r="C155" i="154" s="1"/>
  <c r="G58" i="154"/>
  <c r="F37" i="154"/>
  <c r="G128" i="156"/>
  <c r="G155" i="156" s="1"/>
  <c r="G20" i="148"/>
  <c r="G21" i="155"/>
  <c r="G59" i="148"/>
  <c r="G56" i="154"/>
  <c r="G55" i="155"/>
  <c r="G15" i="1"/>
  <c r="D54" i="1"/>
  <c r="G135" i="148"/>
  <c r="D156" i="148"/>
  <c r="C59" i="1"/>
  <c r="C9" i="61" s="1"/>
  <c r="C48" i="1"/>
  <c r="C8" i="61" s="1"/>
  <c r="C132" i="1"/>
  <c r="C131" i="148"/>
  <c r="G129" i="155"/>
  <c r="G130" i="154"/>
  <c r="G129" i="154" s="1"/>
  <c r="C155" i="155"/>
  <c r="F150" i="1"/>
  <c r="G133" i="155"/>
  <c r="G134" i="154"/>
  <c r="G133" i="154" s="1"/>
  <c r="G66" i="155"/>
  <c r="G67" i="154"/>
  <c r="G66" i="154" s="1"/>
  <c r="F51" i="1"/>
  <c r="G51" i="1" s="1"/>
  <c r="E116" i="1"/>
  <c r="G148" i="148"/>
  <c r="G147" i="148" s="1"/>
  <c r="G148" i="1"/>
  <c r="G51" i="154"/>
  <c r="G49" i="154" s="1"/>
  <c r="G49" i="155"/>
  <c r="G65" i="155" s="1"/>
  <c r="G83" i="155"/>
  <c r="G60" i="155"/>
  <c r="G63" i="154"/>
  <c r="G60" i="154" s="1"/>
  <c r="F65" i="153"/>
  <c r="F90" i="153" s="1"/>
  <c r="D8" i="73"/>
  <c r="E8" i="73" s="1"/>
  <c r="G120" i="1"/>
  <c r="C88" i="150"/>
  <c r="C161" i="150" s="1"/>
  <c r="D130" i="150"/>
  <c r="D154" i="3"/>
  <c r="G54" i="3"/>
  <c r="G145" i="3"/>
  <c r="G139" i="153"/>
  <c r="G153" i="153" s="1"/>
  <c r="G154" i="153" s="1"/>
  <c r="C36" i="1"/>
  <c r="C11" i="73" s="1"/>
  <c r="F128" i="1"/>
  <c r="G128" i="1" s="1"/>
  <c r="G151" i="1"/>
  <c r="F149" i="1"/>
  <c r="G149" i="1" s="1"/>
  <c r="F39" i="1"/>
  <c r="G39" i="1" s="1"/>
  <c r="F37" i="1"/>
  <c r="G37" i="1" s="1"/>
  <c r="G38" i="1"/>
  <c r="E89" i="3"/>
  <c r="G21" i="153"/>
  <c r="C27" i="1"/>
  <c r="C10" i="73" s="1"/>
  <c r="F36" i="150"/>
  <c r="E65" i="3"/>
  <c r="G114" i="3"/>
  <c r="C65" i="3"/>
  <c r="G49" i="3"/>
  <c r="G37" i="3"/>
  <c r="F89" i="153"/>
  <c r="G55" i="153"/>
  <c r="G56" i="3"/>
  <c r="H8" i="61"/>
  <c r="I8" i="61" s="1"/>
  <c r="F32" i="1"/>
  <c r="G32" i="1" s="1"/>
  <c r="G105" i="1"/>
  <c r="F57" i="1"/>
  <c r="G57" i="1" s="1"/>
  <c r="G72" i="1"/>
  <c r="E88" i="150"/>
  <c r="E161" i="150" s="1"/>
  <c r="D64" i="150"/>
  <c r="D89" i="150" s="1"/>
  <c r="E64" i="150"/>
  <c r="D89" i="3"/>
  <c r="C154" i="3"/>
  <c r="C6" i="1"/>
  <c r="C6" i="73" s="1"/>
  <c r="D128" i="3"/>
  <c r="F37" i="3"/>
  <c r="F28" i="3"/>
  <c r="G145" i="153"/>
  <c r="G147" i="3"/>
  <c r="G146" i="3" s="1"/>
  <c r="G59" i="150"/>
  <c r="G78" i="1"/>
  <c r="D27" i="73"/>
  <c r="E27" i="73" s="1"/>
  <c r="E64" i="149"/>
  <c r="E89" i="149" s="1"/>
  <c r="G61" i="3"/>
  <c r="G60" i="3" s="1"/>
  <c r="G60" i="152"/>
  <c r="F97" i="149"/>
  <c r="D95" i="149"/>
  <c r="D130" i="149" s="1"/>
  <c r="D156" i="149" s="1"/>
  <c r="F48" i="149"/>
  <c r="C95" i="1"/>
  <c r="G96" i="1"/>
  <c r="F144" i="1"/>
  <c r="D13" i="1"/>
  <c r="E156" i="149"/>
  <c r="C147" i="1"/>
  <c r="C89" i="3"/>
  <c r="F143" i="1"/>
  <c r="G143" i="1" s="1"/>
  <c r="E147" i="1"/>
  <c r="E88" i="149"/>
  <c r="F142" i="149"/>
  <c r="C156" i="149"/>
  <c r="G30" i="3"/>
  <c r="G144" i="3"/>
  <c r="G140" i="152"/>
  <c r="G131" i="3"/>
  <c r="G129" i="3" s="1"/>
  <c r="G129" i="152"/>
  <c r="F60" i="3"/>
  <c r="E95" i="1"/>
  <c r="G129" i="1"/>
  <c r="G48" i="149"/>
  <c r="G21" i="3"/>
  <c r="G16" i="3"/>
  <c r="G14" i="3" s="1"/>
  <c r="G57" i="3"/>
  <c r="D97" i="1"/>
  <c r="F97" i="1" s="1"/>
  <c r="G95" i="152"/>
  <c r="F93" i="152"/>
  <c r="F128" i="152" s="1"/>
  <c r="F155" i="152" s="1"/>
  <c r="F95" i="3"/>
  <c r="F93" i="3" s="1"/>
  <c r="F128" i="3" s="1"/>
  <c r="F155" i="3" s="1"/>
  <c r="G14" i="149"/>
  <c r="G13" i="149" s="1"/>
  <c r="F13" i="149"/>
  <c r="G37" i="152"/>
  <c r="G65" i="152" s="1"/>
  <c r="G90" i="152" s="1"/>
  <c r="H10" i="73"/>
  <c r="I10" i="73" s="1"/>
  <c r="G99" i="1"/>
  <c r="E90" i="3"/>
  <c r="G146" i="148"/>
  <c r="G142" i="148" s="1"/>
  <c r="F142" i="148"/>
  <c r="D65" i="3"/>
  <c r="G76" i="148"/>
  <c r="G74" i="148" s="1"/>
  <c r="F74" i="148"/>
  <c r="E64" i="148"/>
  <c r="F131" i="148"/>
  <c r="F12" i="1"/>
  <c r="G12" i="1" s="1"/>
  <c r="G125" i="1"/>
  <c r="E128" i="3"/>
  <c r="E155" i="3" s="1"/>
  <c r="G74" i="3"/>
  <c r="G70" i="3" s="1"/>
  <c r="G70" i="151"/>
  <c r="D26" i="1"/>
  <c r="F26" i="1" s="1"/>
  <c r="D7" i="61" s="1"/>
  <c r="F26" i="148"/>
  <c r="G26" i="148" s="1"/>
  <c r="G132" i="151"/>
  <c r="G153" i="151" s="1"/>
  <c r="G134" i="3"/>
  <c r="G133" i="3" s="1"/>
  <c r="G14" i="151"/>
  <c r="G65" i="151" s="1"/>
  <c r="F76" i="1"/>
  <c r="G76" i="1" s="1"/>
  <c r="G47" i="1"/>
  <c r="F95" i="148"/>
  <c r="F130" i="148" s="1"/>
  <c r="C64" i="148"/>
  <c r="C160" i="148" s="1"/>
  <c r="G50" i="1"/>
  <c r="C128" i="3"/>
  <c r="F116" i="3"/>
  <c r="G115" i="151"/>
  <c r="G116" i="3" s="1"/>
  <c r="F82" i="3"/>
  <c r="F89" i="3" s="1"/>
  <c r="G82" i="3"/>
  <c r="G75" i="151"/>
  <c r="G76" i="3"/>
  <c r="G75" i="3" s="1"/>
  <c r="E155" i="148"/>
  <c r="G13" i="148"/>
  <c r="E69" i="1"/>
  <c r="C88" i="148"/>
  <c r="G29" i="3"/>
  <c r="G28" i="151"/>
  <c r="D118" i="1"/>
  <c r="F118" i="1" s="1"/>
  <c r="F118" i="148"/>
  <c r="G118" i="148" s="1"/>
  <c r="G82" i="151"/>
  <c r="G92" i="151"/>
  <c r="G127" i="151" s="1"/>
  <c r="G154" i="151" s="1"/>
  <c r="E160" i="150"/>
  <c r="E156" i="150"/>
  <c r="G146" i="150"/>
  <c r="G142" i="150" s="1"/>
  <c r="F142" i="150"/>
  <c r="G36" i="150"/>
  <c r="G48" i="150"/>
  <c r="F13" i="150"/>
  <c r="C116" i="1"/>
  <c r="G52" i="1"/>
  <c r="G71" i="1"/>
  <c r="C28" i="73"/>
  <c r="C33" i="73" s="1"/>
  <c r="F104" i="1"/>
  <c r="G104" i="1" s="1"/>
  <c r="G59" i="1"/>
  <c r="E20" i="1"/>
  <c r="G56" i="1"/>
  <c r="G109" i="1"/>
  <c r="E54" i="1"/>
  <c r="F79" i="1"/>
  <c r="G72" i="150"/>
  <c r="G69" i="150" s="1"/>
  <c r="F95" i="150"/>
  <c r="G6" i="150"/>
  <c r="G28" i="150"/>
  <c r="G27" i="150" s="1"/>
  <c r="F27" i="150"/>
  <c r="G13" i="150"/>
  <c r="F59" i="1"/>
  <c r="D9" i="61" s="1"/>
  <c r="E9" i="61" s="1"/>
  <c r="E27" i="1"/>
  <c r="F100" i="1"/>
  <c r="H20" i="73" s="1"/>
  <c r="F70" i="1"/>
  <c r="G70" i="1" s="1"/>
  <c r="G112" i="1"/>
  <c r="F131" i="150"/>
  <c r="G132" i="150"/>
  <c r="G131" i="150" s="1"/>
  <c r="G66" i="150"/>
  <c r="G65" i="150" s="1"/>
  <c r="F65" i="150"/>
  <c r="G79" i="150"/>
  <c r="G77" i="150" s="1"/>
  <c r="G95" i="150"/>
  <c r="C64" i="150"/>
  <c r="C156" i="150"/>
  <c r="F107" i="1"/>
  <c r="G107" i="1" s="1"/>
  <c r="F132" i="1"/>
  <c r="F131" i="1" s="1"/>
  <c r="E6" i="1"/>
  <c r="D155" i="150"/>
  <c r="D156" i="150" s="1"/>
  <c r="F135" i="150"/>
  <c r="G137" i="150"/>
  <c r="G135" i="150" s="1"/>
  <c r="G117" i="150"/>
  <c r="G116" i="150" s="1"/>
  <c r="F116" i="150"/>
  <c r="G152" i="150"/>
  <c r="G147" i="150" s="1"/>
  <c r="F147" i="150"/>
  <c r="F81" i="150"/>
  <c r="G83" i="150"/>
  <c r="G81" i="150" s="1"/>
  <c r="C20" i="1"/>
  <c r="C6" i="61" s="1"/>
  <c r="F48" i="150"/>
  <c r="F20" i="150"/>
  <c r="G113" i="1"/>
  <c r="G132" i="149"/>
  <c r="G131" i="149" s="1"/>
  <c r="F131" i="149"/>
  <c r="C7" i="61"/>
  <c r="G35" i="149"/>
  <c r="G27" i="149" s="1"/>
  <c r="F27" i="149"/>
  <c r="D147" i="1"/>
  <c r="C88" i="1"/>
  <c r="B7" i="76" s="1"/>
  <c r="G41" i="1"/>
  <c r="F18" i="1"/>
  <c r="G18" i="1" s="1"/>
  <c r="D31" i="73"/>
  <c r="E31" i="73" s="1"/>
  <c r="G80" i="1"/>
  <c r="G79" i="149"/>
  <c r="G77" i="149" s="1"/>
  <c r="F54" i="149"/>
  <c r="G55" i="149"/>
  <c r="G54" i="149" s="1"/>
  <c r="D64" i="149"/>
  <c r="F65" i="149"/>
  <c r="G66" i="149"/>
  <c r="G65" i="149" s="1"/>
  <c r="F59" i="149"/>
  <c r="G61" i="149"/>
  <c r="G59" i="149" s="1"/>
  <c r="F20" i="149"/>
  <c r="G143" i="149"/>
  <c r="G142" i="149" s="1"/>
  <c r="F16" i="1"/>
  <c r="G16" i="1" s="1"/>
  <c r="F6" i="149"/>
  <c r="G75" i="149"/>
  <c r="G74" i="149" s="1"/>
  <c r="F74" i="149"/>
  <c r="C64" i="149"/>
  <c r="D69" i="1"/>
  <c r="E135" i="1"/>
  <c r="F55" i="1"/>
  <c r="G55" i="1" s="1"/>
  <c r="G34" i="1"/>
  <c r="F145" i="1"/>
  <c r="G145" i="1" s="1"/>
  <c r="D142" i="1"/>
  <c r="G71" i="149"/>
  <c r="G69" i="149" s="1"/>
  <c r="F69" i="149"/>
  <c r="D88" i="149"/>
  <c r="D161" i="149" s="1"/>
  <c r="E36" i="1"/>
  <c r="D27" i="1"/>
  <c r="G37" i="149"/>
  <c r="G36" i="149" s="1"/>
  <c r="F36" i="149"/>
  <c r="G6" i="149"/>
  <c r="F147" i="149"/>
  <c r="G148" i="149"/>
  <c r="G147" i="149" s="1"/>
  <c r="G139" i="149"/>
  <c r="G135" i="149" s="1"/>
  <c r="F135" i="149"/>
  <c r="G82" i="149"/>
  <c r="G81" i="149" s="1"/>
  <c r="F81" i="149"/>
  <c r="C88" i="149"/>
  <c r="C161" i="149" s="1"/>
  <c r="D59" i="1"/>
  <c r="G134" i="1"/>
  <c r="F81" i="148"/>
  <c r="G82" i="148"/>
  <c r="G81" i="148" s="1"/>
  <c r="C13" i="1"/>
  <c r="C7" i="73" s="1"/>
  <c r="D88" i="148"/>
  <c r="D161" i="148" s="1"/>
  <c r="H6" i="61"/>
  <c r="I6" i="61" s="1"/>
  <c r="F116" i="1"/>
  <c r="I6" i="73"/>
  <c r="G117" i="1"/>
  <c r="G28" i="148"/>
  <c r="G27" i="148" s="1"/>
  <c r="F27" i="148"/>
  <c r="G42" i="148"/>
  <c r="G36" i="148" s="1"/>
  <c r="F36" i="148"/>
  <c r="G20" i="73"/>
  <c r="F82" i="1"/>
  <c r="D81" i="1"/>
  <c r="F137" i="1"/>
  <c r="G137" i="1" s="1"/>
  <c r="G135" i="1" s="1"/>
  <c r="D64" i="148"/>
  <c r="G66" i="148"/>
  <c r="G65" i="148" s="1"/>
  <c r="F65" i="148"/>
  <c r="G6" i="148"/>
  <c r="G49" i="1"/>
  <c r="E48" i="1"/>
  <c r="G121" i="1"/>
  <c r="H10" i="61"/>
  <c r="I10" i="61" s="1"/>
  <c r="H27" i="73"/>
  <c r="I27" i="73" s="1"/>
  <c r="G144" i="1"/>
  <c r="F54" i="148"/>
  <c r="G55" i="148"/>
  <c r="G54" i="148" s="1"/>
  <c r="F10" i="1"/>
  <c r="D6" i="1"/>
  <c r="F66" i="1"/>
  <c r="G66" i="1" s="1"/>
  <c r="D65" i="1"/>
  <c r="F6" i="148"/>
  <c r="D131" i="1"/>
  <c r="G49" i="148"/>
  <c r="G48" i="148" s="1"/>
  <c r="F48" i="148"/>
  <c r="C155" i="148"/>
  <c r="G131" i="148"/>
  <c r="E88" i="148"/>
  <c r="F13" i="148"/>
  <c r="E81" i="1"/>
  <c r="F69" i="148"/>
  <c r="G70" i="148"/>
  <c r="G69" i="148" s="1"/>
  <c r="D36" i="1"/>
  <c r="F21" i="1"/>
  <c r="G21" i="1" s="1"/>
  <c r="G20" i="1" s="1"/>
  <c r="D20" i="1"/>
  <c r="G150" i="1"/>
  <c r="G147" i="1" s="1"/>
  <c r="G75" i="1"/>
  <c r="D24" i="73"/>
  <c r="G29" i="1"/>
  <c r="G17" i="61"/>
  <c r="G31" i="61" s="1"/>
  <c r="D29" i="73"/>
  <c r="G68" i="1"/>
  <c r="C24" i="61"/>
  <c r="C30" i="61" s="1"/>
  <c r="D7" i="76" s="1"/>
  <c r="E25" i="61"/>
  <c r="E24" i="61" s="1"/>
  <c r="E30" i="61" s="1"/>
  <c r="F155" i="148" l="1"/>
  <c r="F156" i="148" s="1"/>
  <c r="C90" i="3"/>
  <c r="F147" i="1"/>
  <c r="G154" i="155"/>
  <c r="G155" i="155" s="1"/>
  <c r="F91" i="155"/>
  <c r="G98" i="1"/>
  <c r="C89" i="148"/>
  <c r="E160" i="149"/>
  <c r="G28" i="3"/>
  <c r="G65" i="3" s="1"/>
  <c r="E156" i="148"/>
  <c r="E160" i="148"/>
  <c r="G55" i="3"/>
  <c r="F65" i="3"/>
  <c r="F90" i="3" s="1"/>
  <c r="G90" i="155"/>
  <c r="E91" i="154"/>
  <c r="C91" i="154"/>
  <c r="F128" i="154"/>
  <c r="F155" i="154" s="1"/>
  <c r="G91" i="155"/>
  <c r="G90" i="154"/>
  <c r="F142" i="1"/>
  <c r="D160" i="150"/>
  <c r="G154" i="154"/>
  <c r="G155" i="154" s="1"/>
  <c r="G90" i="157"/>
  <c r="G91" i="157" s="1"/>
  <c r="G55" i="154"/>
  <c r="G65" i="154" s="1"/>
  <c r="G91" i="154" s="1"/>
  <c r="F48" i="1"/>
  <c r="D8" i="61" s="1"/>
  <c r="E8" i="61" s="1"/>
  <c r="F27" i="1"/>
  <c r="D10" i="73" s="1"/>
  <c r="E10" i="73" s="1"/>
  <c r="C17" i="61"/>
  <c r="G32" i="61" s="1"/>
  <c r="E161" i="149"/>
  <c r="F65" i="154"/>
  <c r="F91" i="154" s="1"/>
  <c r="G26" i="73"/>
  <c r="G33" i="73" s="1"/>
  <c r="D25" i="76" s="1"/>
  <c r="C131" i="1"/>
  <c r="C155" i="1" s="1"/>
  <c r="B25" i="76" s="1"/>
  <c r="E25" i="76" s="1"/>
  <c r="G69" i="1"/>
  <c r="E130" i="1"/>
  <c r="F36" i="1"/>
  <c r="D11" i="73" s="1"/>
  <c r="E11" i="73" s="1"/>
  <c r="G65" i="1"/>
  <c r="D95" i="1"/>
  <c r="D130" i="1" s="1"/>
  <c r="C130" i="1"/>
  <c r="B24" i="76" s="1"/>
  <c r="E89" i="150"/>
  <c r="G154" i="3"/>
  <c r="G26" i="1"/>
  <c r="F64" i="150"/>
  <c r="G140" i="3"/>
  <c r="C155" i="3"/>
  <c r="G65" i="153"/>
  <c r="G90" i="153" s="1"/>
  <c r="C22" i="73"/>
  <c r="D90" i="3"/>
  <c r="D155" i="3"/>
  <c r="H7" i="73"/>
  <c r="I7" i="73" s="1"/>
  <c r="G97" i="1"/>
  <c r="G54" i="1"/>
  <c r="G93" i="152"/>
  <c r="G128" i="152" s="1"/>
  <c r="G155" i="152" s="1"/>
  <c r="G95" i="3"/>
  <c r="G93" i="3" s="1"/>
  <c r="G128" i="3" s="1"/>
  <c r="F54" i="1"/>
  <c r="D12" i="73" s="1"/>
  <c r="E12" i="73" s="1"/>
  <c r="F69" i="1"/>
  <c r="E155" i="1"/>
  <c r="G36" i="1"/>
  <c r="E7" i="61"/>
  <c r="F95" i="149"/>
  <c r="F130" i="149" s="1"/>
  <c r="G97" i="149"/>
  <c r="G95" i="149" s="1"/>
  <c r="G130" i="149" s="1"/>
  <c r="G74" i="1"/>
  <c r="E161" i="148"/>
  <c r="D88" i="1"/>
  <c r="G48" i="1"/>
  <c r="E88" i="1"/>
  <c r="G154" i="152"/>
  <c r="G89" i="3"/>
  <c r="E89" i="148"/>
  <c r="F95" i="1"/>
  <c r="F130" i="1" s="1"/>
  <c r="B30" i="76" s="1"/>
  <c r="F135" i="1"/>
  <c r="F74" i="1"/>
  <c r="C156" i="148"/>
  <c r="G100" i="1"/>
  <c r="G13" i="1"/>
  <c r="D155" i="1"/>
  <c r="D156" i="1" s="1"/>
  <c r="G118" i="1"/>
  <c r="H7" i="61"/>
  <c r="I7" i="61" s="1"/>
  <c r="I20" i="73"/>
  <c r="G89" i="151"/>
  <c r="G90" i="151" s="1"/>
  <c r="H17" i="61"/>
  <c r="H31" i="61" s="1"/>
  <c r="G130" i="150"/>
  <c r="F88" i="150"/>
  <c r="G79" i="1"/>
  <c r="G77" i="1" s="1"/>
  <c r="F77" i="1"/>
  <c r="E64" i="1"/>
  <c r="G88" i="150"/>
  <c r="G64" i="150"/>
  <c r="D161" i="150"/>
  <c r="H26" i="73"/>
  <c r="G132" i="1"/>
  <c r="G131" i="1" s="1"/>
  <c r="F130" i="150"/>
  <c r="C160" i="150"/>
  <c r="C89" i="150"/>
  <c r="F155" i="150"/>
  <c r="G155" i="150" s="1"/>
  <c r="F13" i="1"/>
  <c r="D7" i="73" s="1"/>
  <c r="E7" i="73" s="1"/>
  <c r="D64" i="1"/>
  <c r="G88" i="149"/>
  <c r="F155" i="149"/>
  <c r="G64" i="149"/>
  <c r="F88" i="149"/>
  <c r="C160" i="149"/>
  <c r="C89" i="149"/>
  <c r="G142" i="1"/>
  <c r="G22" i="73"/>
  <c r="G27" i="1"/>
  <c r="I17" i="61"/>
  <c r="I31" i="61" s="1"/>
  <c r="F64" i="149"/>
  <c r="D89" i="149"/>
  <c r="D160" i="149"/>
  <c r="D160" i="148"/>
  <c r="D89" i="148"/>
  <c r="F81" i="1"/>
  <c r="G82" i="1"/>
  <c r="G81" i="1" s="1"/>
  <c r="F64" i="148"/>
  <c r="G10" i="1"/>
  <c r="G6" i="1" s="1"/>
  <c r="F6" i="1"/>
  <c r="D6" i="73" s="1"/>
  <c r="E6" i="73" s="1"/>
  <c r="F88" i="148"/>
  <c r="F20" i="1"/>
  <c r="D6" i="61" s="1"/>
  <c r="E6" i="61" s="1"/>
  <c r="C64" i="1"/>
  <c r="B6" i="76" s="1"/>
  <c r="G88" i="148"/>
  <c r="F65" i="1"/>
  <c r="C161" i="148"/>
  <c r="G116" i="1"/>
  <c r="G64" i="148"/>
  <c r="E7" i="76"/>
  <c r="D6" i="76"/>
  <c r="C34" i="73"/>
  <c r="C32" i="61"/>
  <c r="H23" i="73"/>
  <c r="D28" i="73"/>
  <c r="E29" i="73"/>
  <c r="E28" i="73" s="1"/>
  <c r="E24" i="73"/>
  <c r="E23" i="73" s="1"/>
  <c r="D23" i="73"/>
  <c r="G155" i="148" l="1"/>
  <c r="G156" i="148" s="1"/>
  <c r="E156" i="1"/>
  <c r="F155" i="1"/>
  <c r="G155" i="1" s="1"/>
  <c r="G90" i="3"/>
  <c r="F161" i="148"/>
  <c r="G95" i="1"/>
  <c r="C31" i="61"/>
  <c r="G33" i="61" s="1"/>
  <c r="E17" i="61"/>
  <c r="E31" i="61" s="1"/>
  <c r="C161" i="1"/>
  <c r="F161" i="149"/>
  <c r="I26" i="73"/>
  <c r="E160" i="1"/>
  <c r="I22" i="73"/>
  <c r="D36" i="76" s="1"/>
  <c r="C156" i="1"/>
  <c r="B26" i="76" s="1"/>
  <c r="G161" i="148"/>
  <c r="G34" i="73"/>
  <c r="D26" i="76" s="1"/>
  <c r="D89" i="1"/>
  <c r="E161" i="1"/>
  <c r="G155" i="3"/>
  <c r="G130" i="1"/>
  <c r="B36" i="76" s="1"/>
  <c r="G88" i="1"/>
  <c r="B19" i="76" s="1"/>
  <c r="C160" i="1"/>
  <c r="F88" i="1"/>
  <c r="B13" i="76" s="1"/>
  <c r="H22" i="73"/>
  <c r="D30" i="76" s="1"/>
  <c r="E30" i="76" s="1"/>
  <c r="D161" i="1"/>
  <c r="D160" i="1"/>
  <c r="G64" i="1"/>
  <c r="B18" i="76" s="1"/>
  <c r="D17" i="61"/>
  <c r="D31" i="61" s="1"/>
  <c r="F156" i="150"/>
  <c r="F161" i="150"/>
  <c r="E89" i="1"/>
  <c r="C89" i="1"/>
  <c r="B8" i="76" s="1"/>
  <c r="G156" i="150"/>
  <c r="E33" i="73"/>
  <c r="D19" i="76" s="1"/>
  <c r="E19" i="76" s="1"/>
  <c r="E22" i="73"/>
  <c r="G160" i="150"/>
  <c r="G89" i="150"/>
  <c r="F160" i="150"/>
  <c r="G161" i="150"/>
  <c r="F89" i="150"/>
  <c r="G155" i="149"/>
  <c r="G156" i="149" s="1"/>
  <c r="F156" i="149"/>
  <c r="D24" i="76"/>
  <c r="E24" i="76" s="1"/>
  <c r="G35" i="73"/>
  <c r="D22" i="73"/>
  <c r="G161" i="149"/>
  <c r="C35" i="73"/>
  <c r="F64" i="1"/>
  <c r="F160" i="1" s="1"/>
  <c r="G89" i="149"/>
  <c r="G160" i="149"/>
  <c r="F160" i="149"/>
  <c r="F89" i="149"/>
  <c r="F160" i="148"/>
  <c r="F89" i="148"/>
  <c r="G160" i="148"/>
  <c r="G89" i="148"/>
  <c r="B31" i="76"/>
  <c r="F156" i="1"/>
  <c r="B32" i="76" s="1"/>
  <c r="D33" i="73"/>
  <c r="D13" i="76" s="1"/>
  <c r="H33" i="73"/>
  <c r="I23" i="73"/>
  <c r="E6" i="76"/>
  <c r="I32" i="61"/>
  <c r="E26" i="76" l="1"/>
  <c r="E32" i="61"/>
  <c r="C36" i="73"/>
  <c r="C33" i="61"/>
  <c r="D8" i="76"/>
  <c r="B12" i="76"/>
  <c r="I33" i="73"/>
  <c r="D37" i="76" s="1"/>
  <c r="E35" i="73"/>
  <c r="G36" i="73"/>
  <c r="D34" i="73"/>
  <c r="G160" i="1"/>
  <c r="D35" i="73"/>
  <c r="F89" i="1"/>
  <c r="B14" i="76" s="1"/>
  <c r="I35" i="73"/>
  <c r="F161" i="1"/>
  <c r="E13" i="76"/>
  <c r="H35" i="73"/>
  <c r="D32" i="61"/>
  <c r="G89" i="1"/>
  <c r="B20" i="76" s="1"/>
  <c r="D12" i="76"/>
  <c r="H32" i="61"/>
  <c r="E34" i="73"/>
  <c r="D20" i="76" s="1"/>
  <c r="D18" i="76"/>
  <c r="E18" i="76" s="1"/>
  <c r="E8" i="76"/>
  <c r="E36" i="76"/>
  <c r="I33" i="61"/>
  <c r="E33" i="61"/>
  <c r="H33" i="61"/>
  <c r="D33" i="61"/>
  <c r="D31" i="76"/>
  <c r="E31" i="76" s="1"/>
  <c r="H34" i="73"/>
  <c r="D32" i="76" s="1"/>
  <c r="E32" i="76" s="1"/>
  <c r="E12" i="76"/>
  <c r="D14" i="76"/>
  <c r="E14" i="76" s="1"/>
  <c r="B37" i="76"/>
  <c r="G161" i="1"/>
  <c r="G156" i="1"/>
  <c r="B38" i="76" s="1"/>
  <c r="I34" i="73" l="1"/>
  <c r="D38" i="76" s="1"/>
  <c r="E20" i="76"/>
  <c r="D36" i="73"/>
  <c r="I36" i="73"/>
  <c r="E38" i="76"/>
  <c r="H36" i="73"/>
  <c r="E36" i="73"/>
  <c r="E37" i="76"/>
</calcChain>
</file>

<file path=xl/sharedStrings.xml><?xml version="1.0" encoding="utf-8"?>
<sst xmlns="http://schemas.openxmlformats.org/spreadsheetml/2006/main" count="4969" uniqueCount="670">
  <si>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</si>
  <si>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</si>
  <si>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</si>
  <si>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</si>
  <si>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</si>
  <si>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</si>
  <si>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</si>
  <si>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</si>
  <si>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</si>
  <si>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</si>
  <si>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</si>
  <si>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</si>
  <si>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</si>
  <si>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</si>
  <si>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</si>
  <si>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</si>
  <si>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</si>
  <si>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</si>
  <si>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</si>
  <si>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</si>
  <si>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</si>
  <si>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</si>
  <si>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</si>
  <si>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</si>
  <si>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</si>
  <si>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</si>
  <si>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</si>
  <si>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</si>
  <si>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</si>
  <si>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</si>
  <si>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</si>
  <si>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</si>
  <si>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</si>
  <si>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</si>
  <si>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</si>
  <si>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</si>
  <si>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</si>
  <si>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</si>
  <si>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</si>
  <si>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</si>
  <si>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</si>
  <si>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</si>
  <si>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</si>
  <si>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</si>
  <si>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</si>
  <si>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</si>
  <si>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</si>
  <si>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</si>
  <si>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</si>
  <si>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</si>
  <si>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</si>
  <si>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</si>
  <si>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</si>
  <si>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</si>
  <si>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</si>
  <si>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</si>
  <si>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</si>
  <si>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</si>
  <si>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</si>
  <si>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</si>
  <si>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</si>
  <si>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</si>
  <si>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</si>
  <si>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</si>
  <si>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</si>
  <si>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</si>
  <si>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</si>
  <si>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</si>
  <si>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</si>
  <si>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</si>
  <si>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</si>
  <si>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</si>
  <si>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</si>
  <si>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</si>
  <si>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</si>
  <si>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</si>
  <si>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</si>
  <si>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</si>
  <si>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</si>
  <si>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</si>
  <si>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</si>
  <si>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</si>
  <si>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</si>
  <si>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</si>
  <si>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</si>
  <si>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</si>
  <si>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</si>
  <si>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</si>
  <si>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</si>
  <si>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</si>
  <si>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</si>
  <si>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</si>
  <si>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</si>
  <si>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</si>
  <si>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</si>
  <si>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</si>
  <si>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</si>
  <si>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</si>
  <si>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</si>
  <si>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</si>
  <si>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</si>
  <si>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</si>
  <si>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</si>
  <si>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</si>
  <si>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</si>
  <si>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</si>
  <si>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</si>
  <si>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</si>
  <si>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</si>
  <si>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</si>
  <si>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</si>
  <si>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</si>
  <si>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</si>
  <si>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</si>
  <si>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</si>
  <si>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</si>
  <si>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</si>
  <si>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</si>
  <si>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</si>
  <si>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</si>
  <si>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</si>
  <si>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</si>
  <si>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</si>
  <si>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</si>
  <si>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</si>
  <si>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</si>
  <si>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</si>
  <si>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</si>
  <si>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</si>
  <si>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</si>
  <si>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</si>
  <si>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</si>
  <si>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</si>
  <si>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</si>
  <si>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</si>
  <si>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</si>
  <si>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</si>
  <si>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</si>
  <si>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</si>
  <si>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</si>
  <si>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</si>
  <si>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</si>
  <si>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</si>
  <si>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</si>
  <si>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</si>
  <si>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</si>
  <si>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</si>
  <si>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</si>
  <si>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</si>
  <si>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</si>
  <si>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</si>
  <si>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</si>
  <si>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</si>
  <si>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</si>
  <si>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</si>
  <si>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</si>
  <si>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</si>
  <si>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</si>
  <si>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</si>
  <si>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</si>
  <si>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</si>
  <si>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</si>
  <si>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</si>
  <si>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</si>
  <si>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</si>
  <si>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</si>
  <si>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</si>
  <si>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</si>
  <si>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</si>
  <si>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</si>
  <si>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</si>
  <si>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</si>
  <si>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</si>
  <si>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</si>
  <si>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</si>
  <si>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</si>
  <si>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</si>
  <si>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</si>
  <si>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</si>
  <si>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</si>
  <si>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</si>
  <si>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</si>
  <si>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</si>
  <si>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</si>
  <si>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</si>
  <si>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</si>
  <si>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</si>
  <si>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</si>
  <si>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</si>
  <si>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</si>
  <si>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</si>
  <si>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</si>
  <si>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</si>
  <si>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</si>
  <si>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</si>
  <si>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</si>
  <si>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</si>
  <si>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</si>
  <si>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</si>
  <si>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</si>
  <si>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</si>
  <si>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</si>
  <si>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</si>
  <si>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</si>
  <si>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</si>
  <si>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</si>
  <si>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</si>
  <si>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</si>
  <si>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</si>
  <si>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</si>
  <si>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</si>
  <si>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</si>
  <si>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</si>
  <si>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</si>
  <si>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</si>
  <si>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</si>
  <si>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</si>
  <si>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</si>
  <si>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</si>
  <si>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</si>
  <si>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</si>
  <si>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</si>
  <si>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</si>
  <si>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</si>
  <si>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</si>
  <si>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</si>
  <si>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</si>
  <si>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</si>
  <si>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</si>
  <si>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</si>
  <si>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</si>
  <si>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</si>
  <si>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</si>
  <si>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</si>
  <si>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</si>
  <si>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</si>
  <si>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</si>
  <si>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</si>
  <si>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</si>
  <si>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</si>
  <si>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</si>
  <si>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</si>
  <si>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</si>
  <si>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</si>
  <si>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</si>
  <si>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</si>
  <si>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</si>
  <si>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</si>
  <si>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</si>
  <si>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</si>
  <si>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</si>
  <si>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</si>
  <si>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</si>
  <si>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</si>
  <si>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</si>
  <si>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</si>
  <si>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</si>
  <si>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</si>
  <si>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</si>
  <si>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</si>
  <si>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</si>
  <si>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</si>
  <si>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</si>
  <si>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</si>
  <si>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</si>
  <si>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</si>
  <si>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</si>
  <si>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</si>
  <si>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</si>
  <si>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</si>
  <si>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</si>
  <si>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</si>
  <si>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</si>
  <si>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</si>
  <si>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</si>
  <si>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</si>
  <si>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</si>
  <si>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</si>
  <si>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</si>
  <si>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</si>
  <si>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</si>
  <si>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</si>
  <si>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</si>
  <si>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</si>
  <si>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</si>
  <si>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</si>
  <si>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</si>
  <si>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</si>
  <si>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</si>
  <si>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</si>
  <si>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</si>
  <si>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</si>
  <si>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</si>
  <si>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</si>
  <si>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</si>
  <si>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</si>
  <si>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</si>
  <si>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</si>
  <si>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</si>
  <si>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</si>
  <si>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</si>
  <si>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</si>
  <si>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</si>
  <si>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</si>
  <si>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</si>
  <si>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</si>
  <si>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</si>
  <si>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</si>
  <si>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</si>
  <si>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</si>
  <si>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</si>
  <si>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</si>
  <si>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</si>
  <si>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</si>
  <si>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</si>
  <si>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</si>
  <si>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</si>
  <si>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</si>
  <si>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</si>
  <si>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</si>
  <si>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</si>
  <si>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</si>
  <si>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</si>
  <si>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</si>
  <si>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</si>
  <si>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</si>
  <si>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</si>
  <si>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</si>
  <si>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</si>
  <si>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</si>
  <si>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</si>
  <si>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</si>
  <si>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</si>
  <si>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</si>
  <si>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</si>
  <si>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</si>
  <si>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</si>
  <si>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</si>
  <si>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</si>
  <si>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</si>
  <si>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</si>
  <si>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</si>
  <si>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</si>
  <si>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</si>
  <si>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</si>
  <si>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</si>
  <si>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</si>
  <si>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</si>
  <si>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</si>
  <si>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</si>
  <si>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</si>
  <si>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</si>
  <si>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</si>
  <si>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</si>
  <si>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</si>
  <si>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</si>
  <si>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</si>
  <si>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</si>
  <si>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</si>
  <si>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</si>
  <si>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</si>
  <si>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</si>
  <si>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</si>
  <si>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</si>
  <si>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</si>
  <si>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</si>
  <si>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</si>
  <si>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</si>
  <si>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</si>
  <si>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</si>
  <si>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</si>
  <si>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</si>
  <si>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</si>
  <si>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</si>
  <si>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</si>
  <si>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</si>
  <si>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</si>
  <si>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</si>
  <si>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</si>
  <si>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</si>
  <si>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</si>
  <si>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</si>
  <si>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</si>
  <si>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</si>
  <si>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</si>
  <si>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</si>
  <si>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</si>
  <si>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</si>
  <si>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</si>
  <si>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</si>
  <si>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</si>
  <si>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</si>
  <si>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</si>
  <si>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</si>
  <si>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</si>
  <si>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</si>
  <si>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</si>
  <si>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</si>
  <si>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</si>
  <si>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</si>
  <si>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</si>
  <si>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</si>
  <si>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</si>
  <si>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</si>
  <si>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</si>
  <si>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</si>
  <si>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</si>
  <si>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</si>
  <si>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</si>
  <si>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</si>
  <si>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</si>
  <si>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</si>
  <si>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</si>
  <si>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</si>
  <si>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</si>
  <si>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</si>
  <si>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</si>
  <si>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</si>
  <si>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</si>
  <si>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</si>
  <si>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</si>
  <si>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</si>
  <si>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</si>
  <si>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</si>
  <si>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</si>
  <si>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</si>
  <si>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</si>
  <si>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</si>
  <si>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>Költségvetés módosítás űrlapjainak összefüggései:</t>
  </si>
  <si>
    <t>E=C±D</t>
  </si>
  <si>
    <t>I=G±H</t>
  </si>
  <si>
    <t>Kiemelt előirányzat, előirányzat megnevezése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</si>
  <si>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</si>
  <si>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</si>
  <si>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</si>
  <si>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</si>
  <si>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</si>
  <si>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</si>
  <si>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>I=(E+H)</t>
  </si>
  <si>
    <t>H=(F+G)</t>
  </si>
  <si>
    <t xml:space="preserve">Korábbi módosítások </t>
  </si>
  <si>
    <t>F=(D+…+E)</t>
  </si>
  <si>
    <t>G=(C+F)</t>
  </si>
  <si>
    <t>SÁGVÁR KÖZSÉG ÖNKORMÁNYZAT</t>
  </si>
  <si>
    <t>SÁGVÁRI KÖZÖS ÖNKORMÁNYZATI HIVATAL</t>
  </si>
  <si>
    <t>Forintban</t>
  </si>
  <si>
    <t>Telekadó</t>
  </si>
  <si>
    <t>Magánszemélyek kommunális adója</t>
  </si>
  <si>
    <t>4.8.</t>
  </si>
  <si>
    <t>Irányító szervi (önkormányzati) támogatás (intézményfinanszírozás)</t>
  </si>
  <si>
    <t>12.3.</t>
  </si>
  <si>
    <t>Komplex energiahatékonyság fejlesztése TOP-3.2.1-15-SO1-2016-00007</t>
  </si>
  <si>
    <t>Ságvár és Som község fenntartható települési közlekedésfejlesztése TOP-3.1.1-15-SO1-2016-00003</t>
  </si>
  <si>
    <t>Szociális alapszolgáltatás fejlesztése TOP-4.2.1-16-SO1-2017-00001</t>
  </si>
  <si>
    <t>Kisértékű tárgyi eszköz beszerzés</t>
  </si>
  <si>
    <t>Járda /Fő u./</t>
  </si>
  <si>
    <t>Egyéb tárgyi eszköz beszerzés</t>
  </si>
  <si>
    <t>Lekötött betétek megszüntetése</t>
  </si>
  <si>
    <t>Ingatlan vásárlás /Kis u./</t>
  </si>
  <si>
    <t>Ságvári Bóbita Óvoda és Bölcsőde tetőcserép</t>
  </si>
  <si>
    <t xml:space="preserve">   Elszámolásból származó bevételek</t>
  </si>
  <si>
    <t>2020. évi eredeti előirányzat BEVÉTELEK</t>
  </si>
  <si>
    <t>2017-2020</t>
  </si>
  <si>
    <t>2020</t>
  </si>
  <si>
    <t>2019-2020</t>
  </si>
  <si>
    <t>Kerítés építés /temető/</t>
  </si>
  <si>
    <t>Ravatalozó terasz burkolás</t>
  </si>
  <si>
    <t>Játszótéri eszközök</t>
  </si>
  <si>
    <t>Ságvári Bóbita Óvoda és Bölcsőde riasztó</t>
  </si>
  <si>
    <t>Buszváró/Fő u./</t>
  </si>
  <si>
    <t>Idősek otthona kerítés építés,udvar</t>
  </si>
  <si>
    <t>Út /Kossuth L. u./</t>
  </si>
  <si>
    <t>Ságvári Bóbita Óvoda és Bölcsőde tüzivíz rendszer kialakítása</t>
  </si>
  <si>
    <t>HP Compaq pro 6300 SFF számítógép + MS windows 10 program /4 db/</t>
  </si>
  <si>
    <t>Út/vásártér/</t>
  </si>
  <si>
    <r>
      <t>Magyar Falu Program – „</t>
    </r>
    <r>
      <rPr>
        <sz val="8"/>
        <rFont val="Verdana"/>
        <family val="2"/>
        <charset val="238"/>
      </rPr>
      <t xml:space="preserve">Óvodai játszóudvar bővítése Ságváron” </t>
    </r>
  </si>
  <si>
    <t>a) születési támogatás</t>
  </si>
  <si>
    <t>b) óvodáztatási támogatás</t>
  </si>
  <si>
    <t>c) iskolakezdési támogatás</t>
  </si>
  <si>
    <t>d) időskorúak támogatása</t>
  </si>
  <si>
    <t>e) eseti támogatás</t>
  </si>
  <si>
    <t>f) temetési támogatás</t>
  </si>
  <si>
    <t>g) krízistámogatás</t>
  </si>
  <si>
    <t>h) köztemetés</t>
  </si>
  <si>
    <t>Eddigi módosítások összege 2020-ban</t>
  </si>
  <si>
    <t>Sor-szám</t>
  </si>
  <si>
    <t>Fejlesztési cél leírása</t>
  </si>
  <si>
    <t>Fejlesztés várható kiadása</t>
  </si>
  <si>
    <t xml:space="preserve">Ságvár és Som község fenntartható települési közlekedésfejlesztése </t>
  </si>
  <si>
    <t>ADÓSSÁGOT KELETKEZTETŐ ÜGYLETEK VÁRHATÓ EGYÜTTES ÖSSZEGE</t>
  </si>
  <si>
    <t>EU-s projekt neve, azonosítója:</t>
  </si>
  <si>
    <t>Ságvári Bóbita Óvoda és Bölcsőde fejlesztése TOP-1.4.1-15-SO1-2016-00010</t>
  </si>
  <si>
    <t>Források</t>
  </si>
  <si>
    <t>Összesen</t>
  </si>
  <si>
    <t>Saját erő</t>
  </si>
  <si>
    <t>- saját erőből központi támogatás</t>
  </si>
  <si>
    <t>EU-s forrás, pénzmaradvány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</si>
  <si>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</si>
  <si>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</si>
  <si>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</si>
  <si>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</si>
  <si>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</si>
  <si>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</si>
  <si>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</si>
  <si>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</si>
  <si>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</si>
  <si>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</si>
  <si>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Közösen a jövőnkért komplex program humán közszolgáltatások fejlesztésére EFOP-1.5.2-16-2017-00006</t>
  </si>
  <si>
    <t>Támogatott neve</t>
  </si>
  <si>
    <t>Hozzájárulás  (Ft)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</si>
  <si>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</si>
  <si>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</si>
  <si>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</si>
  <si>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</si>
  <si>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</si>
  <si>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</si>
  <si>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</si>
  <si>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</si>
  <si>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</si>
  <si>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</si>
  <si>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</si>
  <si>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</si>
  <si>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</si>
  <si>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</si>
  <si>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</si>
  <si>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</si>
  <si>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</si>
  <si>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</si>
  <si>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Közhatalmi bevételek (4.1.+4.2.+4.3.+4.4.+…+4.9.)</t>
  </si>
  <si>
    <t>Magánszemélyek jövedelemadói</t>
  </si>
  <si>
    <t>4.9.</t>
  </si>
  <si>
    <t>Hitel-, kölcsönfelvétel államháztartáson kívülről  (10.1.+…+10.3.)</t>
  </si>
  <si>
    <t>Kiadási jogcímek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</si>
  <si>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</si>
  <si>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</si>
  <si>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</si>
  <si>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</si>
  <si>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</si>
  <si>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</si>
  <si>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</si>
  <si>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</si>
  <si>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</si>
  <si>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2019</t>
  </si>
  <si>
    <t>Felújítási kiadások felújításonként</t>
  </si>
  <si>
    <t>Egyéb (Pl.: garancia és kezességvállalás, stb.)</t>
  </si>
  <si>
    <t>Összesen (1+4+7+10+12)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</si>
  <si>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</si>
  <si>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</si>
  <si>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</si>
  <si>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</si>
  <si>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</si>
  <si>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</si>
  <si>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</si>
  <si>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</si>
  <si>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</si>
  <si>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</si>
  <si>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</si>
  <si>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</si>
  <si>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</si>
  <si>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</si>
  <si>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</si>
  <si>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</si>
  <si>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</si>
  <si>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</si>
  <si>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</si>
  <si>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</si>
  <si>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</si>
  <si>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</si>
  <si>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</si>
  <si>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</si>
  <si>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</si>
  <si>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</si>
  <si>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</si>
  <si>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</si>
  <si>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</si>
  <si>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</si>
  <si>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</si>
  <si>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</si>
  <si>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</si>
  <si>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Felhalmozási célú átvett pénzeszközök</t>
  </si>
  <si>
    <t>Finanszírozási bevételek</t>
  </si>
  <si>
    <t>Bevételek összesen:</t>
  </si>
  <si>
    <t>Tartalék</t>
  </si>
  <si>
    <t>Finanszírozási kiadások</t>
  </si>
  <si>
    <t>Kiadások összesen:</t>
  </si>
  <si>
    <t>Jogcím</t>
  </si>
  <si>
    <t>Települési önkormányzatok működési támogatása</t>
  </si>
  <si>
    <t>Polgármesteri illetmény támogatása</t>
  </si>
  <si>
    <t>Óvodapedagógusok és az óvodapedagógusok nevelő munkáját közvetlenül segítők bértámogatása</t>
  </si>
  <si>
    <t>Óvodaműködtetés támogatás</t>
  </si>
  <si>
    <t>Társulás által fenntartott óvodákba bejáró gyermekek utaztatásának támogatása</t>
  </si>
  <si>
    <t>Kiegészítő támogatás</t>
  </si>
  <si>
    <t>Települési önkormányzatok szociális feladatainak egyéb támogatása</t>
  </si>
  <si>
    <t>Egyes szociális és gyermekjóléti feladatok támogatása</t>
  </si>
  <si>
    <t>Gyermekétkeztetés támogatása</t>
  </si>
  <si>
    <t>Rászoruló gyermekek szünidei étkeztetésének támogatása</t>
  </si>
  <si>
    <t>Bölcsöde támogatása</t>
  </si>
  <si>
    <t>Könyvtári, közművelődési és múzeumi feladatok támogatása</t>
  </si>
  <si>
    <t>Támogatott szervezet neve</t>
  </si>
  <si>
    <t>Támogatás célja</t>
  </si>
  <si>
    <t>Támogatás összge</t>
  </si>
  <si>
    <t xml:space="preserve">Polgárőr Egyesület </t>
  </si>
  <si>
    <t>működési támogatás</t>
  </si>
  <si>
    <t>29.</t>
  </si>
  <si>
    <t>30.</t>
  </si>
  <si>
    <t>31.</t>
  </si>
  <si>
    <t>32.</t>
  </si>
  <si>
    <t>33.</t>
  </si>
  <si>
    <t>Önkormányzat működési támogatásai</t>
  </si>
  <si>
    <t>Közhatalmi bevételek (4.1.+4.2.+4.3.+4.4.)</t>
  </si>
  <si>
    <t>Magánszermélyek kommunális adója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</si>
  <si>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</si>
  <si>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</si>
  <si>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</si>
  <si>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</si>
  <si>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</si>
  <si>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</si>
  <si>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</si>
  <si>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</si>
  <si>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</si>
  <si>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Út /Petőfi Sándor u./ Magyar Falu program</t>
  </si>
  <si>
    <t xml:space="preserve">      a) szociális célú tüzifa /önerő/</t>
  </si>
  <si>
    <t xml:space="preserve">      j) rendszeres gyermekvédelmi kedvezm. részesülők támogatása</t>
  </si>
  <si>
    <t>Vis maior út helyreállítás</t>
  </si>
  <si>
    <t xml:space="preserve">   Államháztartáson belüli megelőlegezések</t>
  </si>
  <si>
    <t xml:space="preserve">5. sz. módosítás </t>
  </si>
  <si>
    <t>5.számú módosítás utáni előirányzat</t>
  </si>
  <si>
    <t xml:space="preserve">1.-5. sz. módosítás </t>
  </si>
  <si>
    <t>5.sz. módosítás</t>
  </si>
  <si>
    <t>Módosítások összesen 2021.05.27.-ig</t>
  </si>
  <si>
    <t>5. számú módosítás utáni előirányzat</t>
  </si>
  <si>
    <t>5. sz. módosítás</t>
  </si>
  <si>
    <t>SÁGVÁR KÖZSÉG ÖNKORMÁNYZAT adósságot keletkeztető ügyletekből és kezességvállalásokból fennálló kötelezettségei</t>
  </si>
  <si>
    <t xml:space="preserve"> Saját bevételek</t>
  </si>
  <si>
    <t>a helyi adóból származó bevétel</t>
  </si>
  <si>
    <t>az önkormányzati vagyon és az önkormányzatot megillető vagyoni értékű jog értékesítéséből és hasznosításából származó bevétel</t>
  </si>
  <si>
    <t>az osztalék, a koncessziós díj és a hozambevétel</t>
  </si>
  <si>
    <t>a tárgyi eszköz és az immateriális jószág, részvény, részesedés, vállalat értékesítéséből vagy privatizációból származó bevétel</t>
  </si>
  <si>
    <t>bírság-, pótlék- és díjbevétel</t>
  </si>
  <si>
    <t>a kezességvállalással kapcsolatos megtérülés.</t>
  </si>
  <si>
    <t>Adósságot keletkeztető ügyletek</t>
  </si>
  <si>
    <t xml:space="preserve">hitelből, kölcsönből eredő fizetés kötelezettség </t>
  </si>
  <si>
    <t xml:space="preserve">hitelviszonyt megtestesítő értékpapírból eredő fizetési kötelezettség </t>
  </si>
  <si>
    <t xml:space="preserve">adott váltóból eredő fizetési  kötelezettség </t>
  </si>
  <si>
    <t xml:space="preserve">pénzügyi lízingből eredő fizetési kötelezettség 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</si>
  <si>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</si>
  <si>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</si>
  <si>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összege.</t>
  </si>
  <si>
    <t>SÁGVÁR KÖZSÉG ÖNKORMÁNYZAT saját bevételeinek részletezése az adósságot keletkeztető ügyletből származó tárgyévi fizetési kötelezettség megállapításához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</si>
  <si>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</si>
  <si>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</si>
  <si>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</si>
  <si>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</si>
  <si>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</si>
  <si>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</si>
  <si>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</si>
  <si>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</si>
  <si>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</si>
  <si>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1.1. B E V É T E L E K</t>
  </si>
  <si>
    <t>1.2. K I A D Á S O K</t>
  </si>
  <si>
    <t>1.3. KÖLTSÉGVETÉSI, FINANSZÍROZÁSI BEVÉTELEK ÉS KIADÁSOK EGYENLEGE</t>
  </si>
  <si>
    <t>2.1. B E V É T E L E K</t>
  </si>
  <si>
    <t>2.2. K I A D Á S O K</t>
  </si>
  <si>
    <t>2.3. KÖLTSÉGVETÉSI, FINANSZÍROZÁSI BEVÉTELEK ÉS KIADÁSOK EGYENLEGE</t>
  </si>
  <si>
    <t>3.1. B E V É T E L E K</t>
  </si>
  <si>
    <t>3.2. K I A D Á S O K</t>
  </si>
  <si>
    <t>3.3. KÖLTSÉGVETÉSI, FINANSZÍROZÁSI BEVÉTELEK ÉS KIADÁSOK EGYENLEGE</t>
  </si>
  <si>
    <t>4.1. B E V É T E L E K</t>
  </si>
  <si>
    <t>4.2. K I A D Á S O K</t>
  </si>
  <si>
    <t>4.3. KÖLTSÉGVETÉSI, FINANSZÍROZÁSI BEVÉTELEK ÉS KIADÁSOK EGYENLEGE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</si>
</sst>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66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8"/>
      <name val="Verdana"/>
      <family val="2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  <font>
      <sz val="7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9" fillId="0" borderId="0"/>
    <xf numFmtId="0" fontId="9" fillId="0" borderId="0"/>
  </cellStyleXfs>
  <cellXfs count="795">
    <xf numFmtId="0" fontId="0" fillId="0" borderId="0" xfId="0"/>
    <xf numFmtId="0" fontId="0" fillId="0" borderId="0" xfId="0" applyFill="1" applyAlignment="1">
      <alignment vertical="center" wrapText="1"/>
    </xf>
    <xf numFmtId="0" fontId="15" fillId="0" borderId="1" xfId="7" applyFont="1" applyFill="1" applyBorder="1" applyAlignment="1" applyProtection="1">
      <alignment horizontal="left" vertical="center" wrapText="1" indent="1"/>
    </xf>
    <xf numFmtId="0" fontId="15" fillId="0" borderId="2" xfId="7" applyFont="1" applyFill="1" applyBorder="1" applyAlignment="1" applyProtection="1">
      <alignment horizontal="left" vertical="center" wrapText="1" indent="1"/>
    </xf>
    <xf numFmtId="0" fontId="15" fillId="0" borderId="3" xfId="7" applyFont="1" applyFill="1" applyBorder="1" applyAlignment="1" applyProtection="1">
      <alignment horizontal="left" vertical="center" wrapText="1" indent="1"/>
    </xf>
    <xf numFmtId="0" fontId="15" fillId="0" borderId="4" xfId="7" applyFont="1" applyFill="1" applyBorder="1" applyAlignment="1" applyProtection="1">
      <alignment horizontal="left" vertical="center" wrapText="1" indent="1"/>
    </xf>
    <xf numFmtId="0" fontId="15" fillId="0" borderId="5" xfId="7" applyFont="1" applyFill="1" applyBorder="1" applyAlignment="1" applyProtection="1">
      <alignment horizontal="left" vertical="center" wrapText="1" indent="1"/>
    </xf>
    <xf numFmtId="0" fontId="15" fillId="0" borderId="6" xfId="7" applyFont="1" applyFill="1" applyBorder="1" applyAlignment="1" applyProtection="1">
      <alignment horizontal="left" vertical="center" wrapText="1" indent="1"/>
    </xf>
    <xf numFmtId="49" fontId="15" fillId="0" borderId="7" xfId="7" applyNumberFormat="1" applyFont="1" applyFill="1" applyBorder="1" applyAlignment="1" applyProtection="1">
      <alignment horizontal="left" vertical="center" wrapText="1" indent="1"/>
    </xf>
    <xf numFmtId="49" fontId="15" fillId="0" borderId="8" xfId="7" applyNumberFormat="1" applyFont="1" applyFill="1" applyBorder="1" applyAlignment="1" applyProtection="1">
      <alignment horizontal="left" vertical="center" wrapText="1" indent="1"/>
    </xf>
    <xf numFmtId="49" fontId="15" fillId="0" borderId="9" xfId="7" applyNumberFormat="1" applyFont="1" applyFill="1" applyBorder="1" applyAlignment="1" applyProtection="1">
      <alignment horizontal="left" vertical="center" wrapText="1" indent="1"/>
    </xf>
    <xf numFmtId="49" fontId="15" fillId="0" borderId="10" xfId="7" applyNumberFormat="1" applyFont="1" applyFill="1" applyBorder="1" applyAlignment="1" applyProtection="1">
      <alignment horizontal="left" vertical="center" wrapText="1" indent="1"/>
    </xf>
    <xf numFmtId="49" fontId="15" fillId="0" borderId="11" xfId="7" applyNumberFormat="1" applyFont="1" applyFill="1" applyBorder="1" applyAlignment="1" applyProtection="1">
      <alignment horizontal="left" vertical="center" wrapText="1" indent="1"/>
    </xf>
    <xf numFmtId="49" fontId="15" fillId="0" borderId="12" xfId="7" applyNumberFormat="1" applyFont="1" applyFill="1" applyBorder="1" applyAlignment="1" applyProtection="1">
      <alignment horizontal="left" vertical="center" wrapText="1" indent="1"/>
    </xf>
    <xf numFmtId="0" fontId="15" fillId="0" borderId="0" xfId="7" applyFont="1" applyFill="1" applyBorder="1" applyAlignment="1" applyProtection="1">
      <alignment horizontal="left" vertical="center" wrapText="1" indent="1"/>
    </xf>
    <xf numFmtId="0" fontId="14" fillId="0" borderId="13" xfId="7" applyFont="1" applyFill="1" applyBorder="1" applyAlignment="1" applyProtection="1">
      <alignment horizontal="left" vertical="center" wrapText="1" indent="1"/>
    </xf>
    <xf numFmtId="0" fontId="14" fillId="0" borderId="14" xfId="7" applyFont="1" applyFill="1" applyBorder="1" applyAlignment="1" applyProtection="1">
      <alignment horizontal="left" vertical="center" wrapText="1" indent="1"/>
    </xf>
    <xf numFmtId="0" fontId="14" fillId="0" borderId="15" xfId="7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0" fontId="14" fillId="0" borderId="14" xfId="7" applyFont="1" applyFill="1" applyBorder="1" applyAlignment="1" applyProtection="1">
      <alignment vertical="center" wrapText="1"/>
    </xf>
    <xf numFmtId="0" fontId="14" fillId="0" borderId="16" xfId="7" applyFont="1" applyFill="1" applyBorder="1" applyAlignment="1" applyProtection="1">
      <alignment vertical="center" wrapText="1"/>
    </xf>
    <xf numFmtId="0" fontId="14" fillId="0" borderId="13" xfId="7" applyFont="1" applyFill="1" applyBorder="1" applyAlignment="1" applyProtection="1">
      <alignment horizontal="center" vertical="center" wrapText="1"/>
    </xf>
    <xf numFmtId="0" fontId="14" fillId="0" borderId="14" xfId="7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 applyProtection="1">
      <alignment horizontal="right" wrapText="1"/>
    </xf>
    <xf numFmtId="164" fontId="14" fillId="0" borderId="17" xfId="0" applyNumberFormat="1" applyFont="1" applyFill="1" applyBorder="1" applyAlignment="1" applyProtection="1">
      <alignment horizontal="center" vertical="center" wrapText="1"/>
    </xf>
    <xf numFmtId="164" fontId="14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5" fillId="0" borderId="19" xfId="0" applyNumberFormat="1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4" xfId="0" applyNumberFormat="1" applyFont="1" applyFill="1" applyBorder="1" applyAlignment="1" applyProtection="1">
      <alignment vertical="center" wrapText="1"/>
    </xf>
    <xf numFmtId="164" fontId="14" fillId="0" borderId="20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64" fontId="14" fillId="2" borderId="14" xfId="0" applyNumberFormat="1" applyFont="1" applyFill="1" applyBorder="1" applyAlignment="1" applyProtection="1">
      <alignment vertical="center" wrapText="1"/>
    </xf>
    <xf numFmtId="164" fontId="1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14" xfId="7" applyFont="1" applyFill="1" applyBorder="1" applyAlignment="1" applyProtection="1">
      <alignment horizontal="left" vertical="center" wrapText="1" indent="1"/>
    </xf>
    <xf numFmtId="164" fontId="21" fillId="0" borderId="13" xfId="0" applyNumberFormat="1" applyFont="1" applyFill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/>
    </xf>
    <xf numFmtId="0" fontId="15" fillId="0" borderId="2" xfId="7" applyFont="1" applyFill="1" applyBorder="1" applyAlignment="1" applyProtection="1">
      <alignment horizontal="left" indent="6"/>
    </xf>
    <xf numFmtId="0" fontId="15" fillId="0" borderId="2" xfId="7" applyFont="1" applyFill="1" applyBorder="1" applyAlignment="1" applyProtection="1">
      <alignment horizontal="left" vertical="center" wrapText="1" indent="6"/>
    </xf>
    <xf numFmtId="0" fontId="15" fillId="0" borderId="6" xfId="7" applyFont="1" applyFill="1" applyBorder="1" applyAlignment="1" applyProtection="1">
      <alignment horizontal="left" vertical="center" wrapText="1" indent="6"/>
    </xf>
    <xf numFmtId="0" fontId="15" fillId="0" borderId="22" xfId="7" applyFont="1" applyFill="1" applyBorder="1" applyAlignment="1" applyProtection="1">
      <alignment horizontal="left" vertical="center" wrapText="1" indent="6"/>
    </xf>
    <xf numFmtId="0" fontId="31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6" fillId="0" borderId="0" xfId="0" applyFont="1" applyFill="1" applyProtection="1"/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4" fillId="0" borderId="24" xfId="7" applyNumberFormat="1" applyFont="1" applyFill="1" applyBorder="1" applyAlignment="1" applyProtection="1">
      <alignment horizontal="right" vertical="center" wrapText="1" indent="1"/>
    </xf>
    <xf numFmtId="0" fontId="20" fillId="0" borderId="14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19" fillId="0" borderId="6" xfId="0" applyFont="1" applyBorder="1" applyAlignment="1" applyProtection="1">
      <alignment horizontal="left" vertical="center" wrapText="1" indent="1"/>
    </xf>
    <xf numFmtId="0" fontId="20" fillId="0" borderId="17" xfId="0" applyFont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 vertical="center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13" xfId="0" applyNumberFormat="1" applyFont="1" applyFill="1" applyBorder="1" applyAlignment="1" applyProtection="1">
      <alignment horizontal="centerContinuous" vertical="center" wrapText="1"/>
    </xf>
    <xf numFmtId="164" fontId="6" fillId="0" borderId="14" xfId="0" applyNumberFormat="1" applyFont="1" applyFill="1" applyBorder="1" applyAlignment="1" applyProtection="1">
      <alignment horizontal="centerContinuous" vertical="center" wrapText="1"/>
    </xf>
    <xf numFmtId="164" fontId="6" fillId="0" borderId="20" xfId="0" applyNumberFormat="1" applyFont="1" applyFill="1" applyBorder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1" fillId="0" borderId="26" xfId="0" applyNumberFormat="1" applyFont="1" applyFill="1" applyBorder="1" applyAlignment="1" applyProtection="1">
      <alignment horizontal="center" vertical="center" wrapText="1"/>
    </xf>
    <xf numFmtId="164" fontId="21" fillId="0" borderId="13" xfId="0" applyNumberFormat="1" applyFont="1" applyFill="1" applyBorder="1" applyAlignment="1" applyProtection="1">
      <alignment horizontal="center" vertical="center" wrapText="1"/>
    </xf>
    <xf numFmtId="164" fontId="21" fillId="0" borderId="14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5" fillId="0" borderId="8" xfId="0" applyNumberFormat="1" applyFont="1" applyFill="1" applyBorder="1" applyAlignment="1" applyProtection="1">
      <alignment horizontal="left" vertical="center" wrapText="1" indent="1"/>
    </xf>
    <xf numFmtId="164" fontId="15" fillId="0" borderId="29" xfId="0" applyNumberFormat="1" applyFont="1" applyFill="1" applyBorder="1" applyAlignment="1" applyProtection="1">
      <alignment horizontal="left" vertical="center" wrapText="1" indent="1"/>
    </xf>
    <xf numFmtId="164" fontId="24" fillId="0" borderId="26" xfId="0" applyNumberFormat="1" applyFon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applyNumberFormat="1" applyFont="1" applyFill="1" applyBorder="1" applyAlignment="1" applyProtection="1">
      <alignment horizontal="left" vertical="center" wrapText="1" indent="2"/>
    </xf>
    <xf numFmtId="164" fontId="22" fillId="0" borderId="2" xfId="0" applyNumberFormat="1" applyFont="1" applyFill="1" applyBorder="1" applyAlignment="1" applyProtection="1">
      <alignment horizontal="left" vertical="center" wrapText="1" indent="2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2"/>
    </xf>
    <xf numFmtId="164" fontId="15" fillId="0" borderId="10" xfId="0" applyNumberFormat="1" applyFont="1" applyFill="1" applyBorder="1" applyAlignment="1" applyProtection="1">
      <alignment horizontal="left" vertical="center" wrapText="1" indent="2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1" fillId="0" borderId="24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18" xfId="0" applyFont="1" applyBorder="1" applyAlignment="1" applyProtection="1">
      <alignment horizontal="left" vertical="center" wrapText="1" indent="1"/>
    </xf>
    <xf numFmtId="0" fontId="9" fillId="0" borderId="0" xfId="7" applyFont="1" applyFill="1" applyProtection="1"/>
    <xf numFmtId="0" fontId="9" fillId="0" borderId="0" xfId="7" applyFont="1" applyFill="1" applyAlignment="1" applyProtection="1">
      <alignment horizontal="right" vertical="center" indent="1"/>
    </xf>
    <xf numFmtId="0" fontId="32" fillId="0" borderId="0" xfId="0" applyFont="1" applyFill="1" applyAlignment="1" applyProtection="1">
      <alignment horizontal="left" vertical="center" wrapText="1"/>
    </xf>
    <xf numFmtId="0" fontId="32" fillId="0" borderId="0" xfId="0" applyFont="1" applyFill="1" applyAlignment="1" applyProtection="1">
      <alignment vertical="center" wrapText="1"/>
    </xf>
    <xf numFmtId="0" fontId="32" fillId="0" borderId="0" xfId="0" applyFont="1" applyFill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15" fillId="0" borderId="7" xfId="0" applyNumberFormat="1" applyFont="1" applyFill="1" applyBorder="1" applyAlignment="1" applyProtection="1">
      <alignment horizontal="left" vertical="center" wrapText="1" indent="1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7" applyNumberFormat="1" applyFont="1" applyFill="1" applyBorder="1" applyAlignment="1" applyProtection="1">
      <alignment horizontal="right" vertical="center" wrapText="1" indent="1"/>
    </xf>
    <xf numFmtId="164" fontId="14" fillId="0" borderId="1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center" vertical="center" wrapText="1"/>
    </xf>
    <xf numFmtId="0" fontId="14" fillId="0" borderId="15" xfId="7" applyFont="1" applyFill="1" applyBorder="1" applyAlignment="1" applyProtection="1">
      <alignment horizontal="center" vertical="center" wrapText="1"/>
    </xf>
    <xf numFmtId="0" fontId="14" fillId="0" borderId="16" xfId="7" applyFont="1" applyFill="1" applyBorder="1" applyAlignment="1" applyProtection="1">
      <alignment horizontal="center" vertical="center" wrapText="1"/>
    </xf>
    <xf numFmtId="0" fontId="15" fillId="0" borderId="3" xfId="7" applyFont="1" applyFill="1" applyBorder="1" applyAlignment="1" applyProtection="1">
      <alignment horizontal="left" vertical="center" wrapText="1" indent="6"/>
    </xf>
    <xf numFmtId="0" fontId="9" fillId="0" borderId="0" xfId="7" applyFill="1" applyProtection="1"/>
    <xf numFmtId="0" fontId="15" fillId="0" borderId="0" xfId="7" applyFont="1" applyFill="1" applyProtection="1"/>
    <xf numFmtId="0" fontId="12" fillId="0" borderId="0" xfId="7" applyFont="1" applyFill="1" applyProtection="1"/>
    <xf numFmtId="0" fontId="19" fillId="0" borderId="3" xfId="0" applyFont="1" applyBorder="1" applyAlignment="1" applyProtection="1">
      <alignment horizontal="left" wrapText="1" indent="1"/>
    </xf>
    <xf numFmtId="0" fontId="19" fillId="0" borderId="2" xfId="0" applyFont="1" applyBorder="1" applyAlignment="1" applyProtection="1">
      <alignment horizontal="left" wrapText="1" indent="1"/>
    </xf>
    <xf numFmtId="0" fontId="19" fillId="0" borderId="6" xfId="0" applyFont="1" applyBorder="1" applyAlignment="1" applyProtection="1">
      <alignment horizontal="left" wrapText="1" indent="1"/>
    </xf>
    <xf numFmtId="0" fontId="19" fillId="0" borderId="9" xfId="0" applyFont="1" applyBorder="1" applyAlignment="1" applyProtection="1">
      <alignment wrapText="1"/>
    </xf>
    <xf numFmtId="0" fontId="19" fillId="0" borderId="8" xfId="0" applyFont="1" applyBorder="1" applyAlignment="1" applyProtection="1">
      <alignment wrapText="1"/>
    </xf>
    <xf numFmtId="0" fontId="19" fillId="0" borderId="10" xfId="0" applyFont="1" applyBorder="1" applyAlignment="1" applyProtection="1">
      <alignment wrapText="1"/>
    </xf>
    <xf numFmtId="0" fontId="20" fillId="0" borderId="14" xfId="0" applyFont="1" applyBorder="1" applyAlignment="1" applyProtection="1">
      <alignment wrapText="1"/>
    </xf>
    <xf numFmtId="0" fontId="20" fillId="0" borderId="18" xfId="0" applyFont="1" applyBorder="1" applyAlignment="1" applyProtection="1">
      <alignment wrapText="1"/>
    </xf>
    <xf numFmtId="0" fontId="9" fillId="0" borderId="0" xfId="7" applyFill="1" applyAlignment="1" applyProtection="1"/>
    <xf numFmtId="0" fontId="17" fillId="0" borderId="0" xfId="7" applyFont="1" applyFill="1" applyProtection="1"/>
    <xf numFmtId="0" fontId="16" fillId="0" borderId="0" xfId="7" applyFont="1" applyFill="1" applyProtection="1"/>
    <xf numFmtId="164" fontId="15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5" fillId="0" borderId="9" xfId="7" applyNumberFormat="1" applyFont="1" applyFill="1" applyBorder="1" applyAlignment="1" applyProtection="1">
      <alignment horizontal="center" vertical="center" wrapText="1"/>
    </xf>
    <xf numFmtId="49" fontId="15" fillId="0" borderId="8" xfId="7" applyNumberFormat="1" applyFont="1" applyFill="1" applyBorder="1" applyAlignment="1" applyProtection="1">
      <alignment horizontal="center" vertical="center" wrapText="1"/>
    </xf>
    <xf numFmtId="49" fontId="15" fillId="0" borderId="10" xfId="7" applyNumberFormat="1" applyFont="1" applyFill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wrapText="1"/>
    </xf>
    <xf numFmtId="0" fontId="19" fillId="0" borderId="9" xfId="0" applyFont="1" applyBorder="1" applyAlignment="1" applyProtection="1">
      <alignment horizontal="center" wrapText="1"/>
    </xf>
    <xf numFmtId="0" fontId="19" fillId="0" borderId="8" xfId="0" applyFont="1" applyBorder="1" applyAlignment="1" applyProtection="1">
      <alignment horizontal="center" wrapText="1"/>
    </xf>
    <xf numFmtId="0" fontId="19" fillId="0" borderId="10" xfId="0" applyFont="1" applyBorder="1" applyAlignment="1" applyProtection="1">
      <alignment horizontal="center" wrapText="1"/>
    </xf>
    <xf numFmtId="0" fontId="20" fillId="0" borderId="17" xfId="0" applyFont="1" applyBorder="1" applyAlignment="1" applyProtection="1">
      <alignment horizontal="center" wrapText="1"/>
    </xf>
    <xf numFmtId="49" fontId="15" fillId="0" borderId="11" xfId="7" applyNumberFormat="1" applyFont="1" applyFill="1" applyBorder="1" applyAlignment="1" applyProtection="1">
      <alignment horizontal="center" vertical="center" wrapText="1"/>
    </xf>
    <xf numFmtId="49" fontId="15" fillId="0" borderId="7" xfId="7" applyNumberFormat="1" applyFont="1" applyFill="1" applyBorder="1" applyAlignment="1" applyProtection="1">
      <alignment horizontal="center" vertical="center" wrapText="1"/>
    </xf>
    <xf numFmtId="49" fontId="15" fillId="0" borderId="12" xfId="7" applyNumberFormat="1" applyFont="1" applyFill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164" fontId="21" fillId="0" borderId="24" xfId="7" applyNumberFormat="1" applyFont="1" applyFill="1" applyBorder="1" applyAlignment="1" applyProtection="1">
      <alignment horizontal="right" vertical="center" wrapText="1" indent="1"/>
    </xf>
    <xf numFmtId="164" fontId="15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Border="1" applyAlignment="1" applyProtection="1">
      <alignment vertical="center" wrapText="1"/>
    </xf>
    <xf numFmtId="0" fontId="20" fillId="0" borderId="17" xfId="0" applyFont="1" applyBorder="1" applyAlignment="1" applyProtection="1">
      <alignment vertical="center" wrapText="1"/>
    </xf>
    <xf numFmtId="164" fontId="14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7" xfId="7" applyFont="1" applyFill="1" applyBorder="1" applyAlignment="1" applyProtection="1">
      <alignment horizontal="left" vertical="center" wrapText="1" indent="1"/>
    </xf>
    <xf numFmtId="0" fontId="14" fillId="0" borderId="18" xfId="7" applyFont="1" applyFill="1" applyBorder="1" applyAlignment="1" applyProtection="1">
      <alignment vertical="center" wrapText="1"/>
    </xf>
    <xf numFmtId="0" fontId="15" fillId="0" borderId="22" xfId="7" applyFont="1" applyFill="1" applyBorder="1" applyAlignment="1" applyProtection="1">
      <alignment horizontal="left" vertical="center" wrapText="1" indent="7"/>
    </xf>
    <xf numFmtId="0" fontId="14" fillId="0" borderId="13" xfId="7" applyFont="1" applyFill="1" applyBorder="1" applyAlignment="1" applyProtection="1">
      <alignment horizontal="left" vertical="center" wrapText="1"/>
    </xf>
    <xf numFmtId="49" fontId="21" fillId="0" borderId="13" xfId="7" applyNumberFormat="1" applyFont="1" applyFill="1" applyBorder="1" applyAlignment="1" applyProtection="1">
      <alignment horizontal="center" vertical="center" wrapText="1"/>
    </xf>
    <xf numFmtId="164" fontId="14" fillId="0" borderId="34" xfId="7" applyNumberFormat="1" applyFont="1" applyFill="1" applyBorder="1" applyAlignment="1" applyProtection="1">
      <alignment horizontal="right" vertical="center" wrapText="1" indent="1"/>
    </xf>
    <xf numFmtId="164" fontId="14" fillId="0" borderId="35" xfId="7" applyNumberFormat="1" applyFont="1" applyFill="1" applyBorder="1" applyAlignment="1" applyProtection="1">
      <alignment horizontal="right" vertical="center" wrapText="1" indent="1"/>
    </xf>
    <xf numFmtId="164" fontId="20" fillId="0" borderId="24" xfId="0" applyNumberFormat="1" applyFont="1" applyBorder="1" applyAlignment="1" applyProtection="1">
      <alignment horizontal="right" vertical="center" wrapText="1" indent="1"/>
    </xf>
    <xf numFmtId="164" fontId="18" fillId="0" borderId="24" xfId="0" quotePrefix="1" applyNumberFormat="1" applyFont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7" applyNumberFormat="1" applyFont="1" applyFill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4" xfId="0" quotePrefix="1" applyNumberFormat="1" applyFont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right" vertical="center"/>
    </xf>
    <xf numFmtId="164" fontId="14" fillId="0" borderId="36" xfId="7" applyNumberFormat="1" applyFont="1" applyFill="1" applyBorder="1" applyAlignment="1" applyProtection="1">
      <alignment horizontal="right" vertical="center" wrapText="1" indent="1"/>
    </xf>
    <xf numFmtId="164" fontId="14" fillId="0" borderId="23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7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3" xfId="0" quotePrefix="1" applyNumberFormat="1" applyFont="1" applyBorder="1" applyAlignment="1" applyProtection="1">
      <alignment horizontal="right" vertical="center" wrapText="1" indent="1"/>
    </xf>
    <xf numFmtId="164" fontId="6" fillId="0" borderId="23" xfId="0" applyNumberFormat="1" applyFont="1" applyFill="1" applyBorder="1" applyAlignment="1" applyProtection="1">
      <alignment horizontal="centerContinuous" vertical="center" wrapText="1"/>
    </xf>
    <xf numFmtId="164" fontId="21" fillId="0" borderId="23" xfId="0" applyNumberFormat="1" applyFont="1" applyFill="1" applyBorder="1" applyAlignment="1" applyProtection="1">
      <alignment horizontal="center" vertical="center" wrapText="1"/>
    </xf>
    <xf numFmtId="164" fontId="21" fillId="0" borderId="23" xfId="0" applyNumberFormat="1" applyFont="1" applyFill="1" applyBorder="1" applyAlignment="1" applyProtection="1">
      <alignment horizontal="right" vertical="center" wrapText="1" indent="1"/>
    </xf>
    <xf numFmtId="164" fontId="6" fillId="0" borderId="39" xfId="0" applyNumberFormat="1" applyFont="1" applyFill="1" applyBorder="1" applyAlignment="1" applyProtection="1">
      <alignment horizontal="centerContinuous" vertical="center" wrapText="1"/>
    </xf>
    <xf numFmtId="164" fontId="6" fillId="0" borderId="34" xfId="0" applyNumberFormat="1" applyFont="1" applyFill="1" applyBorder="1" applyAlignment="1" applyProtection="1">
      <alignment horizontal="centerContinuous" vertical="center" wrapText="1"/>
    </xf>
    <xf numFmtId="164" fontId="1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Protection="1"/>
    <xf numFmtId="0" fontId="17" fillId="0" borderId="0" xfId="0" applyFont="1" applyAlignment="1" applyProtection="1">
      <alignment horizontal="center"/>
    </xf>
    <xf numFmtId="0" fontId="29" fillId="0" borderId="0" xfId="0" applyFont="1" applyFill="1" applyProtection="1"/>
    <xf numFmtId="3" fontId="29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Alignment="1" applyProtection="1">
      <alignment horizontal="right" indent="1"/>
    </xf>
    <xf numFmtId="3" fontId="23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0" fontId="26" fillId="0" borderId="0" xfId="0" applyFont="1" applyFill="1" applyProtection="1"/>
    <xf numFmtId="0" fontId="16" fillId="0" borderId="0" xfId="0" applyFont="1" applyProtection="1"/>
    <xf numFmtId="0" fontId="26" fillId="0" borderId="0" xfId="0" applyFont="1" applyProtection="1"/>
    <xf numFmtId="0" fontId="6" fillId="0" borderId="26" xfId="0" applyFont="1" applyFill="1" applyBorder="1" applyAlignment="1" applyProtection="1">
      <alignment horizontal="center" vertical="center" wrapText="1"/>
    </xf>
    <xf numFmtId="164" fontId="22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</xf>
    <xf numFmtId="164" fontId="22" fillId="0" borderId="41" xfId="7" applyNumberFormat="1" applyFont="1" applyFill="1" applyBorder="1" applyAlignment="1" applyProtection="1">
      <alignment horizontal="right" vertical="center" wrapText="1" indent="1"/>
    </xf>
    <xf numFmtId="164" fontId="22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43" xfId="7" applyNumberFormat="1" applyFont="1" applyFill="1" applyBorder="1" applyAlignment="1" applyProtection="1">
      <alignment horizontal="right" vertical="center" wrapText="1" indent="1"/>
    </xf>
    <xf numFmtId="164" fontId="15" fillId="0" borderId="44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</xf>
    <xf numFmtId="164" fontId="15" fillId="0" borderId="6" xfId="0" applyNumberFormat="1" applyFont="1" applyFill="1" applyBorder="1" applyAlignment="1" applyProtection="1">
      <alignment horizontal="right" vertical="center" wrapText="1" indent="1"/>
    </xf>
    <xf numFmtId="164" fontId="22" fillId="0" borderId="2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</xf>
    <xf numFmtId="164" fontId="15" fillId="0" borderId="33" xfId="0" applyNumberFormat="1" applyFont="1" applyFill="1" applyBorder="1" applyAlignment="1" applyProtection="1">
      <alignment horizontal="right" vertical="center" wrapText="1" indent="1"/>
    </xf>
    <xf numFmtId="164" fontId="22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6" xfId="0" applyNumberFormat="1" applyFont="1" applyFill="1" applyBorder="1" applyAlignment="1" applyProtection="1">
      <alignment horizontal="right" vertical="center" wrapText="1" indent="1"/>
    </xf>
    <xf numFmtId="164" fontId="15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33" xfId="0" applyNumberFormat="1" applyFont="1" applyFill="1" applyBorder="1" applyAlignment="1" applyProtection="1">
      <alignment horizontal="right" vertical="center" wrapText="1" indent="1"/>
    </xf>
    <xf numFmtId="0" fontId="4" fillId="0" borderId="34" xfId="0" applyFont="1" applyFill="1" applyBorder="1" applyAlignment="1" applyProtection="1">
      <alignment horizontal="right"/>
    </xf>
    <xf numFmtId="164" fontId="21" fillId="0" borderId="20" xfId="0" applyNumberFormat="1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23" fillId="0" borderId="20" xfId="0" applyNumberFormat="1" applyFont="1" applyFill="1" applyBorder="1" applyAlignment="1" applyProtection="1">
      <alignment horizontal="right" vertical="center" wrapText="1" indent="1"/>
    </xf>
    <xf numFmtId="0" fontId="19" fillId="0" borderId="3" xfId="0" applyFont="1" applyBorder="1" applyAlignment="1">
      <alignment horizontal="left" wrapText="1" indent="1"/>
    </xf>
    <xf numFmtId="0" fontId="19" fillId="0" borderId="1" xfId="0" applyFont="1" applyBorder="1" applyAlignment="1">
      <alignment horizontal="left" vertical="center" wrapText="1" indent="1"/>
    </xf>
    <xf numFmtId="0" fontId="19" fillId="0" borderId="6" xfId="0" applyFont="1" applyBorder="1" applyAlignment="1">
      <alignment horizontal="left" vertical="center" wrapText="1" indent="1"/>
    </xf>
    <xf numFmtId="164" fontId="14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7" xfId="0" applyNumberFormat="1" applyFont="1" applyBorder="1" applyAlignment="1" applyProtection="1">
      <alignment horizontal="right" vertical="center" wrapText="1" indent="1"/>
    </xf>
    <xf numFmtId="164" fontId="20" fillId="0" borderId="47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47" xfId="0" quotePrefix="1" applyNumberFormat="1" applyFont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7" applyNumberFormat="1" applyFont="1" applyFill="1" applyBorder="1" applyAlignment="1" applyProtection="1">
      <alignment horizontal="right" vertical="center" wrapText="1" indent="1"/>
    </xf>
    <xf numFmtId="164" fontId="15" fillId="0" borderId="52" xfId="7" applyNumberFormat="1" applyFont="1" applyFill="1" applyBorder="1" applyAlignment="1" applyProtection="1">
      <alignment horizontal="right" vertical="center" wrapText="1" indent="1"/>
    </xf>
    <xf numFmtId="164" fontId="15" fillId="0" borderId="19" xfId="7" applyNumberFormat="1" applyFont="1" applyFill="1" applyBorder="1" applyAlignment="1" applyProtection="1">
      <alignment horizontal="right" vertical="center" wrapText="1" indent="1"/>
    </xf>
    <xf numFmtId="164" fontId="15" fillId="0" borderId="53" xfId="7" applyNumberFormat="1" applyFont="1" applyFill="1" applyBorder="1" applyAlignment="1" applyProtection="1">
      <alignment horizontal="right" vertical="center" wrapText="1" indent="1"/>
    </xf>
    <xf numFmtId="164" fontId="21" fillId="0" borderId="20" xfId="7" applyNumberFormat="1" applyFont="1" applyFill="1" applyBorder="1" applyAlignment="1" applyProtection="1">
      <alignment horizontal="right" vertical="center" wrapText="1" indent="1"/>
    </xf>
    <xf numFmtId="164" fontId="22" fillId="0" borderId="19" xfId="7" applyNumberFormat="1" applyFont="1" applyFill="1" applyBorder="1" applyAlignment="1" applyProtection="1">
      <alignment horizontal="right" vertical="center" wrapText="1" indent="1"/>
    </xf>
    <xf numFmtId="164" fontId="22" fillId="0" borderId="53" xfId="7" applyNumberFormat="1" applyFont="1" applyFill="1" applyBorder="1" applyAlignment="1" applyProtection="1">
      <alignment horizontal="right" vertical="center" wrapText="1" indent="1"/>
    </xf>
    <xf numFmtId="164" fontId="22" fillId="0" borderId="52" xfId="7" applyNumberFormat="1" applyFont="1" applyFill="1" applyBorder="1" applyAlignment="1" applyProtection="1">
      <alignment horizontal="right" vertical="center" wrapText="1" indent="1"/>
    </xf>
    <xf numFmtId="164" fontId="14" fillId="0" borderId="54" xfId="7" applyNumberFormat="1" applyFont="1" applyFill="1" applyBorder="1" applyAlignment="1" applyProtection="1">
      <alignment horizontal="right" vertical="center" wrapText="1" indent="1"/>
    </xf>
    <xf numFmtId="164" fontId="15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6" xfId="7" applyNumberFormat="1" applyFont="1" applyFill="1" applyBorder="1" applyAlignment="1" applyProtection="1">
      <alignment horizontal="right" vertical="center" wrapText="1" indent="1"/>
    </xf>
    <xf numFmtId="164" fontId="15" fillId="0" borderId="46" xfId="7" applyNumberFormat="1" applyFont="1" applyFill="1" applyBorder="1" applyAlignment="1" applyProtection="1">
      <alignment horizontal="right" vertical="center" wrapText="1" indent="1"/>
    </xf>
    <xf numFmtId="164" fontId="15" fillId="0" borderId="57" xfId="7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Border="1" applyAlignment="1" applyProtection="1">
      <alignment horizontal="right" vertical="center" wrapText="1" indent="1"/>
    </xf>
    <xf numFmtId="164" fontId="18" fillId="0" borderId="20" xfId="0" quotePrefix="1" applyNumberFormat="1" applyFont="1" applyBorder="1" applyAlignment="1" applyProtection="1">
      <alignment horizontal="right" vertical="center" wrapText="1" indent="1"/>
    </xf>
    <xf numFmtId="0" fontId="32" fillId="0" borderId="45" xfId="0" applyFont="1" applyFill="1" applyBorder="1" applyAlignment="1" applyProtection="1">
      <alignment horizontal="right" vertical="center" wrapText="1" indent="1"/>
    </xf>
    <xf numFmtId="0" fontId="32" fillId="0" borderId="47" xfId="0" applyFont="1" applyFill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0" fontId="19" fillId="0" borderId="22" xfId="0" applyFont="1" applyBorder="1" applyAlignment="1" applyProtection="1">
      <alignment wrapText="1"/>
    </xf>
    <xf numFmtId="164" fontId="22" fillId="0" borderId="57" xfId="7" applyNumberFormat="1" applyFont="1" applyFill="1" applyBorder="1" applyAlignment="1" applyProtection="1">
      <alignment horizontal="right" vertical="center" wrapText="1" indent="1"/>
    </xf>
    <xf numFmtId="164" fontId="15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22" xfId="7" applyNumberFormat="1" applyFont="1" applyFill="1" applyBorder="1" applyAlignment="1" applyProtection="1">
      <alignment horizontal="right" vertical="center" wrapText="1" indent="1"/>
    </xf>
    <xf numFmtId="164" fontId="22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2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</xf>
    <xf numFmtId="164" fontId="22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</xf>
    <xf numFmtId="0" fontId="59" fillId="0" borderId="40" xfId="7" applyFont="1" applyFill="1" applyBorder="1" applyAlignment="1" applyProtection="1">
      <alignment horizontal="center" vertical="center" wrapText="1"/>
      <protection locked="0"/>
    </xf>
    <xf numFmtId="0" fontId="59" fillId="0" borderId="22" xfId="7" applyFont="1" applyFill="1" applyBorder="1" applyAlignment="1" applyProtection="1">
      <alignment horizontal="center" vertical="center" wrapText="1"/>
      <protection locked="0"/>
    </xf>
    <xf numFmtId="0" fontId="59" fillId="0" borderId="22" xfId="0" applyFont="1" applyBorder="1" applyAlignment="1" applyProtection="1">
      <alignment horizontal="center" vertical="center" wrapText="1"/>
      <protection locked="0"/>
    </xf>
    <xf numFmtId="0" fontId="59" fillId="0" borderId="57" xfId="7" applyFont="1" applyFill="1" applyBorder="1" applyAlignment="1" applyProtection="1">
      <alignment horizontal="center" vertical="center" wrapText="1"/>
      <protection locked="0"/>
    </xf>
    <xf numFmtId="0" fontId="60" fillId="0" borderId="16" xfId="7" applyFont="1" applyFill="1" applyBorder="1" applyAlignment="1" applyProtection="1">
      <alignment horizontal="center" vertical="center" wrapText="1"/>
    </xf>
    <xf numFmtId="0" fontId="60" fillId="0" borderId="58" xfId="7" applyFont="1" applyFill="1" applyBorder="1" applyAlignment="1" applyProtection="1">
      <alignment horizontal="center" vertical="center" wrapText="1"/>
    </xf>
    <xf numFmtId="164" fontId="60" fillId="0" borderId="23" xfId="0" applyNumberFormat="1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vertical="center" wrapText="1"/>
    </xf>
    <xf numFmtId="164" fontId="22" fillId="0" borderId="44" xfId="7" applyNumberFormat="1" applyFont="1" applyFill="1" applyBorder="1" applyAlignment="1" applyProtection="1">
      <alignment horizontal="right" vertical="center" wrapText="1" indent="1"/>
    </xf>
    <xf numFmtId="0" fontId="61" fillId="0" borderId="1" xfId="0" applyFont="1" applyBorder="1" applyAlignment="1">
      <alignment horizontal="center" vertical="center" wrapText="1"/>
    </xf>
    <xf numFmtId="0" fontId="61" fillId="0" borderId="59" xfId="0" applyFont="1" applyBorder="1" applyAlignment="1">
      <alignment horizontal="center" vertical="center" wrapText="1"/>
    </xf>
    <xf numFmtId="164" fontId="61" fillId="0" borderId="60" xfId="0" applyNumberFormat="1" applyFont="1" applyBorder="1" applyAlignment="1">
      <alignment horizontal="center" vertical="center" wrapText="1"/>
    </xf>
    <xf numFmtId="0" fontId="62" fillId="0" borderId="14" xfId="0" applyFont="1" applyBorder="1" applyAlignment="1" applyProtection="1">
      <alignment horizontal="center" vertical="center" wrapText="1"/>
      <protection locked="0"/>
    </xf>
    <xf numFmtId="0" fontId="62" fillId="0" borderId="23" xfId="0" applyFont="1" applyBorder="1" applyAlignment="1" applyProtection="1">
      <alignment horizontal="center" vertical="center" wrapText="1"/>
      <protection locked="0"/>
    </xf>
    <xf numFmtId="0" fontId="62" fillId="0" borderId="24" xfId="0" applyFont="1" applyBorder="1" applyAlignment="1" applyProtection="1">
      <alignment horizontal="center" vertical="center" wrapText="1"/>
      <protection locked="0"/>
    </xf>
    <xf numFmtId="3" fontId="63" fillId="0" borderId="14" xfId="0" applyNumberFormat="1" applyFont="1" applyFill="1" applyBorder="1" applyAlignment="1" applyProtection="1">
      <alignment horizontal="right" vertical="center" wrapText="1" indent="1"/>
    </xf>
    <xf numFmtId="3" fontId="63" fillId="0" borderId="20" xfId="0" applyNumberFormat="1" applyFont="1" applyFill="1" applyBorder="1" applyAlignment="1" applyProtection="1">
      <alignment horizontal="right" vertical="center" wrapText="1" indent="1"/>
    </xf>
    <xf numFmtId="164" fontId="59" fillId="0" borderId="14" xfId="0" applyNumberFormat="1" applyFont="1" applyFill="1" applyBorder="1" applyAlignment="1" applyProtection="1">
      <alignment horizontal="center" vertical="center" wrapText="1"/>
    </xf>
    <xf numFmtId="164" fontId="59" fillId="0" borderId="13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60" fillId="0" borderId="18" xfId="0" applyNumberFormat="1" applyFont="1" applyFill="1" applyBorder="1" applyAlignment="1" applyProtection="1">
      <alignment horizontal="center" vertical="center" wrapText="1"/>
    </xf>
    <xf numFmtId="164" fontId="60" fillId="0" borderId="61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Border="1" applyAlignment="1" applyProtection="1">
      <alignment horizontal="center" vertical="center" wrapText="1"/>
      <protection locked="0"/>
    </xf>
    <xf numFmtId="164" fontId="59" fillId="0" borderId="23" xfId="0" applyNumberFormat="1" applyFont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Border="1" applyAlignment="1" applyProtection="1">
      <alignment horizontal="center" vertical="center" wrapText="1"/>
      <protection locked="0"/>
    </xf>
    <xf numFmtId="0" fontId="6" fillId="0" borderId="26" xfId="0" quotePrefix="1" applyFont="1" applyFill="1" applyBorder="1" applyAlignment="1" applyProtection="1">
      <alignment horizontal="right" vertical="center" indent="1"/>
      <protection locked="0"/>
    </xf>
    <xf numFmtId="49" fontId="6" fillId="0" borderId="26" xfId="0" applyNumberFormat="1" applyFont="1" applyFill="1" applyBorder="1" applyAlignment="1" applyProtection="1">
      <alignment horizontal="right" vertical="center" indent="1"/>
      <protection locked="0"/>
    </xf>
    <xf numFmtId="0" fontId="19" fillId="0" borderId="6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top" wrapText="1" indent="1"/>
    </xf>
    <xf numFmtId="0" fontId="19" fillId="0" borderId="1" xfId="0" applyFont="1" applyBorder="1" applyAlignment="1" applyProtection="1">
      <alignment horizontal="left" vertical="center" wrapText="1" indent="1"/>
    </xf>
    <xf numFmtId="164" fontId="22" fillId="0" borderId="62" xfId="7" applyNumberFormat="1" applyFont="1" applyFill="1" applyBorder="1" applyAlignment="1" applyProtection="1">
      <alignment horizontal="right" vertical="center" wrapText="1" indent="1"/>
    </xf>
    <xf numFmtId="164" fontId="15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0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34" xfId="0" applyFont="1" applyFill="1" applyBorder="1" applyAlignment="1" applyProtection="1">
      <alignment horizontal="right" vertical="center" wrapText="1" indent="1"/>
    </xf>
    <xf numFmtId="3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164" fontId="14" fillId="0" borderId="21" xfId="7" applyNumberFormat="1" applyFont="1" applyFill="1" applyBorder="1" applyAlignment="1" applyProtection="1">
      <alignment horizontal="right" vertical="center" wrapText="1" indent="1"/>
    </xf>
    <xf numFmtId="164" fontId="14" fillId="0" borderId="61" xfId="7" applyNumberFormat="1" applyFont="1" applyFill="1" applyBorder="1" applyAlignment="1" applyProtection="1">
      <alignment horizontal="right" vertical="center" wrapText="1" indent="1"/>
    </xf>
    <xf numFmtId="164" fontId="15" fillId="0" borderId="6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Border="1" applyAlignment="1" applyProtection="1">
      <alignment horizontal="right" vertical="center" wrapText="1" indent="1"/>
      <protection locked="0"/>
    </xf>
    <xf numFmtId="0" fontId="14" fillId="0" borderId="54" xfId="7" applyFont="1" applyFill="1" applyBorder="1" applyAlignment="1" applyProtection="1">
      <alignment vertical="center" wrapText="1"/>
    </xf>
    <xf numFmtId="164" fontId="14" fillId="0" borderId="58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13" xfId="7" applyNumberFormat="1" applyFont="1" applyFill="1" applyBorder="1" applyAlignment="1" applyProtection="1">
      <alignment horizontal="right" vertical="center" wrapText="1" indent="1"/>
    </xf>
    <xf numFmtId="164" fontId="15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" xfId="0" applyNumberFormat="1" applyFont="1" applyBorder="1" applyAlignment="1" applyProtection="1">
      <alignment horizontal="right" vertical="center" wrapText="1" indent="1"/>
      <protection locked="0"/>
    </xf>
    <xf numFmtId="0" fontId="15" fillId="0" borderId="55" xfId="7" applyFont="1" applyFill="1" applyBorder="1" applyAlignment="1" applyProtection="1">
      <alignment horizontal="left" vertical="center" wrapText="1" indent="1"/>
    </xf>
    <xf numFmtId="0" fontId="15" fillId="0" borderId="25" xfId="7" applyFont="1" applyFill="1" applyBorder="1" applyAlignment="1" applyProtection="1">
      <alignment horizontal="left" vertical="center" wrapText="1" indent="1"/>
    </xf>
    <xf numFmtId="0" fontId="15" fillId="0" borderId="49" xfId="7" applyFont="1" applyFill="1" applyBorder="1" applyAlignment="1" applyProtection="1">
      <alignment horizontal="left" vertical="center" wrapText="1" indent="1"/>
    </xf>
    <xf numFmtId="0" fontId="15" fillId="0" borderId="64" xfId="7" applyFont="1" applyFill="1" applyBorder="1" applyAlignment="1" applyProtection="1">
      <alignment horizontal="left" vertical="center" wrapText="1" indent="6"/>
    </xf>
    <xf numFmtId="0" fontId="15" fillId="0" borderId="25" xfId="7" applyFont="1" applyFill="1" applyBorder="1" applyAlignment="1" applyProtection="1">
      <alignment horizontal="left" indent="6"/>
    </xf>
    <xf numFmtId="0" fontId="15" fillId="0" borderId="25" xfId="7" applyFont="1" applyFill="1" applyBorder="1" applyAlignment="1" applyProtection="1">
      <alignment horizontal="left" vertical="center" wrapText="1" indent="6"/>
    </xf>
    <xf numFmtId="0" fontId="15" fillId="0" borderId="65" xfId="7" applyFont="1" applyFill="1" applyBorder="1" applyAlignment="1" applyProtection="1">
      <alignment horizontal="left" vertical="center" wrapText="1" indent="7"/>
    </xf>
    <xf numFmtId="164" fontId="15" fillId="0" borderId="63" xfId="7" applyNumberFormat="1" applyFont="1" applyFill="1" applyBorder="1" applyAlignment="1" applyProtection="1">
      <alignment horizontal="right" vertical="center" wrapText="1" indent="1"/>
    </xf>
    <xf numFmtId="164" fontId="15" fillId="0" borderId="5" xfId="7" applyNumberFormat="1" applyFont="1" applyFill="1" applyBorder="1" applyAlignment="1" applyProtection="1">
      <alignment horizontal="right" vertical="center" wrapText="1" indent="1"/>
    </xf>
    <xf numFmtId="164" fontId="15" fillId="0" borderId="38" xfId="7" applyNumberFormat="1" applyFont="1" applyFill="1" applyBorder="1" applyAlignment="1" applyProtection="1">
      <alignment horizontal="right" vertical="center" wrapText="1" indent="1"/>
    </xf>
    <xf numFmtId="164" fontId="15" fillId="0" borderId="40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</xf>
    <xf numFmtId="0" fontId="19" fillId="0" borderId="8" xfId="0" applyFont="1" applyFill="1" applyBorder="1" applyAlignment="1">
      <alignment horizontal="left" wrapText="1"/>
    </xf>
    <xf numFmtId="0" fontId="19" fillId="0" borderId="29" xfId="0" applyFont="1" applyFill="1" applyBorder="1" applyAlignment="1">
      <alignment horizontal="left" wrapText="1"/>
    </xf>
    <xf numFmtId="0" fontId="19" fillId="0" borderId="8" xfId="0" applyFont="1" applyFill="1" applyBorder="1" applyAlignment="1">
      <alignment wrapText="1"/>
    </xf>
    <xf numFmtId="0" fontId="19" fillId="0" borderId="8" xfId="0" applyFont="1" applyBorder="1" applyAlignment="1">
      <alignment wrapText="1"/>
    </xf>
    <xf numFmtId="164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3" xfId="0" applyNumberFormat="1" applyFont="1" applyFill="1" applyBorder="1" applyAlignment="1" applyProtection="1">
      <alignment vertical="center" wrapText="1"/>
      <protection locked="0"/>
    </xf>
    <xf numFmtId="49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wrapText="1"/>
    </xf>
    <xf numFmtId="0" fontId="20" fillId="0" borderId="18" xfId="0" applyFont="1" applyBorder="1" applyAlignment="1" applyProtection="1">
      <alignment horizontal="left" vertical="center" wrapText="1" indent="1"/>
    </xf>
    <xf numFmtId="164" fontId="20" fillId="0" borderId="14" xfId="0" quotePrefix="1" applyNumberFormat="1" applyFont="1" applyBorder="1" applyAlignment="1" applyProtection="1">
      <alignment horizontal="right" vertical="center" wrapText="1" indent="1"/>
    </xf>
    <xf numFmtId="164" fontId="20" fillId="0" borderId="23" xfId="0" quotePrefix="1" applyNumberFormat="1" applyFont="1" applyBorder="1" applyAlignment="1" applyProtection="1">
      <alignment horizontal="right" vertical="center" wrapText="1" indent="1"/>
    </xf>
    <xf numFmtId="164" fontId="20" fillId="0" borderId="24" xfId="0" quotePrefix="1" applyNumberFormat="1" applyFont="1" applyBorder="1" applyAlignment="1" applyProtection="1">
      <alignment horizontal="right" vertical="center" wrapText="1" indent="1"/>
    </xf>
    <xf numFmtId="164" fontId="22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" xfId="0" applyNumberFormat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</xf>
    <xf numFmtId="164" fontId="15" fillId="0" borderId="52" xfId="0" applyNumberFormat="1" applyFont="1" applyFill="1" applyBorder="1" applyAlignment="1" applyProtection="1">
      <alignment horizontal="right" vertical="center" wrapText="1" indent="1"/>
    </xf>
    <xf numFmtId="164" fontId="15" fillId="0" borderId="5" xfId="0" applyNumberFormat="1" applyFont="1" applyFill="1" applyBorder="1" applyAlignment="1" applyProtection="1">
      <alignment horizontal="left" vertical="center" wrapText="1" indent="3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</xf>
    <xf numFmtId="164" fontId="22" fillId="0" borderId="52" xfId="0" applyNumberFormat="1" applyFont="1" applyFill="1" applyBorder="1" applyAlignment="1" applyProtection="1">
      <alignment horizontal="right" vertical="center" wrapText="1" indent="1"/>
    </xf>
    <xf numFmtId="3" fontId="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9" xfId="0" applyFill="1" applyBorder="1" applyAlignment="1">
      <alignment vertical="center" wrapText="1"/>
    </xf>
    <xf numFmtId="164" fontId="27" fillId="0" borderId="21" xfId="7" applyNumberFormat="1" applyFont="1" applyFill="1" applyBorder="1" applyAlignment="1" applyProtection="1">
      <alignment horizontal="left" vertical="center"/>
    </xf>
    <xf numFmtId="0" fontId="1" fillId="0" borderId="0" xfId="7" applyFont="1" applyFill="1"/>
    <xf numFmtId="164" fontId="34" fillId="0" borderId="0" xfId="7" applyNumberFormat="1" applyFont="1" applyFill="1" applyBorder="1" applyAlignment="1" applyProtection="1">
      <alignment horizontal="centerContinuous" vertical="center"/>
    </xf>
    <xf numFmtId="0" fontId="35" fillId="0" borderId="0" xfId="0" applyFont="1" applyFill="1" applyBorder="1" applyAlignment="1" applyProtection="1">
      <alignment horizontal="right"/>
    </xf>
    <xf numFmtId="0" fontId="36" fillId="0" borderId="0" xfId="0" applyFont="1" applyFill="1" applyBorder="1" applyAlignment="1" applyProtection="1"/>
    <xf numFmtId="0" fontId="21" fillId="0" borderId="11" xfId="7" applyFont="1" applyFill="1" applyBorder="1" applyAlignment="1" applyProtection="1">
      <alignment horizontal="center" vertical="center" wrapText="1"/>
    </xf>
    <xf numFmtId="0" fontId="21" fillId="0" borderId="4" xfId="7" applyFont="1" applyFill="1" applyBorder="1" applyAlignment="1" applyProtection="1">
      <alignment horizontal="center" vertical="center" wrapText="1"/>
    </xf>
    <xf numFmtId="0" fontId="21" fillId="0" borderId="46" xfId="7" applyFont="1" applyFill="1" applyBorder="1" applyAlignment="1" applyProtection="1">
      <alignment horizontal="center" vertical="center" wrapText="1"/>
    </xf>
    <xf numFmtId="0" fontId="22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center" vertical="center"/>
    </xf>
    <xf numFmtId="0" fontId="21" fillId="0" borderId="20" xfId="7" applyFont="1" applyFill="1" applyBorder="1" applyAlignment="1" applyProtection="1">
      <alignment horizontal="center" vertical="center"/>
    </xf>
    <xf numFmtId="0" fontId="22" fillId="0" borderId="11" xfId="7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>
      <alignment horizontal="left" wrapText="1"/>
    </xf>
    <xf numFmtId="165" fontId="22" fillId="0" borderId="46" xfId="2" applyNumberFormat="1" applyFont="1" applyFill="1" applyBorder="1" applyProtection="1">
      <protection locked="0"/>
    </xf>
    <xf numFmtId="0" fontId="22" fillId="0" borderId="8" xfId="7" applyFont="1" applyFill="1" applyBorder="1" applyAlignment="1" applyProtection="1">
      <alignment horizontal="center" vertical="center"/>
    </xf>
    <xf numFmtId="0" fontId="22" fillId="0" borderId="2" xfId="7" applyFont="1" applyFill="1" applyBorder="1" applyProtection="1">
      <protection locked="0"/>
    </xf>
    <xf numFmtId="165" fontId="22" fillId="0" borderId="19" xfId="2" applyNumberFormat="1" applyFont="1" applyFill="1" applyBorder="1" applyProtection="1">
      <protection locked="0"/>
    </xf>
    <xf numFmtId="0" fontId="22" fillId="0" borderId="10" xfId="7" applyFont="1" applyFill="1" applyBorder="1" applyAlignment="1" applyProtection="1">
      <alignment horizontal="center" vertical="center"/>
    </xf>
    <xf numFmtId="0" fontId="22" fillId="0" borderId="6" xfId="7" applyFont="1" applyFill="1" applyBorder="1" applyProtection="1">
      <protection locked="0"/>
    </xf>
    <xf numFmtId="165" fontId="22" fillId="0" borderId="53" xfId="2" applyNumberFormat="1" applyFont="1" applyFill="1" applyBorder="1" applyProtection="1">
      <protection locked="0"/>
    </xf>
    <xf numFmtId="0" fontId="21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left" vertical="center" wrapText="1"/>
    </xf>
    <xf numFmtId="165" fontId="21" fillId="0" borderId="20" xfId="2" applyNumberFormat="1" applyFont="1" applyFill="1" applyBorder="1" applyProtection="1"/>
    <xf numFmtId="0" fontId="26" fillId="0" borderId="0" xfId="7" applyFont="1" applyFill="1"/>
    <xf numFmtId="0" fontId="0" fillId="0" borderId="0" xfId="0" applyFont="1" applyFill="1" applyBorder="1" applyProtection="1"/>
    <xf numFmtId="0" fontId="0" fillId="0" borderId="0" xfId="0" applyFont="1" applyFill="1" applyBorder="1"/>
    <xf numFmtId="0" fontId="16" fillId="0" borderId="0" xfId="0" applyFont="1" applyFill="1" applyBorder="1" applyProtection="1">
      <protection locked="0"/>
    </xf>
    <xf numFmtId="0" fontId="23" fillId="0" borderId="15" xfId="0" applyFont="1" applyFill="1" applyBorder="1" applyAlignment="1" applyProtection="1">
      <alignment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56" xfId="0" applyFont="1" applyFill="1" applyBorder="1" applyAlignment="1" applyProtection="1">
      <alignment horizontal="center" vertical="center"/>
    </xf>
    <xf numFmtId="49" fontId="22" fillId="0" borderId="11" xfId="0" applyNumberFormat="1" applyFont="1" applyFill="1" applyBorder="1" applyAlignment="1" applyProtection="1">
      <alignment vertical="center"/>
    </xf>
    <xf numFmtId="3" fontId="22" fillId="0" borderId="4" xfId="0" applyNumberFormat="1" applyFont="1" applyFill="1" applyBorder="1" applyAlignment="1" applyProtection="1">
      <alignment vertical="center"/>
      <protection locked="0"/>
    </xf>
    <xf numFmtId="3" fontId="22" fillId="0" borderId="46" xfId="0" applyNumberFormat="1" applyFont="1" applyFill="1" applyBorder="1" applyAlignment="1" applyProtection="1">
      <alignment vertical="center"/>
    </xf>
    <xf numFmtId="49" fontId="25" fillId="0" borderId="8" xfId="0" quotePrefix="1" applyNumberFormat="1" applyFont="1" applyFill="1" applyBorder="1" applyAlignment="1" applyProtection="1">
      <alignment horizontal="left" vertical="center" indent="1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3" fontId="25" fillId="0" borderId="19" xfId="0" applyNumberFormat="1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vertical="center"/>
    </xf>
    <xf numFmtId="3" fontId="22" fillId="0" borderId="2" xfId="0" applyNumberFormat="1" applyFont="1" applyFill="1" applyBorder="1" applyAlignment="1" applyProtection="1">
      <alignment vertical="center"/>
      <protection locked="0"/>
    </xf>
    <xf numFmtId="3" fontId="22" fillId="0" borderId="19" xfId="0" applyNumberFormat="1" applyFont="1" applyFill="1" applyBorder="1" applyAlignment="1" applyProtection="1">
      <alignment vertical="center"/>
    </xf>
    <xf numFmtId="49" fontId="22" fillId="0" borderId="10" xfId="0" applyNumberFormat="1" applyFont="1" applyFill="1" applyBorder="1" applyAlignment="1" applyProtection="1">
      <alignment vertical="center"/>
      <protection locked="0"/>
    </xf>
    <xf numFmtId="3" fontId="22" fillId="0" borderId="6" xfId="0" applyNumberFormat="1" applyFont="1" applyFill="1" applyBorder="1" applyAlignment="1" applyProtection="1">
      <alignment vertical="center"/>
      <protection locked="0"/>
    </xf>
    <xf numFmtId="49" fontId="23" fillId="0" borderId="13" xfId="0" applyNumberFormat="1" applyFont="1" applyFill="1" applyBorder="1" applyAlignment="1" applyProtection="1">
      <alignment vertical="center"/>
    </xf>
    <xf numFmtId="3" fontId="22" fillId="0" borderId="14" xfId="0" applyNumberFormat="1" applyFont="1" applyFill="1" applyBorder="1" applyAlignment="1" applyProtection="1">
      <alignment vertical="center"/>
    </xf>
    <xf numFmtId="3" fontId="22" fillId="0" borderId="2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horizontal="left" vertical="center"/>
    </xf>
    <xf numFmtId="49" fontId="22" fillId="0" borderId="8" xfId="0" applyNumberFormat="1" applyFont="1" applyFill="1" applyBorder="1" applyAlignment="1" applyProtection="1">
      <alignment vertical="center"/>
      <protection locked="0"/>
    </xf>
    <xf numFmtId="49" fontId="23" fillId="0" borderId="0" xfId="0" applyNumberFormat="1" applyFont="1" applyFill="1" applyBorder="1" applyAlignment="1" applyProtection="1">
      <alignment vertical="center"/>
    </xf>
    <xf numFmtId="3" fontId="22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/>
    <xf numFmtId="0" fontId="0" fillId="0" borderId="0" xfId="0" applyFill="1"/>
    <xf numFmtId="0" fontId="38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6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0" fontId="39" fillId="0" borderId="0" xfId="0" applyFont="1" applyFill="1" applyProtection="1"/>
    <xf numFmtId="0" fontId="39" fillId="0" borderId="0" xfId="0" applyFont="1" applyFill="1"/>
    <xf numFmtId="0" fontId="40" fillId="0" borderId="0" xfId="0" applyFont="1" applyFill="1" applyAlignment="1" applyProtection="1">
      <alignment horizontal="right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/>
    </xf>
    <xf numFmtId="0" fontId="22" fillId="0" borderId="3" xfId="0" applyFont="1" applyFill="1" applyBorder="1" applyAlignment="1" applyProtection="1">
      <alignment vertical="center" wrapText="1"/>
    </xf>
    <xf numFmtId="164" fontId="22" fillId="0" borderId="3" xfId="0" applyNumberFormat="1" applyFont="1" applyFill="1" applyBorder="1" applyAlignment="1" applyProtection="1">
      <alignment vertical="center"/>
      <protection locked="0"/>
    </xf>
    <xf numFmtId="164" fontId="21" fillId="0" borderId="52" xfId="0" applyNumberFormat="1" applyFont="1" applyFill="1" applyBorder="1" applyAlignment="1" applyProtection="1">
      <alignment vertical="center"/>
    </xf>
    <xf numFmtId="0" fontId="22" fillId="0" borderId="8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vertical="center" wrapText="1"/>
    </xf>
    <xf numFmtId="164" fontId="22" fillId="0" borderId="2" xfId="0" applyNumberFormat="1" applyFont="1" applyFill="1" applyBorder="1" applyAlignment="1" applyProtection="1">
      <alignment vertical="center"/>
      <protection locked="0"/>
    </xf>
    <xf numFmtId="164" fontId="21" fillId="0" borderId="19" xfId="0" applyNumberFormat="1" applyFont="1" applyFill="1" applyBorder="1" applyAlignment="1" applyProtection="1">
      <alignment vertical="center"/>
    </xf>
    <xf numFmtId="0" fontId="22" fillId="0" borderId="10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>
      <alignment vertical="center" wrapText="1"/>
    </xf>
    <xf numFmtId="164" fontId="22" fillId="0" borderId="6" xfId="0" applyNumberFormat="1" applyFont="1" applyFill="1" applyBorder="1" applyAlignment="1" applyProtection="1">
      <alignment vertical="center"/>
      <protection locked="0"/>
    </xf>
    <xf numFmtId="164" fontId="21" fillId="0" borderId="53" xfId="0" applyNumberFormat="1" applyFont="1" applyFill="1" applyBorder="1" applyAlignment="1" applyProtection="1">
      <alignment vertical="center"/>
    </xf>
    <xf numFmtId="0" fontId="21" fillId="0" borderId="13" xfId="0" applyFont="1" applyFill="1" applyBorder="1" applyAlignment="1" applyProtection="1">
      <alignment horizontal="center" vertical="center"/>
    </xf>
    <xf numFmtId="0" fontId="23" fillId="0" borderId="14" xfId="0" applyFont="1" applyFill="1" applyBorder="1" applyAlignment="1" applyProtection="1">
      <alignment vertical="center" wrapText="1"/>
    </xf>
    <xf numFmtId="164" fontId="21" fillId="0" borderId="14" xfId="0" applyNumberFormat="1" applyFont="1" applyFill="1" applyBorder="1" applyAlignment="1" applyProtection="1">
      <alignment vertical="center"/>
    </xf>
    <xf numFmtId="164" fontId="21" fillId="0" borderId="20" xfId="0" applyNumberFormat="1" applyFont="1" applyFill="1" applyBorder="1" applyAlignment="1" applyProtection="1">
      <alignment vertical="center"/>
    </xf>
    <xf numFmtId="0" fontId="3" fillId="0" borderId="0" xfId="0" applyFont="1" applyFill="1"/>
    <xf numFmtId="0" fontId="0" fillId="0" borderId="66" xfId="0" applyFill="1" applyBorder="1" applyProtection="1"/>
    <xf numFmtId="0" fontId="4" fillId="0" borderId="66" xfId="0" applyFont="1" applyFill="1" applyBorder="1" applyAlignment="1" applyProtection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9" fillId="0" borderId="0" xfId="7" applyFill="1"/>
    <xf numFmtId="0" fontId="9" fillId="0" borderId="0" xfId="7" applyFont="1" applyFill="1" applyAlignment="1">
      <alignment horizontal="right" vertical="center" indent="1"/>
    </xf>
    <xf numFmtId="0" fontId="6" fillId="0" borderId="13" xfId="7" applyFont="1" applyFill="1" applyBorder="1" applyAlignment="1" applyProtection="1">
      <alignment horizontal="center" vertical="center" wrapText="1"/>
    </xf>
    <xf numFmtId="0" fontId="6" fillId="0" borderId="14" xfId="7" applyFont="1" applyFill="1" applyBorder="1" applyAlignment="1" applyProtection="1">
      <alignment horizontal="center" vertical="center" wrapText="1"/>
    </xf>
    <xf numFmtId="0" fontId="6" fillId="0" borderId="23" xfId="7" applyFont="1" applyFill="1" applyBorder="1" applyAlignment="1" applyProtection="1">
      <alignment horizontal="center" vertical="center" wrapText="1"/>
    </xf>
    <xf numFmtId="0" fontId="6" fillId="0" borderId="24" xfId="7" applyFont="1" applyFill="1" applyBorder="1" applyAlignment="1" applyProtection="1">
      <alignment horizontal="center" vertical="center" wrapText="1"/>
    </xf>
    <xf numFmtId="0" fontId="14" fillId="0" borderId="24" xfId="7" applyFont="1" applyFill="1" applyBorder="1" applyAlignment="1" applyProtection="1">
      <alignment horizontal="center" vertical="center" wrapText="1"/>
    </xf>
    <xf numFmtId="0" fontId="15" fillId="0" borderId="0" xfId="7" applyFont="1" applyFill="1"/>
    <xf numFmtId="0" fontId="12" fillId="0" borderId="0" xfId="7" applyFont="1" applyFill="1"/>
    <xf numFmtId="164" fontId="15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7" applyNumberFormat="1" applyFont="1" applyFill="1" applyBorder="1" applyAlignment="1" applyProtection="1">
      <alignment horizontal="right" vertical="center" wrapText="1" indent="1"/>
    </xf>
    <xf numFmtId="0" fontId="12" fillId="0" borderId="29" xfId="7" applyFont="1" applyFill="1" applyBorder="1"/>
    <xf numFmtId="164" fontId="21" fillId="0" borderId="1" xfId="7" applyNumberFormat="1" applyFont="1" applyFill="1" applyBorder="1" applyAlignment="1" applyProtection="1">
      <alignment horizontal="right" vertical="center" wrapText="1" indent="1"/>
    </xf>
    <xf numFmtId="164" fontId="21" fillId="0" borderId="34" xfId="7" applyNumberFormat="1" applyFont="1" applyFill="1" applyBorder="1" applyAlignment="1" applyProtection="1">
      <alignment horizontal="right" vertical="center" wrapText="1" indent="1"/>
    </xf>
    <xf numFmtId="164" fontId="15" fillId="0" borderId="6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6" xfId="0" applyFont="1" applyBorder="1" applyAlignment="1" applyProtection="1">
      <alignment vertical="center" wrapText="1"/>
    </xf>
    <xf numFmtId="0" fontId="17" fillId="0" borderId="0" xfId="7" applyFont="1" applyFill="1"/>
    <xf numFmtId="164" fontId="14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7" applyFont="1" applyFill="1" applyBorder="1"/>
    <xf numFmtId="164" fontId="15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0" applyNumberFormat="1" applyFont="1" applyBorder="1" applyAlignment="1" applyProtection="1">
      <alignment horizontal="right" vertical="center" wrapText="1" indent="1"/>
      <protection locked="0"/>
    </xf>
    <xf numFmtId="0" fontId="16" fillId="0" borderId="0" xfId="7" applyFont="1" applyFill="1"/>
    <xf numFmtId="0" fontId="9" fillId="0" borderId="0" xfId="7" applyFont="1" applyFill="1"/>
    <xf numFmtId="164" fontId="4" fillId="0" borderId="0" xfId="0" applyNumberFormat="1" applyFont="1" applyFill="1" applyAlignment="1" applyProtection="1">
      <alignment horizontal="right"/>
    </xf>
    <xf numFmtId="164" fontId="34" fillId="0" borderId="0" xfId="0" applyNumberFormat="1" applyFont="1" applyFill="1" applyAlignment="1" applyProtection="1">
      <alignment vertical="center"/>
    </xf>
    <xf numFmtId="164" fontId="6" fillId="0" borderId="65" xfId="0" applyNumberFormat="1" applyFont="1" applyFill="1" applyBorder="1" applyAlignment="1" applyProtection="1">
      <alignment horizontal="center" vertical="center"/>
    </xf>
    <xf numFmtId="164" fontId="6" fillId="0" borderId="57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/>
    </xf>
    <xf numFmtId="164" fontId="14" fillId="0" borderId="32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center" vertical="center" wrapText="1"/>
    </xf>
    <xf numFmtId="164" fontId="14" fillId="0" borderId="36" xfId="0" applyNumberFormat="1" applyFont="1" applyFill="1" applyBorder="1" applyAlignment="1" applyProtection="1">
      <alignment horizontal="center" vertical="center" wrapText="1"/>
    </xf>
    <xf numFmtId="164" fontId="14" fillId="0" borderId="20" xfId="0" applyNumberFormat="1" applyFont="1" applyFill="1" applyBorder="1" applyAlignment="1" applyProtection="1">
      <alignment horizontal="center" vertical="center" wrapText="1"/>
    </xf>
    <xf numFmtId="164" fontId="14" fillId="0" borderId="30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 wrapText="1"/>
    </xf>
    <xf numFmtId="164" fontId="14" fillId="0" borderId="13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left" vertical="center" wrapText="1" indent="1"/>
    </xf>
    <xf numFmtId="49" fontId="4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6" xfId="0" applyNumberFormat="1" applyFont="1" applyFill="1" applyBorder="1" applyAlignment="1" applyProtection="1">
      <alignment vertical="center" wrapText="1"/>
    </xf>
    <xf numFmtId="164" fontId="41" fillId="0" borderId="13" xfId="0" applyNumberFormat="1" applyFont="1" applyFill="1" applyBorder="1" applyAlignment="1" applyProtection="1">
      <alignment vertical="center" wrapText="1"/>
    </xf>
    <xf numFmtId="164" fontId="41" fillId="0" borderId="14" xfId="0" applyNumberFormat="1" applyFont="1" applyFill="1" applyBorder="1" applyAlignment="1" applyProtection="1">
      <alignment vertical="center" wrapText="1"/>
    </xf>
    <xf numFmtId="164" fontId="41" fillId="0" borderId="20" xfId="0" applyNumberFormat="1" applyFont="1" applyFill="1" applyBorder="1" applyAlignment="1" applyProtection="1">
      <alignment vertical="center" wrapText="1"/>
    </xf>
    <xf numFmtId="164" fontId="15" fillId="0" borderId="26" xfId="0" applyNumberFormat="1" applyFont="1" applyFill="1" applyBorder="1" applyAlignment="1" applyProtection="1">
      <alignment vertical="center" wrapText="1"/>
    </xf>
    <xf numFmtId="164" fontId="14" fillId="0" borderId="8" xfId="0" applyNumberFormat="1" applyFont="1" applyFill="1" applyBorder="1" applyAlignment="1" applyProtection="1">
      <alignment horizontal="center" vertical="center" wrapText="1"/>
    </xf>
    <xf numFmtId="164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8" xfId="0" applyNumberFormat="1" applyFont="1" applyFill="1" applyBorder="1" applyAlignment="1" applyProtection="1">
      <alignment vertical="center" wrapText="1"/>
      <protection locked="0"/>
    </xf>
    <xf numFmtId="164" fontId="41" fillId="0" borderId="8" xfId="0" applyNumberFormat="1" applyFont="1" applyFill="1" applyBorder="1" applyAlignment="1" applyProtection="1">
      <alignment vertical="center" wrapText="1"/>
      <protection locked="0"/>
    </xf>
    <xf numFmtId="164" fontId="41" fillId="0" borderId="2" xfId="0" applyNumberFormat="1" applyFont="1" applyFill="1" applyBorder="1" applyAlignment="1" applyProtection="1">
      <alignment vertical="center" wrapText="1"/>
      <protection locked="0"/>
    </xf>
    <xf numFmtId="164" fontId="41" fillId="0" borderId="19" xfId="0" applyNumberFormat="1" applyFont="1" applyFill="1" applyBorder="1" applyAlignment="1" applyProtection="1">
      <alignment vertical="center" wrapText="1"/>
      <protection locked="0"/>
    </xf>
    <xf numFmtId="164" fontId="15" fillId="0" borderId="28" xfId="0" applyNumberFormat="1" applyFont="1" applyFill="1" applyBorder="1" applyAlignment="1" applyProtection="1">
      <alignment vertical="center" wrapText="1"/>
    </xf>
    <xf numFmtId="164" fontId="14" fillId="0" borderId="67" xfId="0" applyNumberFormat="1" applyFont="1" applyFill="1" applyBorder="1" applyAlignment="1" applyProtection="1">
      <alignment horizontal="center" vertical="center" wrapText="1"/>
    </xf>
    <xf numFmtId="0" fontId="19" fillId="0" borderId="67" xfId="0" applyFont="1" applyFill="1" applyBorder="1" applyAlignment="1">
      <alignment horizontal="left" wrapText="1"/>
    </xf>
    <xf numFmtId="49" fontId="4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8" xfId="0" applyFont="1" applyFill="1" applyBorder="1" applyAlignment="1">
      <alignment horizontal="left" wrapText="1"/>
    </xf>
    <xf numFmtId="49" fontId="41" fillId="0" borderId="59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30" xfId="0" applyNumberFormat="1" applyFont="1" applyFill="1" applyBorder="1" applyAlignment="1" applyProtection="1">
      <alignment vertical="center" wrapText="1"/>
      <protection locked="0"/>
    </xf>
    <xf numFmtId="164" fontId="41" fillId="0" borderId="7" xfId="0" applyNumberFormat="1" applyFont="1" applyFill="1" applyBorder="1" applyAlignment="1" applyProtection="1">
      <alignment vertical="center" wrapText="1"/>
      <protection locked="0"/>
    </xf>
    <xf numFmtId="164" fontId="41" fillId="0" borderId="1" xfId="0" applyNumberFormat="1" applyFont="1" applyFill="1" applyBorder="1" applyAlignment="1" applyProtection="1">
      <alignment vertical="center" wrapText="1"/>
      <protection locked="0"/>
    </xf>
    <xf numFmtId="164" fontId="41" fillId="0" borderId="62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69" xfId="0" applyNumberFormat="1" applyFont="1" applyFill="1" applyBorder="1" applyAlignment="1" applyProtection="1">
      <alignment vertical="center" wrapText="1"/>
      <protection locked="0"/>
    </xf>
    <xf numFmtId="164" fontId="41" fillId="0" borderId="10" xfId="0" applyNumberFormat="1" applyFont="1" applyFill="1" applyBorder="1" applyAlignment="1" applyProtection="1">
      <alignment vertical="center" wrapText="1"/>
      <protection locked="0"/>
    </xf>
    <xf numFmtId="164" fontId="41" fillId="0" borderId="6" xfId="0" applyNumberFormat="1" applyFont="1" applyFill="1" applyBorder="1" applyAlignment="1" applyProtection="1">
      <alignment vertical="center" wrapText="1"/>
      <protection locked="0"/>
    </xf>
    <xf numFmtId="164" fontId="41" fillId="0" borderId="53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vertical="center" wrapText="1"/>
    </xf>
    <xf numFmtId="164" fontId="21" fillId="0" borderId="26" xfId="0" applyNumberFormat="1" applyFont="1" applyFill="1" applyBorder="1" applyAlignment="1" applyProtection="1">
      <alignment horizontal="left" vertical="center" wrapText="1" indent="1"/>
    </xf>
    <xf numFmtId="164" fontId="1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3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30" xfId="0" applyNumberFormat="1" applyFont="1" applyFill="1" applyBorder="1" applyAlignment="1" applyProtection="1">
      <alignment vertical="center" wrapText="1"/>
    </xf>
    <xf numFmtId="164" fontId="41" fillId="2" borderId="36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 vertical="center"/>
    </xf>
    <xf numFmtId="0" fontId="6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 applyProtection="1">
      <alignment horizontal="left" vertical="center" wrapText="1" indent="1"/>
    </xf>
    <xf numFmtId="164" fontId="2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" xfId="0" applyFont="1" applyFill="1" applyBorder="1" applyAlignment="1" applyProtection="1">
      <alignment horizontal="left" vertical="center" wrapText="1" indent="8"/>
    </xf>
    <xf numFmtId="0" fontId="22" fillId="0" borderId="3" xfId="0" applyFont="1" applyFill="1" applyBorder="1" applyAlignment="1" applyProtection="1">
      <alignment vertical="center" wrapText="1"/>
      <protection locked="0"/>
    </xf>
    <xf numFmtId="0" fontId="22" fillId="0" borderId="2" xfId="0" applyFont="1" applyFill="1" applyBorder="1" applyAlignment="1" applyProtection="1">
      <alignment vertical="center" wrapText="1"/>
      <protection locked="0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 applyProtection="1">
      <alignment vertical="center" wrapText="1"/>
      <protection locked="0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3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 applyProtection="1">
      <alignment vertical="center" wrapText="1"/>
    </xf>
    <xf numFmtId="164" fontId="21" fillId="0" borderId="18" xfId="0" applyNumberFormat="1" applyFont="1" applyFill="1" applyBorder="1" applyAlignment="1" applyProtection="1">
      <alignment vertical="center" wrapText="1"/>
    </xf>
    <xf numFmtId="164" fontId="21" fillId="0" borderId="61" xfId="0" applyNumberFormat="1" applyFont="1" applyFill="1" applyBorder="1" applyAlignment="1" applyProtection="1">
      <alignment vertical="center" wrapText="1"/>
    </xf>
    <xf numFmtId="0" fontId="9" fillId="0" borderId="0" xfId="8" applyFill="1" applyProtection="1">
      <protection locked="0"/>
    </xf>
    <xf numFmtId="0" fontId="9" fillId="0" borderId="0" xfId="8" applyFill="1" applyProtection="1"/>
    <xf numFmtId="0" fontId="4" fillId="0" borderId="0" xfId="0" applyFont="1" applyFill="1" applyAlignment="1">
      <alignment horizontal="right"/>
    </xf>
    <xf numFmtId="0" fontId="23" fillId="0" borderId="15" xfId="8" applyFont="1" applyFill="1" applyBorder="1" applyAlignment="1" applyProtection="1">
      <alignment horizontal="center" vertical="center" wrapText="1"/>
    </xf>
    <xf numFmtId="0" fontId="23" fillId="0" borderId="16" xfId="8" applyFont="1" applyFill="1" applyBorder="1" applyAlignment="1" applyProtection="1">
      <alignment horizontal="center" vertical="center"/>
    </xf>
    <xf numFmtId="0" fontId="23" fillId="0" borderId="56" xfId="8" applyFont="1" applyFill="1" applyBorder="1" applyAlignment="1" applyProtection="1">
      <alignment horizontal="center" vertical="center"/>
    </xf>
    <xf numFmtId="0" fontId="15" fillId="0" borderId="13" xfId="8" applyFont="1" applyFill="1" applyBorder="1" applyAlignment="1" applyProtection="1">
      <alignment horizontal="left" vertical="center" indent="1"/>
    </xf>
    <xf numFmtId="0" fontId="9" fillId="0" borderId="0" xfId="8" applyFill="1" applyAlignment="1" applyProtection="1">
      <alignment vertical="center"/>
    </xf>
    <xf numFmtId="0" fontId="15" fillId="0" borderId="7" xfId="8" applyFont="1" applyFill="1" applyBorder="1" applyAlignment="1" applyProtection="1">
      <alignment horizontal="left" vertical="center" indent="1"/>
    </xf>
    <xf numFmtId="0" fontId="15" fillId="0" borderId="1" xfId="8" applyFont="1" applyFill="1" applyBorder="1" applyAlignment="1" applyProtection="1">
      <alignment horizontal="left" vertical="center" wrapText="1" indent="1"/>
    </xf>
    <xf numFmtId="164" fontId="44" fillId="0" borderId="1" xfId="8" applyNumberFormat="1" applyFont="1" applyFill="1" applyBorder="1" applyAlignment="1" applyProtection="1">
      <alignment vertical="center"/>
      <protection locked="0"/>
    </xf>
    <xf numFmtId="164" fontId="15" fillId="0" borderId="62" xfId="8" applyNumberFormat="1" applyFont="1" applyFill="1" applyBorder="1" applyAlignment="1" applyProtection="1">
      <alignment vertical="center"/>
    </xf>
    <xf numFmtId="0" fontId="15" fillId="0" borderId="8" xfId="8" applyFont="1" applyFill="1" applyBorder="1" applyAlignment="1" applyProtection="1">
      <alignment horizontal="left" vertical="center" indent="1"/>
    </xf>
    <xf numFmtId="0" fontId="15" fillId="0" borderId="2" xfId="8" applyFont="1" applyFill="1" applyBorder="1" applyAlignment="1" applyProtection="1">
      <alignment horizontal="left" vertical="center" wrapText="1" indent="1"/>
    </xf>
    <xf numFmtId="164" fontId="44" fillId="0" borderId="2" xfId="8" applyNumberFormat="1" applyFont="1" applyFill="1" applyBorder="1" applyAlignment="1" applyProtection="1">
      <alignment vertical="center"/>
      <protection locked="0"/>
    </xf>
    <xf numFmtId="164" fontId="15" fillId="0" borderId="19" xfId="8" applyNumberFormat="1" applyFont="1" applyFill="1" applyBorder="1" applyAlignment="1" applyProtection="1">
      <alignment vertical="center"/>
    </xf>
    <xf numFmtId="0" fontId="9" fillId="0" borderId="0" xfId="8" applyFill="1" applyAlignment="1" applyProtection="1">
      <alignment vertical="center"/>
      <protection locked="0"/>
    </xf>
    <xf numFmtId="0" fontId="15" fillId="0" borderId="3" xfId="8" applyFont="1" applyFill="1" applyBorder="1" applyAlignment="1" applyProtection="1">
      <alignment horizontal="left" vertical="center" wrapText="1" indent="1"/>
    </xf>
    <xf numFmtId="164" fontId="44" fillId="0" borderId="3" xfId="8" applyNumberFormat="1" applyFont="1" applyFill="1" applyBorder="1" applyAlignment="1" applyProtection="1">
      <alignment vertical="center"/>
      <protection locked="0"/>
    </xf>
    <xf numFmtId="164" fontId="15" fillId="0" borderId="52" xfId="8" applyNumberFormat="1" applyFont="1" applyFill="1" applyBorder="1" applyAlignment="1" applyProtection="1">
      <alignment vertical="center"/>
    </xf>
    <xf numFmtId="0" fontId="15" fillId="0" borderId="2" xfId="8" applyFont="1" applyFill="1" applyBorder="1" applyAlignment="1" applyProtection="1">
      <alignment horizontal="left" vertical="center" indent="1"/>
    </xf>
    <xf numFmtId="0" fontId="6" fillId="0" borderId="14" xfId="8" applyFont="1" applyFill="1" applyBorder="1" applyAlignment="1" applyProtection="1">
      <alignment horizontal="left" vertical="center" indent="1"/>
    </xf>
    <xf numFmtId="164" fontId="45" fillId="0" borderId="14" xfId="8" applyNumberFormat="1" applyFont="1" applyFill="1" applyBorder="1" applyAlignment="1" applyProtection="1">
      <alignment vertical="center"/>
    </xf>
    <xf numFmtId="164" fontId="14" fillId="0" borderId="20" xfId="8" applyNumberFormat="1" applyFont="1" applyFill="1" applyBorder="1" applyAlignment="1" applyProtection="1">
      <alignment vertical="center"/>
    </xf>
    <xf numFmtId="0" fontId="15" fillId="0" borderId="9" xfId="8" applyFont="1" applyFill="1" applyBorder="1" applyAlignment="1" applyProtection="1">
      <alignment horizontal="left" vertical="center" indent="1"/>
    </xf>
    <xf numFmtId="0" fontId="15" fillId="0" borderId="3" xfId="8" applyFont="1" applyFill="1" applyBorder="1" applyAlignment="1" applyProtection="1">
      <alignment horizontal="left" vertical="center" indent="1"/>
    </xf>
    <xf numFmtId="0" fontId="14" fillId="0" borderId="13" xfId="8" applyFont="1" applyFill="1" applyBorder="1" applyAlignment="1" applyProtection="1">
      <alignment horizontal="left" vertical="center" indent="1"/>
    </xf>
    <xf numFmtId="0" fontId="12" fillId="0" borderId="0" xfId="8" applyFont="1" applyFill="1" applyProtection="1"/>
    <xf numFmtId="0" fontId="26" fillId="0" borderId="0" xfId="8" applyFont="1" applyFill="1" applyProtection="1">
      <protection locked="0"/>
    </xf>
    <xf numFmtId="0" fontId="16" fillId="0" borderId="0" xfId="8" applyFont="1" applyFill="1" applyProtection="1">
      <protection locked="0"/>
    </xf>
    <xf numFmtId="0" fontId="42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56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47" fillId="0" borderId="13" xfId="0" applyFont="1" applyFill="1" applyBorder="1" applyAlignment="1" applyProtection="1">
      <alignment horizontal="center" vertical="center" wrapText="1"/>
    </xf>
    <xf numFmtId="0" fontId="47" fillId="0" borderId="20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>
      <alignment vertical="center"/>
    </xf>
    <xf numFmtId="0" fontId="19" fillId="0" borderId="70" xfId="0" applyFont="1" applyFill="1" applyBorder="1" applyAlignment="1" applyProtection="1">
      <alignment horizontal="left" vertical="center" wrapText="1"/>
      <protection locked="0"/>
    </xf>
    <xf numFmtId="164" fontId="19" fillId="0" borderId="7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72" xfId="0" applyFont="1" applyFill="1" applyBorder="1" applyAlignment="1" applyProtection="1">
      <alignment horizontal="left" vertical="center" wrapText="1"/>
      <protection locked="0"/>
    </xf>
    <xf numFmtId="0" fontId="18" fillId="0" borderId="13" xfId="0" applyFont="1" applyFill="1" applyBorder="1" applyAlignment="1" applyProtection="1">
      <alignment vertical="center" wrapText="1"/>
    </xf>
    <xf numFmtId="164" fontId="20" fillId="0" borderId="2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/>
    </xf>
    <xf numFmtId="0" fontId="24" fillId="0" borderId="56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right" vertical="center" indent="1"/>
    </xf>
    <xf numFmtId="0" fontId="22" fillId="0" borderId="4" xfId="0" applyFont="1" applyBorder="1" applyAlignment="1" applyProtection="1">
      <alignment horizontal="left" vertical="center" indent="1"/>
      <protection locked="0"/>
    </xf>
    <xf numFmtId="3" fontId="49" fillId="0" borderId="46" xfId="0" applyNumberFormat="1" applyFont="1" applyBorder="1" applyAlignment="1" applyProtection="1">
      <alignment horizontal="right" vertical="center" indent="1"/>
      <protection locked="0"/>
    </xf>
    <xf numFmtId="0" fontId="22" fillId="0" borderId="8" xfId="0" applyFont="1" applyBorder="1" applyAlignment="1" applyProtection="1">
      <alignment horizontal="right" vertical="center" indent="1"/>
    </xf>
    <xf numFmtId="0" fontId="22" fillId="0" borderId="2" xfId="0" applyFont="1" applyBorder="1" applyAlignment="1" applyProtection="1">
      <alignment horizontal="left" vertical="center" indent="1"/>
      <protection locked="0"/>
    </xf>
    <xf numFmtId="3" fontId="49" fillId="0" borderId="19" xfId="0" applyNumberFormat="1" applyFont="1" applyBorder="1" applyAlignment="1" applyProtection="1">
      <alignment horizontal="right" vertical="center" indent="1"/>
      <protection locked="0"/>
    </xf>
    <xf numFmtId="3" fontId="49" fillId="0" borderId="19" xfId="0" applyNumberFormat="1" applyFont="1" applyFill="1" applyBorder="1" applyAlignment="1" applyProtection="1">
      <alignment horizontal="right" vertical="center" indent="1"/>
      <protection locked="0"/>
    </xf>
    <xf numFmtId="0" fontId="22" fillId="0" borderId="10" xfId="0" applyFont="1" applyBorder="1" applyAlignment="1" applyProtection="1">
      <alignment horizontal="right" vertical="center" indent="1"/>
    </xf>
    <xf numFmtId="0" fontId="22" fillId="0" borderId="6" xfId="0" applyFont="1" applyBorder="1" applyAlignment="1" applyProtection="1">
      <alignment horizontal="left" vertical="center" indent="1"/>
      <protection locked="0"/>
    </xf>
    <xf numFmtId="3" fontId="49" fillId="0" borderId="53" xfId="0" applyNumberFormat="1" applyFont="1" applyFill="1" applyBorder="1" applyAlignment="1" applyProtection="1">
      <alignment horizontal="right" vertical="center" indent="1"/>
      <protection locked="0"/>
    </xf>
    <xf numFmtId="164" fontId="12" fillId="3" borderId="26" xfId="0" applyNumberFormat="1" applyFont="1" applyFill="1" applyBorder="1" applyAlignment="1" applyProtection="1">
      <alignment horizontal="left" vertical="center" wrapText="1" indent="2"/>
    </xf>
    <xf numFmtId="3" fontId="50" fillId="0" borderId="20" xfId="0" applyNumberFormat="1" applyFont="1" applyFill="1" applyBorder="1" applyAlignment="1" applyProtection="1">
      <alignment horizontal="right" vertical="center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9" xfId="7" applyFont="1" applyFill="1" applyBorder="1" applyAlignment="1" applyProtection="1">
      <alignment horizontal="center" vertical="center" wrapText="1"/>
    </xf>
    <xf numFmtId="0" fontId="5" fillId="0" borderId="39" xfId="7" applyFont="1" applyFill="1" applyBorder="1" applyAlignment="1" applyProtection="1">
      <alignment vertical="center" wrapText="1"/>
    </xf>
    <xf numFmtId="164" fontId="5" fillId="0" borderId="39" xfId="7" applyNumberFormat="1" applyFont="1" applyFill="1" applyBorder="1" applyAlignment="1" applyProtection="1">
      <alignment horizontal="right" vertical="center" wrapText="1" indent="1"/>
    </xf>
    <xf numFmtId="0" fontId="15" fillId="0" borderId="39" xfId="7" applyFont="1" applyFill="1" applyBorder="1" applyAlignment="1" applyProtection="1">
      <alignment horizontal="right" vertical="center" wrapText="1" indent="1"/>
    </xf>
    <xf numFmtId="164" fontId="22" fillId="0" borderId="39" xfId="7" applyNumberFormat="1" applyFont="1" applyFill="1" applyBorder="1" applyAlignment="1" applyProtection="1">
      <alignment horizontal="right" vertical="center" wrapText="1" indent="1"/>
    </xf>
    <xf numFmtId="0" fontId="12" fillId="0" borderId="0" xfId="7" applyFont="1" applyFill="1" applyBorder="1" applyProtection="1"/>
    <xf numFmtId="0" fontId="14" fillId="0" borderId="34" xfId="7" applyFont="1" applyFill="1" applyBorder="1" applyAlignment="1" applyProtection="1">
      <alignment horizontal="center" vertical="center" wrapText="1"/>
    </xf>
    <xf numFmtId="164" fontId="1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8" xfId="7" applyFont="1" applyFill="1" applyBorder="1" applyAlignment="1" applyProtection="1">
      <alignment vertical="center" wrapText="1"/>
    </xf>
    <xf numFmtId="164" fontId="21" fillId="0" borderId="18" xfId="7" applyNumberFormat="1" applyFont="1" applyFill="1" applyBorder="1" applyAlignment="1" applyProtection="1">
      <alignment horizontal="right" vertical="center" wrapText="1" indent="1"/>
    </xf>
    <xf numFmtId="164" fontId="21" fillId="0" borderId="35" xfId="7" applyNumberFormat="1" applyFont="1" applyFill="1" applyBorder="1" applyAlignment="1" applyProtection="1">
      <alignment horizontal="right" vertical="center" wrapText="1" indent="1"/>
    </xf>
    <xf numFmtId="164" fontId="18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18" fillId="0" borderId="24" xfId="0" quotePrefix="1" applyNumberFormat="1" applyFont="1" applyBorder="1" applyAlignment="1" applyProtection="1">
      <alignment horizontal="right" vertical="center" wrapText="1" indent="1"/>
      <protection locked="0"/>
    </xf>
    <xf numFmtId="0" fontId="19" fillId="0" borderId="0" xfId="0" applyFont="1" applyBorder="1" applyAlignment="1">
      <alignment wrapText="1"/>
    </xf>
    <xf numFmtId="164" fontId="60" fillId="0" borderId="20" xfId="0" applyNumberFormat="1" applyFont="1" applyBorder="1" applyAlignment="1" applyProtection="1">
      <alignment horizontal="center" vertical="center" wrapText="1"/>
    </xf>
    <xf numFmtId="164" fontId="15" fillId="0" borderId="73" xfId="0" applyNumberFormat="1" applyFont="1" applyFill="1" applyBorder="1" applyAlignment="1" applyProtection="1">
      <alignment horizontal="right" vertical="center" wrapText="1" inden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ont="1" applyFill="1" applyBorder="1" applyAlignment="1" applyProtection="1">
      <alignment horizontal="left" vertical="center" wrapText="1" indent="1"/>
    </xf>
    <xf numFmtId="0" fontId="19" fillId="0" borderId="63" xfId="0" applyFont="1" applyBorder="1" applyAlignment="1">
      <alignment wrapText="1"/>
    </xf>
    <xf numFmtId="0" fontId="52" fillId="0" borderId="26" xfId="6" applyFont="1" applyBorder="1"/>
    <xf numFmtId="0" fontId="52" fillId="0" borderId="32" xfId="6" applyFont="1" applyBorder="1" applyAlignment="1">
      <alignment horizontal="center"/>
    </xf>
    <xf numFmtId="0" fontId="52" fillId="0" borderId="36" xfId="6" applyFont="1" applyBorder="1" applyAlignment="1">
      <alignment horizontal="center"/>
    </xf>
    <xf numFmtId="0" fontId="52" fillId="0" borderId="14" xfId="6" applyFont="1" applyBorder="1" applyAlignment="1">
      <alignment horizontal="center"/>
    </xf>
    <xf numFmtId="0" fontId="53" fillId="0" borderId="27" xfId="6" applyFont="1" applyBorder="1" applyAlignment="1">
      <alignment horizontal="justify" wrapText="1"/>
    </xf>
    <xf numFmtId="165" fontId="54" fillId="0" borderId="48" xfId="2" applyNumberFormat="1" applyFont="1" applyFill="1" applyBorder="1"/>
    <xf numFmtId="165" fontId="54" fillId="0" borderId="3" xfId="2" applyNumberFormat="1" applyFont="1" applyFill="1" applyBorder="1"/>
    <xf numFmtId="165" fontId="54" fillId="0" borderId="4" xfId="2" applyNumberFormat="1" applyFont="1" applyFill="1" applyBorder="1"/>
    <xf numFmtId="0" fontId="1" fillId="0" borderId="29" xfId="7" applyFont="1" applyFill="1" applyBorder="1"/>
    <xf numFmtId="0" fontId="53" fillId="0" borderId="28" xfId="6" applyFont="1" applyBorder="1" applyAlignment="1">
      <alignment horizontal="justify"/>
    </xf>
    <xf numFmtId="165" fontId="54" fillId="0" borderId="49" xfId="2" applyNumberFormat="1" applyFont="1" applyBorder="1"/>
    <xf numFmtId="165" fontId="54" fillId="0" borderId="2" xfId="2" applyNumberFormat="1" applyFont="1" applyBorder="1"/>
    <xf numFmtId="165" fontId="54" fillId="0" borderId="19" xfId="2" applyNumberFormat="1" applyFont="1" applyBorder="1"/>
    <xf numFmtId="165" fontId="54" fillId="0" borderId="25" xfId="2" applyNumberFormat="1" applyFont="1" applyBorder="1"/>
    <xf numFmtId="165" fontId="54" fillId="0" borderId="8" xfId="2" applyNumberFormat="1" applyFont="1" applyBorder="1"/>
    <xf numFmtId="165" fontId="54" fillId="0" borderId="41" xfId="2" applyNumberFormat="1" applyFont="1" applyBorder="1"/>
    <xf numFmtId="0" fontId="1" fillId="0" borderId="0" xfId="7" applyFont="1" applyFill="1" applyBorder="1"/>
    <xf numFmtId="0" fontId="53" fillId="0" borderId="68" xfId="6" applyFont="1" applyBorder="1" applyAlignment="1">
      <alignment horizontal="justify"/>
    </xf>
    <xf numFmtId="165" fontId="54" fillId="0" borderId="50" xfId="2" applyNumberFormat="1" applyFont="1" applyBorder="1"/>
    <xf numFmtId="165" fontId="54" fillId="0" borderId="6" xfId="2" applyNumberFormat="1" applyFont="1" applyBorder="1"/>
    <xf numFmtId="165" fontId="54" fillId="0" borderId="64" xfId="2" applyNumberFormat="1" applyFont="1" applyBorder="1"/>
    <xf numFmtId="165" fontId="54" fillId="0" borderId="53" xfId="2" applyNumberFormat="1" applyFont="1" applyBorder="1"/>
    <xf numFmtId="165" fontId="55" fillId="0" borderId="32" xfId="2" applyNumberFormat="1" applyFont="1" applyBorder="1"/>
    <xf numFmtId="165" fontId="55" fillId="0" borderId="26" xfId="2" applyNumberFormat="1" applyFont="1" applyBorder="1"/>
    <xf numFmtId="0" fontId="56" fillId="0" borderId="0" xfId="6" applyFont="1" applyBorder="1"/>
    <xf numFmtId="0" fontId="57" fillId="0" borderId="0" xfId="6" applyFont="1" applyBorder="1"/>
    <xf numFmtId="0" fontId="57" fillId="0" borderId="0" xfId="6" applyFont="1"/>
    <xf numFmtId="0" fontId="52" fillId="0" borderId="26" xfId="6" applyFont="1" applyFill="1" applyBorder="1" applyAlignment="1">
      <alignment horizontal="justify"/>
    </xf>
    <xf numFmtId="0" fontId="52" fillId="0" borderId="13" xfId="6" applyFont="1" applyFill="1" applyBorder="1" applyAlignment="1">
      <alignment horizontal="center"/>
    </xf>
    <xf numFmtId="0" fontId="52" fillId="0" borderId="14" xfId="6" applyFont="1" applyFill="1" applyBorder="1" applyAlignment="1">
      <alignment horizontal="center"/>
    </xf>
    <xf numFmtId="0" fontId="52" fillId="0" borderId="20" xfId="6" applyFont="1" applyBorder="1" applyAlignment="1">
      <alignment horizontal="center"/>
    </xf>
    <xf numFmtId="0" fontId="53" fillId="0" borderId="28" xfId="6" applyFont="1" applyFill="1" applyBorder="1" applyAlignment="1">
      <alignment horizontal="justify"/>
    </xf>
    <xf numFmtId="165" fontId="54" fillId="0" borderId="8" xfId="2" applyNumberFormat="1" applyFont="1" applyFill="1" applyBorder="1"/>
    <xf numFmtId="165" fontId="54" fillId="0" borderId="2" xfId="2" applyNumberFormat="1" applyFont="1" applyFill="1" applyBorder="1"/>
    <xf numFmtId="165" fontId="54" fillId="0" borderId="25" xfId="2" applyNumberFormat="1" applyFont="1" applyFill="1" applyBorder="1"/>
    <xf numFmtId="165" fontId="54" fillId="0" borderId="19" xfId="2" applyNumberFormat="1" applyFont="1" applyFill="1" applyBorder="1"/>
    <xf numFmtId="165" fontId="65" fillId="0" borderId="2" xfId="2" applyNumberFormat="1" applyFont="1" applyBorder="1"/>
    <xf numFmtId="165" fontId="65" fillId="0" borderId="25" xfId="2" applyNumberFormat="1" applyFont="1" applyBorder="1"/>
    <xf numFmtId="165" fontId="65" fillId="0" borderId="19" xfId="2" applyNumberFormat="1" applyFont="1" applyBorder="1"/>
    <xf numFmtId="0" fontId="53" fillId="0" borderId="68" xfId="6" applyFont="1" applyFill="1" applyBorder="1" applyAlignment="1">
      <alignment horizontal="justify"/>
    </xf>
    <xf numFmtId="165" fontId="54" fillId="0" borderId="12" xfId="2" applyNumberFormat="1" applyFont="1" applyFill="1" applyBorder="1"/>
    <xf numFmtId="165" fontId="54" fillId="0" borderId="22" xfId="2" applyNumberFormat="1" applyFont="1" applyFill="1" applyBorder="1"/>
    <xf numFmtId="165" fontId="65" fillId="0" borderId="22" xfId="2" applyNumberFormat="1" applyFont="1" applyBorder="1"/>
    <xf numFmtId="165" fontId="65" fillId="0" borderId="65" xfId="2" applyNumberFormat="1" applyFont="1" applyBorder="1"/>
    <xf numFmtId="165" fontId="65" fillId="0" borderId="57" xfId="2" applyNumberFormat="1" applyFont="1" applyBorder="1"/>
    <xf numFmtId="165" fontId="55" fillId="0" borderId="13" xfId="2" applyNumberFormat="1" applyFont="1" applyBorder="1"/>
    <xf numFmtId="0" fontId="22" fillId="0" borderId="3" xfId="7" applyFont="1" applyFill="1" applyBorder="1" applyProtection="1"/>
    <xf numFmtId="165" fontId="22" fillId="0" borderId="43" xfId="1" applyNumberFormat="1" applyFont="1" applyFill="1" applyBorder="1" applyProtection="1">
      <protection locked="0"/>
    </xf>
    <xf numFmtId="0" fontId="58" fillId="0" borderId="2" xfId="0" applyFont="1" applyBorder="1" applyAlignment="1">
      <alignment horizontal="justify" wrapText="1"/>
    </xf>
    <xf numFmtId="165" fontId="22" fillId="0" borderId="41" xfId="1" applyNumberFormat="1" applyFont="1" applyFill="1" applyBorder="1" applyProtection="1">
      <protection locked="0"/>
    </xf>
    <xf numFmtId="0" fontId="58" fillId="0" borderId="2" xfId="0" applyFont="1" applyBorder="1" applyAlignment="1">
      <alignment wrapText="1"/>
    </xf>
    <xf numFmtId="165" fontId="22" fillId="0" borderId="42" xfId="1" applyNumberFormat="1" applyFont="1" applyFill="1" applyBorder="1" applyProtection="1">
      <protection locked="0"/>
    </xf>
    <xf numFmtId="0" fontId="58" fillId="0" borderId="22" xfId="0" applyFont="1" applyBorder="1" applyAlignment="1">
      <alignment wrapText="1"/>
    </xf>
    <xf numFmtId="165" fontId="21" fillId="0" borderId="20" xfId="1" applyNumberFormat="1" applyFont="1" applyFill="1" applyBorder="1" applyProtection="1"/>
    <xf numFmtId="164" fontId="5" fillId="0" borderId="0" xfId="7" applyNumberFormat="1" applyFont="1" applyFill="1" applyBorder="1" applyAlignment="1" applyProtection="1">
      <alignment horizontal="center" vertical="center"/>
    </xf>
    <xf numFmtId="164" fontId="27" fillId="0" borderId="21" xfId="7" applyNumberFormat="1" applyFont="1" applyFill="1" applyBorder="1" applyAlignment="1" applyProtection="1">
      <alignment horizontal="left" vertical="center"/>
    </xf>
    <xf numFmtId="164" fontId="27" fillId="0" borderId="21" xfId="7" applyNumberFormat="1" applyFont="1" applyFill="1" applyBorder="1" applyAlignment="1" applyProtection="1">
      <alignment horizontal="left"/>
    </xf>
    <xf numFmtId="0" fontId="6" fillId="0" borderId="15" xfId="7" applyFont="1" applyFill="1" applyBorder="1" applyAlignment="1" applyProtection="1">
      <alignment horizontal="center" vertical="center" wrapText="1"/>
    </xf>
    <xf numFmtId="0" fontId="6" fillId="0" borderId="17" xfId="7" applyFont="1" applyFill="1" applyBorder="1" applyAlignment="1" applyProtection="1">
      <alignment horizontal="center" vertical="center" wrapText="1"/>
    </xf>
    <xf numFmtId="0" fontId="6" fillId="0" borderId="16" xfId="7" applyFont="1" applyFill="1" applyBorder="1" applyAlignment="1" applyProtection="1">
      <alignment horizontal="center" vertical="center" wrapText="1"/>
    </xf>
    <xf numFmtId="0" fontId="6" fillId="0" borderId="18" xfId="7" applyFont="1" applyFill="1" applyBorder="1" applyAlignment="1" applyProtection="1">
      <alignment horizontal="center" vertical="center" wrapText="1"/>
    </xf>
    <xf numFmtId="0" fontId="6" fillId="0" borderId="63" xfId="7" applyFont="1" applyFill="1" applyBorder="1" applyAlignment="1" applyProtection="1">
      <alignment horizontal="center" vertical="center" wrapText="1"/>
    </xf>
    <xf numFmtId="0" fontId="6" fillId="0" borderId="4" xfId="7" applyFont="1" applyFill="1" applyBorder="1" applyAlignment="1" applyProtection="1">
      <alignment horizontal="center" vertical="center" wrapText="1"/>
    </xf>
    <xf numFmtId="0" fontId="6" fillId="0" borderId="55" xfId="7" applyFont="1" applyFill="1" applyBorder="1" applyAlignment="1" applyProtection="1">
      <alignment horizontal="center" vertical="center" wrapText="1"/>
    </xf>
    <xf numFmtId="0" fontId="6" fillId="0" borderId="46" xfId="7" applyFont="1" applyFill="1" applyBorder="1" applyAlignment="1" applyProtection="1">
      <alignment horizontal="center" vertical="center" wrapText="1"/>
    </xf>
    <xf numFmtId="0" fontId="16" fillId="0" borderId="0" xfId="7" applyFont="1" applyFill="1" applyAlignment="1" applyProtection="1">
      <alignment horizontal="center"/>
    </xf>
    <xf numFmtId="164" fontId="23" fillId="0" borderId="74" xfId="0" applyNumberFormat="1" applyFont="1" applyFill="1" applyBorder="1" applyAlignment="1" applyProtection="1">
      <alignment horizontal="center" vertical="center" wrapText="1"/>
    </xf>
    <xf numFmtId="164" fontId="23" fillId="0" borderId="75" xfId="0" applyNumberFormat="1" applyFont="1" applyFill="1" applyBorder="1" applyAlignment="1" applyProtection="1">
      <alignment horizontal="center" vertical="center" wrapText="1"/>
    </xf>
    <xf numFmtId="164" fontId="64" fillId="0" borderId="3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48" fillId="0" borderId="0" xfId="0" applyNumberFormat="1" applyFont="1" applyFill="1" applyAlignment="1" applyProtection="1">
      <alignment horizontal="right" vertical="center"/>
    </xf>
    <xf numFmtId="164" fontId="34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43" fillId="0" borderId="21" xfId="0" applyFont="1" applyFill="1" applyBorder="1" applyAlignment="1" applyProtection="1">
      <alignment horizontal="right"/>
    </xf>
    <xf numFmtId="0" fontId="23" fillId="0" borderId="13" xfId="7" applyFont="1" applyFill="1" applyBorder="1" applyAlignment="1" applyProtection="1">
      <alignment horizontal="left"/>
    </xf>
    <xf numFmtId="0" fontId="23" fillId="0" borderId="14" xfId="7" applyFont="1" applyFill="1" applyBorder="1" applyAlignment="1" applyProtection="1">
      <alignment horizontal="left"/>
    </xf>
    <xf numFmtId="0" fontId="15" fillId="0" borderId="39" xfId="7" applyFont="1" applyFill="1" applyBorder="1" applyAlignment="1">
      <alignment horizontal="justify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0" fontId="22" fillId="0" borderId="76" xfId="0" applyFont="1" applyFill="1" applyBorder="1" applyAlignment="1" applyProtection="1">
      <alignment horizontal="left" indent="1"/>
      <protection locked="0"/>
    </xf>
    <xf numFmtId="0" fontId="22" fillId="0" borderId="50" xfId="0" applyFont="1" applyFill="1" applyBorder="1" applyAlignment="1" applyProtection="1">
      <alignment horizontal="left" indent="1"/>
      <protection locked="0"/>
    </xf>
    <xf numFmtId="0" fontId="22" fillId="0" borderId="38" xfId="0" applyFont="1" applyFill="1" applyBorder="1" applyAlignment="1" applyProtection="1">
      <alignment horizontal="left" indent="1"/>
      <protection locked="0"/>
    </xf>
    <xf numFmtId="0" fontId="22" fillId="0" borderId="6" xfId="0" applyFont="1" applyFill="1" applyBorder="1" applyAlignment="1" applyProtection="1">
      <alignment horizontal="right" indent="1"/>
      <protection locked="0"/>
    </xf>
    <xf numFmtId="0" fontId="22" fillId="0" borderId="53" xfId="0" applyFont="1" applyFill="1" applyBorder="1" applyAlignment="1" applyProtection="1">
      <alignment horizontal="right" indent="1"/>
      <protection locked="0"/>
    </xf>
    <xf numFmtId="0" fontId="23" fillId="0" borderId="32" xfId="0" applyFont="1" applyFill="1" applyBorder="1" applyAlignment="1" applyProtection="1">
      <alignment horizontal="left" indent="1"/>
    </xf>
    <xf numFmtId="0" fontId="23" fillId="0" borderId="47" xfId="0" applyFont="1" applyFill="1" applyBorder="1" applyAlignment="1" applyProtection="1">
      <alignment horizontal="left" indent="1"/>
    </xf>
    <xf numFmtId="0" fontId="23" fillId="0" borderId="23" xfId="0" applyFont="1" applyFill="1" applyBorder="1" applyAlignment="1" applyProtection="1">
      <alignment horizontal="left" indent="1"/>
    </xf>
    <xf numFmtId="0" fontId="21" fillId="0" borderId="14" xfId="0" applyFont="1" applyFill="1" applyBorder="1" applyAlignment="1" applyProtection="1">
      <alignment horizontal="right" indent="1"/>
    </xf>
    <xf numFmtId="0" fontId="21" fillId="0" borderId="20" xfId="0" applyFont="1" applyFill="1" applyBorder="1" applyAlignment="1" applyProtection="1">
      <alignment horizontal="right" indent="1"/>
    </xf>
    <xf numFmtId="0" fontId="16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77" xfId="0" applyFont="1" applyFill="1" applyBorder="1" applyAlignment="1" applyProtection="1">
      <alignment horizontal="center"/>
    </xf>
    <xf numFmtId="0" fontId="23" fillId="0" borderId="39" xfId="0" applyFont="1" applyFill="1" applyBorder="1" applyAlignment="1" applyProtection="1">
      <alignment horizontal="center"/>
    </xf>
    <xf numFmtId="0" fontId="23" fillId="0" borderId="58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</xf>
    <xf numFmtId="0" fontId="23" fillId="0" borderId="56" xfId="0" applyFont="1" applyFill="1" applyBorder="1" applyAlignment="1" applyProtection="1">
      <alignment horizontal="center"/>
    </xf>
    <xf numFmtId="0" fontId="22" fillId="0" borderId="78" xfId="0" applyFont="1" applyFill="1" applyBorder="1" applyAlignment="1" applyProtection="1">
      <alignment horizontal="left" indent="1"/>
      <protection locked="0"/>
    </xf>
    <xf numFmtId="0" fontId="22" fillId="0" borderId="79" xfId="0" applyFont="1" applyFill="1" applyBorder="1" applyAlignment="1" applyProtection="1">
      <alignment horizontal="left" indent="1"/>
      <protection locked="0"/>
    </xf>
    <xf numFmtId="0" fontId="22" fillId="0" borderId="63" xfId="0" applyFont="1" applyFill="1" applyBorder="1" applyAlignment="1" applyProtection="1">
      <alignment horizontal="left" indent="1"/>
      <protection locked="0"/>
    </xf>
    <xf numFmtId="0" fontId="22" fillId="0" borderId="4" xfId="0" applyFont="1" applyFill="1" applyBorder="1" applyAlignment="1" applyProtection="1">
      <alignment horizontal="right" indent="1"/>
      <protection locked="0"/>
    </xf>
    <xf numFmtId="0" fontId="22" fillId="0" borderId="46" xfId="0" applyFont="1" applyFill="1" applyBorder="1" applyAlignment="1" applyProtection="1">
      <alignment horizontal="right" indent="1"/>
      <protection locked="0"/>
    </xf>
    <xf numFmtId="0" fontId="37" fillId="0" borderId="0" xfId="0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37" fillId="0" borderId="21" xfId="0" applyFont="1" applyFill="1" applyBorder="1" applyAlignment="1" applyProtection="1">
      <alignment horizontal="right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47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16" fillId="0" borderId="0" xfId="0" applyFont="1" applyFill="1" applyAlignment="1">
      <alignment horizontal="center" wrapText="1"/>
    </xf>
    <xf numFmtId="0" fontId="2" fillId="0" borderId="0" xfId="0" applyFont="1" applyFill="1" applyAlignment="1" applyProtection="1">
      <alignment horizontal="left"/>
      <protection locked="0"/>
    </xf>
    <xf numFmtId="164" fontId="6" fillId="0" borderId="32" xfId="0" applyNumberFormat="1" applyFont="1" applyFill="1" applyBorder="1" applyAlignment="1" applyProtection="1">
      <alignment horizontal="left" vertical="center" wrapText="1" indent="2"/>
    </xf>
    <xf numFmtId="164" fontId="6" fillId="0" borderId="24" xfId="0" applyNumberFormat="1" applyFont="1" applyFill="1" applyBorder="1" applyAlignment="1" applyProtection="1">
      <alignment horizontal="left" vertical="center" wrapText="1" indent="2"/>
    </xf>
    <xf numFmtId="164" fontId="16" fillId="0" borderId="0" xfId="0" applyNumberFormat="1" applyFont="1" applyFill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 wrapText="1"/>
    </xf>
    <xf numFmtId="164" fontId="6" fillId="0" borderId="75" xfId="0" applyNumberFormat="1" applyFont="1" applyFill="1" applyBorder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4" fontId="6" fillId="0" borderId="78" xfId="0" applyNumberFormat="1" applyFont="1" applyFill="1" applyBorder="1" applyAlignment="1" applyProtection="1">
      <alignment horizontal="center" vertical="center"/>
    </xf>
    <xf numFmtId="164" fontId="6" fillId="0" borderId="79" xfId="0" applyNumberFormat="1" applyFont="1" applyFill="1" applyBorder="1" applyAlignment="1" applyProtection="1">
      <alignment horizontal="center" vertical="center"/>
    </xf>
    <xf numFmtId="164" fontId="6" fillId="0" borderId="43" xfId="0" applyNumberFormat="1" applyFont="1" applyFill="1" applyBorder="1" applyAlignment="1" applyProtection="1">
      <alignment horizontal="center" vertical="center"/>
    </xf>
    <xf numFmtId="0" fontId="42" fillId="0" borderId="0" xfId="0" applyFont="1" applyAlignment="1">
      <alignment horizontal="center" wrapText="1"/>
    </xf>
    <xf numFmtId="0" fontId="16" fillId="0" borderId="0" xfId="8" applyFont="1" applyFill="1" applyAlignment="1" applyProtection="1">
      <alignment horizontal="center" wrapText="1"/>
    </xf>
    <xf numFmtId="0" fontId="16" fillId="0" borderId="0" xfId="8" applyFont="1" applyFill="1" applyAlignment="1" applyProtection="1">
      <alignment horizontal="center"/>
    </xf>
    <xf numFmtId="0" fontId="43" fillId="0" borderId="36" xfId="8" applyFont="1" applyFill="1" applyBorder="1" applyAlignment="1" applyProtection="1">
      <alignment horizontal="left" vertical="center" indent="1"/>
    </xf>
    <xf numFmtId="0" fontId="43" fillId="0" borderId="47" xfId="8" applyFont="1" applyFill="1" applyBorder="1" applyAlignment="1" applyProtection="1">
      <alignment horizontal="left" vertical="center" indent="1"/>
    </xf>
    <xf numFmtId="0" fontId="43" fillId="0" borderId="24" xfId="8" applyFont="1" applyFill="1" applyBorder="1" applyAlignment="1" applyProtection="1">
      <alignment horizontal="left" vertical="center" indent="1"/>
    </xf>
    <xf numFmtId="0" fontId="42" fillId="0" borderId="0" xfId="0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wrapText="1"/>
    </xf>
    <xf numFmtId="0" fontId="37" fillId="0" borderId="0" xfId="0" applyFont="1" applyAlignment="1" applyProtection="1">
      <alignment horizontal="right"/>
    </xf>
    <xf numFmtId="0" fontId="23" fillId="0" borderId="32" xfId="0" applyFont="1" applyBorder="1" applyAlignment="1" applyProtection="1">
      <alignment horizontal="left" vertical="center" indent="2"/>
    </xf>
    <xf numFmtId="0" fontId="23" fillId="0" borderId="23" xfId="0" applyFont="1" applyBorder="1" applyAlignment="1" applyProtection="1">
      <alignment horizontal="left" vertical="center" indent="2"/>
    </xf>
  </cellXfs>
  <cellStyles count="9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 2" xfId="6"/>
    <cellStyle name="Normál_KVRENMUNKA" xfId="7"/>
    <cellStyle name="Normál_SEGEDLETEK" xfId="8"/>
  </cellStyles>
  <dxfs count="5"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!!Rendeletek\S&#225;gv&#225;r\K&#246;lts&#233;gvet&#233;s\2020\!!!Eredeti\S&#225;gv&#225;r_6_2020_2020k&#246;ltvet_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Rendeletek/S&#225;gv&#225;r/K&#246;lts&#233;gvet&#233;s/2020/!!!Eredeti/S&#225;gv&#225;r_6_2020_2020k&#246;ltvet_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/>
      <sheetData sheetId="1">
        <row r="3">
          <cell r="C3" t="str">
            <v>2020.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>
        <row r="5">
          <cell r="A5" t="str">
            <v>2020. évi előirányzat BEVÉTELEK</v>
          </cell>
        </row>
      </sheetData>
      <sheetData sheetId="1">
        <row r="3">
          <cell r="C3" t="str">
            <v>2020. évi előirányzat</v>
          </cell>
        </row>
        <row r="6">
          <cell r="C6">
            <v>61671420</v>
          </cell>
        </row>
        <row r="7">
          <cell r="C7">
            <v>56423330</v>
          </cell>
        </row>
        <row r="8">
          <cell r="C8">
            <v>65116932</v>
          </cell>
        </row>
        <row r="9">
          <cell r="C9">
            <v>2376900</v>
          </cell>
        </row>
        <row r="10">
          <cell r="C10">
            <v>0</v>
          </cell>
        </row>
        <row r="11">
          <cell r="C11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81199000</v>
          </cell>
        </row>
        <row r="18">
          <cell r="C18">
            <v>32055000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26294000</v>
          </cell>
        </row>
        <row r="25">
          <cell r="C25">
            <v>24794000</v>
          </cell>
        </row>
        <row r="27">
          <cell r="C27">
            <v>7500000</v>
          </cell>
        </row>
        <row r="28">
          <cell r="C28">
            <v>1000000</v>
          </cell>
        </row>
        <row r="29">
          <cell r="C29">
            <v>9000000</v>
          </cell>
        </row>
        <row r="30">
          <cell r="C30">
            <v>51000000</v>
          </cell>
        </row>
        <row r="31">
          <cell r="C31">
            <v>500000</v>
          </cell>
        </row>
        <row r="32">
          <cell r="C32">
            <v>6500000</v>
          </cell>
        </row>
        <row r="33">
          <cell r="C33">
            <v>0</v>
          </cell>
        </row>
        <row r="34">
          <cell r="C34">
            <v>400000</v>
          </cell>
        </row>
        <row r="36">
          <cell r="C36">
            <v>0</v>
          </cell>
        </row>
        <row r="37">
          <cell r="C37">
            <v>15565000</v>
          </cell>
        </row>
        <row r="38">
          <cell r="C38">
            <v>356000</v>
          </cell>
        </row>
        <row r="39">
          <cell r="C39">
            <v>12624000</v>
          </cell>
        </row>
        <row r="40">
          <cell r="C40">
            <v>0</v>
          </cell>
        </row>
        <row r="41">
          <cell r="C41">
            <v>6410000</v>
          </cell>
        </row>
        <row r="42">
          <cell r="C42">
            <v>500000</v>
          </cell>
        </row>
        <row r="43">
          <cell r="C43">
            <v>6000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1081000</v>
          </cell>
        </row>
        <row r="48">
          <cell r="C48">
            <v>0</v>
          </cell>
        </row>
        <row r="49">
          <cell r="C49">
            <v>4000000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100000</v>
          </cell>
        </row>
        <row r="57">
          <cell r="C57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800000</v>
          </cell>
        </row>
        <row r="62">
          <cell r="C62">
            <v>0</v>
          </cell>
        </row>
        <row r="65">
          <cell r="C65">
            <v>73000000</v>
          </cell>
        </row>
        <row r="66">
          <cell r="C66">
            <v>0</v>
          </cell>
        </row>
        <row r="67">
          <cell r="C67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4">
          <cell r="C74">
            <v>269021313</v>
          </cell>
        </row>
        <row r="75">
          <cell r="C75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94">
          <cell r="C94">
            <v>147553500</v>
          </cell>
        </row>
        <row r="95">
          <cell r="C95">
            <v>26445000</v>
          </cell>
        </row>
        <row r="96">
          <cell r="C96">
            <v>152882000</v>
          </cell>
        </row>
        <row r="97">
          <cell r="C97">
            <v>5390000</v>
          </cell>
        </row>
        <row r="98">
          <cell r="C98">
            <v>122899000</v>
          </cell>
        </row>
        <row r="99">
          <cell r="C99">
            <v>705000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121744000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450000</v>
          </cell>
        </row>
        <row r="111">
          <cell r="C111">
            <v>1026852</v>
          </cell>
        </row>
        <row r="112">
          <cell r="C112">
            <v>200000</v>
          </cell>
        </row>
        <row r="113">
          <cell r="C113">
            <v>826852</v>
          </cell>
        </row>
        <row r="115">
          <cell r="C115">
            <v>283725000</v>
          </cell>
        </row>
        <row r="116">
          <cell r="C116">
            <v>265669000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1000000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1000000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30">
          <cell r="C130">
            <v>4100000</v>
          </cell>
        </row>
        <row r="131">
          <cell r="C131">
            <v>0</v>
          </cell>
        </row>
        <row r="132">
          <cell r="C132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1">
          <cell r="C141">
            <v>0</v>
          </cell>
        </row>
        <row r="142">
          <cell r="C142">
            <v>7423543</v>
          </cell>
        </row>
        <row r="143">
          <cell r="C143">
            <v>0</v>
          </cell>
        </row>
        <row r="144">
          <cell r="C144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Forintban</v>
          </cell>
        </row>
      </sheetData>
      <sheetData sheetId="10"/>
      <sheetData sheetId="11"/>
      <sheetData sheetId="12">
        <row r="2">
          <cell r="F2" t="str">
            <v>Forintban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G8" t="str">
            <v>Forintban</v>
          </cell>
        </row>
      </sheetData>
      <sheetData sheetId="23">
        <row r="2">
          <cell r="E2" t="str">
            <v>Forintban</v>
          </cell>
        </row>
      </sheetData>
      <sheetData sheetId="24">
        <row r="2">
          <cell r="I2" t="str">
            <v>Forintban</v>
          </cell>
        </row>
      </sheetData>
      <sheetData sheetId="25">
        <row r="2">
          <cell r="D2" t="str">
            <v>Forintban</v>
          </cell>
        </row>
      </sheetData>
      <sheetData sheetId="26">
        <row r="2">
          <cell r="O2" t="str">
            <v>Forintban</v>
          </cell>
        </row>
      </sheetData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D14" sqref="D1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08" t="s">
        <v>427</v>
      </c>
      <c r="B1" s="59"/>
    </row>
    <row r="2" spans="1:2" x14ac:dyDescent="0.2">
      <c r="A2" s="59"/>
      <c r="B2" s="59"/>
    </row>
    <row r="3" spans="1:2" x14ac:dyDescent="0.2">
      <c r="A3" s="210"/>
      <c r="B3" s="210"/>
    </row>
    <row r="4" spans="1:2" ht="15.75" x14ac:dyDescent="0.25">
      <c r="A4" s="61"/>
      <c r="B4" s="214"/>
    </row>
    <row r="5" spans="1:2" ht="15.75" x14ac:dyDescent="0.25">
      <c r="A5" s="61"/>
      <c r="B5" s="214"/>
    </row>
    <row r="6" spans="1:2" s="52" customFormat="1" ht="15.75" x14ac:dyDescent="0.25">
      <c r="A6" s="61" t="s">
        <v>461</v>
      </c>
      <c r="B6" s="210"/>
    </row>
    <row r="7" spans="1:2" s="52" customFormat="1" x14ac:dyDescent="0.2">
      <c r="A7" s="210"/>
      <c r="B7" s="210"/>
    </row>
    <row r="8" spans="1:2" s="52" customFormat="1" x14ac:dyDescent="0.2">
      <c r="A8" s="210"/>
      <c r="B8" s="210"/>
    </row>
    <row r="9" spans="1:2" x14ac:dyDescent="0.2">
      <c r="A9" s="210" t="s">
        <v>399</v>
      </c>
      <c r="B9" s="210" t="s">
        <v>379</v>
      </c>
    </row>
    <row r="10" spans="1:2" x14ac:dyDescent="0.2">
      <c r="A10" s="210" t="s">
        <v>397</v>
      </c>
      <c r="B10" s="210" t="s">
        <v>385</v>
      </c>
    </row>
    <row r="11" spans="1:2" x14ac:dyDescent="0.2">
      <c r="A11" s="210" t="s">
        <v>398</v>
      </c>
      <c r="B11" s="210" t="s">
        <v>386</v>
      </c>
    </row>
    <row r="12" spans="1:2" x14ac:dyDescent="0.2">
      <c r="A12" s="210"/>
      <c r="B12" s="210"/>
    </row>
    <row r="13" spans="1:2" ht="15.75" x14ac:dyDescent="0.25">
      <c r="A13" s="61" t="str">
        <f>+CONCATENATE(LEFT(A6,4),". évi előirányzat módosítások BEVÉTELEK")</f>
        <v>2020. évi előirányzat módosítások BEVÉTELEK</v>
      </c>
      <c r="B13" s="214"/>
    </row>
    <row r="14" spans="1:2" x14ac:dyDescent="0.2">
      <c r="A14" s="210"/>
      <c r="B14" s="210"/>
    </row>
    <row r="15" spans="1:2" s="52" customFormat="1" x14ac:dyDescent="0.2">
      <c r="A15" s="210" t="s">
        <v>400</v>
      </c>
      <c r="B15" s="210" t="s">
        <v>380</v>
      </c>
    </row>
    <row r="16" spans="1:2" x14ac:dyDescent="0.2">
      <c r="A16" s="210" t="s">
        <v>401</v>
      </c>
      <c r="B16" s="210" t="s">
        <v>387</v>
      </c>
    </row>
    <row r="17" spans="1:2" x14ac:dyDescent="0.2">
      <c r="A17" s="210" t="s">
        <v>402</v>
      </c>
      <c r="B17" s="210" t="s">
        <v>388</v>
      </c>
    </row>
    <row r="18" spans="1:2" x14ac:dyDescent="0.2">
      <c r="A18" s="210"/>
      <c r="B18" s="210"/>
    </row>
    <row r="19" spans="1:2" ht="14.25" x14ac:dyDescent="0.2">
      <c r="A19" s="217" t="str">
        <f>+CONCATENATE(LEFT(A6,4),". módosítás utáni módosított előrirányzatok BEVÉTELEK")</f>
        <v>2020. módosítás utáni módosított előrirányzatok BEVÉTELEK</v>
      </c>
      <c r="B19" s="214"/>
    </row>
    <row r="20" spans="1:2" x14ac:dyDescent="0.2">
      <c r="A20" s="210"/>
      <c r="B20" s="210"/>
    </row>
    <row r="21" spans="1:2" x14ac:dyDescent="0.2">
      <c r="A21" s="210" t="s">
        <v>403</v>
      </c>
      <c r="B21" s="210" t="s">
        <v>381</v>
      </c>
    </row>
    <row r="22" spans="1:2" x14ac:dyDescent="0.2">
      <c r="A22" s="210" t="s">
        <v>404</v>
      </c>
      <c r="B22" s="210" t="s">
        <v>389</v>
      </c>
    </row>
    <row r="23" spans="1:2" x14ac:dyDescent="0.2">
      <c r="A23" s="210" t="s">
        <v>405</v>
      </c>
      <c r="B23" s="210" t="s">
        <v>390</v>
      </c>
    </row>
    <row r="24" spans="1:2" x14ac:dyDescent="0.2">
      <c r="A24" s="210"/>
      <c r="B24" s="210"/>
    </row>
    <row r="25" spans="1:2" ht="15.75" x14ac:dyDescent="0.25">
      <c r="A25" s="61" t="str">
        <f>+CONCATENATE(LEFT(A6,4),". évi eredeti előirányzat KIADÁSOK")</f>
        <v>2020. évi eredeti előirányzat KIADÁSOK</v>
      </c>
      <c r="B25" s="214"/>
    </row>
    <row r="26" spans="1:2" x14ac:dyDescent="0.2">
      <c r="A26" s="210"/>
      <c r="B26" s="210"/>
    </row>
    <row r="27" spans="1:2" x14ac:dyDescent="0.2">
      <c r="A27" s="210" t="s">
        <v>406</v>
      </c>
      <c r="B27" s="210" t="s">
        <v>382</v>
      </c>
    </row>
    <row r="28" spans="1:2" x14ac:dyDescent="0.2">
      <c r="A28" s="210" t="s">
        <v>407</v>
      </c>
      <c r="B28" s="210" t="s">
        <v>391</v>
      </c>
    </row>
    <row r="29" spans="1:2" x14ac:dyDescent="0.2">
      <c r="A29" s="210" t="s">
        <v>408</v>
      </c>
      <c r="B29" s="210" t="s">
        <v>392</v>
      </c>
    </row>
    <row r="30" spans="1:2" x14ac:dyDescent="0.2">
      <c r="A30" s="210"/>
      <c r="B30" s="210"/>
    </row>
    <row r="31" spans="1:2" ht="15.75" x14ac:dyDescent="0.25">
      <c r="A31" s="61" t="str">
        <f>+CONCATENATE(LEFT(A6,4),". évi előirányzat módosítások KIADÁSOK")</f>
        <v>2020. évi előirányzat módosítások KIADÁSOK</v>
      </c>
      <c r="B31" s="214"/>
    </row>
    <row r="32" spans="1:2" x14ac:dyDescent="0.2">
      <c r="A32" s="210"/>
      <c r="B32" s="210"/>
    </row>
    <row r="33" spans="1:2" x14ac:dyDescent="0.2">
      <c r="A33" s="210" t="s">
        <v>409</v>
      </c>
      <c r="B33" s="210" t="s">
        <v>383</v>
      </c>
    </row>
    <row r="34" spans="1:2" x14ac:dyDescent="0.2">
      <c r="A34" s="210" t="s">
        <v>410</v>
      </c>
      <c r="B34" s="210" t="s">
        <v>393</v>
      </c>
    </row>
    <row r="35" spans="1:2" x14ac:dyDescent="0.2">
      <c r="A35" s="210" t="s">
        <v>411</v>
      </c>
      <c r="B35" s="210" t="s">
        <v>394</v>
      </c>
    </row>
    <row r="36" spans="1:2" x14ac:dyDescent="0.2">
      <c r="A36" s="210"/>
      <c r="B36" s="210"/>
    </row>
    <row r="37" spans="1:2" ht="15.75" x14ac:dyDescent="0.25">
      <c r="A37" s="216" t="str">
        <f>+CONCATENATE(LEFT(A6,4),". módosítás utáni módosított előirányzatok KIADÁSOK")</f>
        <v>2020. módosítás utáni módosított előirányzatok KIADÁSOK</v>
      </c>
      <c r="B37" s="214"/>
    </row>
    <row r="38" spans="1:2" x14ac:dyDescent="0.2">
      <c r="A38" s="210"/>
      <c r="B38" s="210"/>
    </row>
    <row r="39" spans="1:2" x14ac:dyDescent="0.2">
      <c r="A39" s="210" t="s">
        <v>412</v>
      </c>
      <c r="B39" s="210" t="s">
        <v>384</v>
      </c>
    </row>
    <row r="40" spans="1:2" x14ac:dyDescent="0.2">
      <c r="A40" s="210" t="s">
        <v>413</v>
      </c>
      <c r="B40" s="210" t="s">
        <v>395</v>
      </c>
    </row>
    <row r="41" spans="1:2" x14ac:dyDescent="0.2">
      <c r="A41" s="210" t="s">
        <v>414</v>
      </c>
      <c r="B41" s="210" t="s">
        <v>396</v>
      </c>
    </row>
  </sheetData>
  <phoneticPr fontId="22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Layout" zoomScaleNormal="100" zoomScaleSheetLayoutView="226" workbookViewId="0">
      <selection activeCell="C2" sqref="C2"/>
    </sheetView>
  </sheetViews>
  <sheetFormatPr defaultRowHeight="15" x14ac:dyDescent="0.25"/>
  <cols>
    <col min="1" max="1" width="5.6640625" style="395" customWidth="1"/>
    <col min="2" max="2" width="68.6640625" style="395" customWidth="1"/>
    <col min="3" max="3" width="19.5" style="395" customWidth="1"/>
    <col min="4" max="16384" width="9.33203125" style="395"/>
  </cols>
  <sheetData>
    <row r="1" spans="1:4" ht="42.75" customHeight="1" x14ac:dyDescent="0.25">
      <c r="A1" s="733" t="s">
        <v>648</v>
      </c>
      <c r="B1" s="733"/>
      <c r="C1" s="733"/>
    </row>
    <row r="2" spans="1:4" ht="15.95" customHeight="1" thickBot="1" x14ac:dyDescent="0.3">
      <c r="A2" s="396"/>
      <c r="B2" s="396"/>
      <c r="C2" s="397"/>
      <c r="D2" s="398"/>
    </row>
    <row r="3" spans="1:4" ht="26.25" customHeight="1" thickBot="1" x14ac:dyDescent="0.3">
      <c r="A3" s="399" t="s">
        <v>485</v>
      </c>
      <c r="B3" s="400" t="s">
        <v>649</v>
      </c>
      <c r="C3" s="401" t="str">
        <f>+'[1]1.1.sz.mell.'!C3</f>
        <v>2020. évi előirányzat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708" t="s">
        <v>650</v>
      </c>
      <c r="C5" s="709">
        <v>75500000</v>
      </c>
    </row>
    <row r="6" spans="1:4" ht="24.75" x14ac:dyDescent="0.25">
      <c r="A6" s="408" t="s">
        <v>6</v>
      </c>
      <c r="B6" s="710" t="s">
        <v>651</v>
      </c>
      <c r="C6" s="711">
        <v>12624000</v>
      </c>
    </row>
    <row r="7" spans="1:4" x14ac:dyDescent="0.25">
      <c r="A7" s="408" t="s">
        <v>7</v>
      </c>
      <c r="B7" s="712" t="s">
        <v>652</v>
      </c>
      <c r="C7" s="711"/>
    </row>
    <row r="8" spans="1:4" ht="24.75" x14ac:dyDescent="0.25">
      <c r="A8" s="408" t="s">
        <v>8</v>
      </c>
      <c r="B8" s="712" t="s">
        <v>653</v>
      </c>
      <c r="C8" s="711">
        <v>4000000</v>
      </c>
    </row>
    <row r="9" spans="1:4" x14ac:dyDescent="0.25">
      <c r="A9" s="411" t="s">
        <v>9</v>
      </c>
      <c r="B9" s="712" t="s">
        <v>654</v>
      </c>
      <c r="C9" s="713">
        <v>400000</v>
      </c>
    </row>
    <row r="10" spans="1:4" ht="15.75" thickBot="1" x14ac:dyDescent="0.3">
      <c r="A10" s="408" t="s">
        <v>10</v>
      </c>
      <c r="B10" s="714" t="s">
        <v>655</v>
      </c>
      <c r="C10" s="711"/>
    </row>
    <row r="11" spans="1:4" ht="15.75" thickBot="1" x14ac:dyDescent="0.3">
      <c r="A11" s="735" t="s">
        <v>656</v>
      </c>
      <c r="B11" s="736"/>
      <c r="C11" s="715">
        <f>SUM(C5:C10)</f>
        <v>92524000</v>
      </c>
    </row>
    <row r="12" spans="1:4" ht="23.25" customHeight="1" x14ac:dyDescent="0.25">
      <c r="A12" s="737" t="s">
        <v>657</v>
      </c>
      <c r="B12" s="737"/>
      <c r="C12" s="737"/>
    </row>
  </sheetData>
  <mergeCells count="3">
    <mergeCell ref="A1:C1"/>
    <mergeCell ref="A11:B11"/>
    <mergeCell ref="A12:C12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4"/>
  <sheetViews>
    <sheetView view="pageLayout" topLeftCell="A13" zoomScaleNormal="100" zoomScaleSheetLayoutView="178" workbookViewId="0">
      <selection activeCell="J6" sqref="J6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0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43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5" t="s">
        <v>484</v>
      </c>
      <c r="G3" s="315" t="s">
        <v>628</v>
      </c>
      <c r="H3" s="315" t="s">
        <v>629</v>
      </c>
      <c r="I3" s="317" t="s">
        <v>630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29" t="s">
        <v>355</v>
      </c>
      <c r="G4" s="29" t="s">
        <v>356</v>
      </c>
      <c r="H4" s="318" t="s">
        <v>439</v>
      </c>
      <c r="I4" s="319" t="s">
        <v>438</v>
      </c>
    </row>
    <row r="5" spans="1:9" ht="22.5" x14ac:dyDescent="0.2">
      <c r="A5" s="369" t="s">
        <v>451</v>
      </c>
      <c r="B5" s="18">
        <v>54483000</v>
      </c>
      <c r="C5" s="174" t="s">
        <v>462</v>
      </c>
      <c r="D5" s="18">
        <v>40483000</v>
      </c>
      <c r="E5" s="18">
        <v>14000000</v>
      </c>
      <c r="F5" s="18"/>
      <c r="G5" s="18"/>
      <c r="H5" s="18">
        <f>F5+G5</f>
        <v>0</v>
      </c>
      <c r="I5" s="31">
        <f>E5+H5</f>
        <v>14000000</v>
      </c>
    </row>
    <row r="6" spans="1:9" ht="33.75" x14ac:dyDescent="0.2">
      <c r="A6" s="369" t="s">
        <v>452</v>
      </c>
      <c r="B6" s="18">
        <v>266174000</v>
      </c>
      <c r="C6" s="174" t="s">
        <v>462</v>
      </c>
      <c r="D6" s="18">
        <v>15695000</v>
      </c>
      <c r="E6" s="18">
        <v>250479000</v>
      </c>
      <c r="F6" s="18">
        <f>1053000+150000</f>
        <v>1203000</v>
      </c>
      <c r="G6" s="18"/>
      <c r="H6" s="18">
        <f>F6+G6</f>
        <v>1203000</v>
      </c>
      <c r="I6" s="31">
        <f>E6+H6</f>
        <v>251682000</v>
      </c>
    </row>
    <row r="7" spans="1:9" ht="22.5" x14ac:dyDescent="0.2">
      <c r="A7" s="369" t="s">
        <v>453</v>
      </c>
      <c r="B7" s="18">
        <v>6135000</v>
      </c>
      <c r="C7" s="174" t="s">
        <v>462</v>
      </c>
      <c r="D7" s="18">
        <v>4945000</v>
      </c>
      <c r="E7" s="18">
        <v>1190000</v>
      </c>
      <c r="F7" s="18"/>
      <c r="G7" s="18"/>
      <c r="H7" s="18">
        <f t="shared" ref="H7:H20" si="0">F7+G7</f>
        <v>0</v>
      </c>
      <c r="I7" s="31">
        <f t="shared" ref="I7:I20" si="1">E7+H7</f>
        <v>1190000</v>
      </c>
    </row>
    <row r="8" spans="1:9" ht="21.75" x14ac:dyDescent="0.15">
      <c r="A8" s="369" t="s">
        <v>475</v>
      </c>
      <c r="B8" s="18">
        <v>4678498</v>
      </c>
      <c r="C8" s="174" t="s">
        <v>464</v>
      </c>
      <c r="D8" s="18">
        <v>1136498</v>
      </c>
      <c r="E8" s="18">
        <v>3542000</v>
      </c>
      <c r="F8" s="18"/>
      <c r="G8" s="18"/>
      <c r="H8" s="18"/>
      <c r="I8" s="31">
        <f t="shared" si="1"/>
        <v>3542000</v>
      </c>
    </row>
    <row r="9" spans="1:9" x14ac:dyDescent="0.2">
      <c r="A9" s="370" t="s">
        <v>454</v>
      </c>
      <c r="B9" s="18">
        <v>300000</v>
      </c>
      <c r="C9" s="174" t="s">
        <v>463</v>
      </c>
      <c r="D9" s="18"/>
      <c r="E9" s="18">
        <v>300000</v>
      </c>
      <c r="F9" s="18"/>
      <c r="G9" s="18"/>
      <c r="H9" s="18">
        <f t="shared" si="0"/>
        <v>0</v>
      </c>
      <c r="I9" s="31">
        <f t="shared" si="1"/>
        <v>300000</v>
      </c>
    </row>
    <row r="10" spans="1:9" x14ac:dyDescent="0.2">
      <c r="A10" s="369" t="s">
        <v>455</v>
      </c>
      <c r="B10" s="18">
        <v>2500000</v>
      </c>
      <c r="C10" s="174" t="s">
        <v>463</v>
      </c>
      <c r="D10" s="18"/>
      <c r="E10" s="18">
        <v>2500000</v>
      </c>
      <c r="F10" s="18">
        <f>-1500000-1000000+400000</f>
        <v>-2100000</v>
      </c>
      <c r="G10" s="18"/>
      <c r="H10" s="18">
        <f t="shared" si="0"/>
        <v>-2100000</v>
      </c>
      <c r="I10" s="31">
        <f t="shared" si="1"/>
        <v>400000</v>
      </c>
    </row>
    <row r="11" spans="1:9" x14ac:dyDescent="0.2">
      <c r="A11" s="369" t="s">
        <v>458</v>
      </c>
      <c r="B11" s="18">
        <v>300000</v>
      </c>
      <c r="C11" s="174" t="s">
        <v>463</v>
      </c>
      <c r="D11" s="18"/>
      <c r="E11" s="18">
        <v>300000</v>
      </c>
      <c r="F11" s="18"/>
      <c r="G11" s="18"/>
      <c r="H11" s="18">
        <f t="shared" si="0"/>
        <v>0</v>
      </c>
      <c r="I11" s="31">
        <f t="shared" si="1"/>
        <v>300000</v>
      </c>
    </row>
    <row r="12" spans="1:9" x14ac:dyDescent="0.2">
      <c r="A12" s="371" t="s">
        <v>459</v>
      </c>
      <c r="B12" s="18">
        <v>1270000</v>
      </c>
      <c r="C12" s="174" t="s">
        <v>464</v>
      </c>
      <c r="D12" s="18"/>
      <c r="E12" s="18">
        <v>1270000</v>
      </c>
      <c r="F12" s="18">
        <f>-720000-194000</f>
        <v>-914000</v>
      </c>
      <c r="G12" s="18"/>
      <c r="H12" s="18">
        <f t="shared" si="0"/>
        <v>-914000</v>
      </c>
      <c r="I12" s="31">
        <f t="shared" si="1"/>
        <v>356000</v>
      </c>
    </row>
    <row r="13" spans="1:9" x14ac:dyDescent="0.2">
      <c r="A13" s="372" t="s">
        <v>465</v>
      </c>
      <c r="B13" s="18">
        <v>1000000</v>
      </c>
      <c r="C13" s="174" t="s">
        <v>463</v>
      </c>
      <c r="D13" s="18"/>
      <c r="E13" s="18">
        <v>1000000</v>
      </c>
      <c r="F13" s="18">
        <v>-1000000</v>
      </c>
      <c r="G13" s="18"/>
      <c r="H13" s="18">
        <f t="shared" si="0"/>
        <v>-1000000</v>
      </c>
      <c r="I13" s="31">
        <f t="shared" si="1"/>
        <v>0</v>
      </c>
    </row>
    <row r="14" spans="1:9" ht="15.95" customHeight="1" x14ac:dyDescent="0.2">
      <c r="A14" s="372" t="s">
        <v>466</v>
      </c>
      <c r="B14" s="18">
        <v>500000</v>
      </c>
      <c r="C14" s="174" t="s">
        <v>463</v>
      </c>
      <c r="D14" s="18"/>
      <c r="E14" s="18">
        <v>500000</v>
      </c>
      <c r="F14" s="18">
        <v>-500000</v>
      </c>
      <c r="G14" s="18"/>
      <c r="H14" s="18">
        <f t="shared" si="0"/>
        <v>-500000</v>
      </c>
      <c r="I14" s="31">
        <f t="shared" si="1"/>
        <v>0</v>
      </c>
    </row>
    <row r="15" spans="1:9" ht="15.95" customHeight="1" x14ac:dyDescent="0.2">
      <c r="A15" s="372" t="s">
        <v>467</v>
      </c>
      <c r="B15" s="18">
        <v>1000000</v>
      </c>
      <c r="C15" s="174" t="s">
        <v>463</v>
      </c>
      <c r="D15" s="18"/>
      <c r="E15" s="18">
        <v>1000000</v>
      </c>
      <c r="F15" s="18">
        <f>-500000-171000-45000</f>
        <v>-716000</v>
      </c>
      <c r="G15" s="18"/>
      <c r="H15" s="18">
        <f t="shared" si="0"/>
        <v>-716000</v>
      </c>
      <c r="I15" s="31">
        <f t="shared" si="1"/>
        <v>284000</v>
      </c>
    </row>
    <row r="16" spans="1:9" ht="15.95" customHeight="1" x14ac:dyDescent="0.2">
      <c r="A16" s="376" t="s">
        <v>468</v>
      </c>
      <c r="B16" s="18">
        <v>1800000</v>
      </c>
      <c r="C16" s="174" t="s">
        <v>463</v>
      </c>
      <c r="D16" s="18"/>
      <c r="E16" s="18">
        <v>1800000</v>
      </c>
      <c r="F16" s="18">
        <f>-298000-500000-788000-214000</f>
        <v>-1800000</v>
      </c>
      <c r="G16" s="18"/>
      <c r="H16" s="18">
        <f t="shared" si="0"/>
        <v>-1800000</v>
      </c>
      <c r="I16" s="31">
        <f t="shared" si="1"/>
        <v>0</v>
      </c>
    </row>
    <row r="17" spans="1:9" ht="15.95" customHeight="1" x14ac:dyDescent="0.2">
      <c r="A17" s="372" t="s">
        <v>469</v>
      </c>
      <c r="B17" s="18">
        <v>1000000</v>
      </c>
      <c r="C17" s="174" t="s">
        <v>463</v>
      </c>
      <c r="D17" s="18"/>
      <c r="E17" s="18">
        <v>1000000</v>
      </c>
      <c r="F17" s="18">
        <f>959000+259000</f>
        <v>1218000</v>
      </c>
      <c r="G17" s="18"/>
      <c r="H17" s="18">
        <f t="shared" si="0"/>
        <v>1218000</v>
      </c>
      <c r="I17" s="31">
        <f t="shared" si="1"/>
        <v>2218000</v>
      </c>
    </row>
    <row r="18" spans="1:9" ht="15.95" customHeight="1" x14ac:dyDescent="0.2">
      <c r="A18" s="373" t="s">
        <v>470</v>
      </c>
      <c r="B18" s="374">
        <v>1500000</v>
      </c>
      <c r="C18" s="375" t="s">
        <v>463</v>
      </c>
      <c r="D18" s="374"/>
      <c r="E18" s="374">
        <v>1500000</v>
      </c>
      <c r="F18" s="18"/>
      <c r="G18" s="18"/>
      <c r="H18" s="18">
        <f t="shared" si="0"/>
        <v>0</v>
      </c>
      <c r="I18" s="31">
        <f t="shared" si="1"/>
        <v>1500000</v>
      </c>
    </row>
    <row r="19" spans="1:9" ht="15.95" customHeight="1" x14ac:dyDescent="0.2">
      <c r="A19" s="173" t="s">
        <v>471</v>
      </c>
      <c r="B19" s="18">
        <v>1000000</v>
      </c>
      <c r="C19" s="174" t="s">
        <v>463</v>
      </c>
      <c r="D19" s="18"/>
      <c r="E19" s="18">
        <v>1000000</v>
      </c>
      <c r="F19" s="18">
        <v>-1000000</v>
      </c>
      <c r="G19" s="18"/>
      <c r="H19" s="18">
        <f t="shared" si="0"/>
        <v>-1000000</v>
      </c>
      <c r="I19" s="31">
        <f t="shared" si="1"/>
        <v>0</v>
      </c>
    </row>
    <row r="20" spans="1:9" ht="22.5" x14ac:dyDescent="0.2">
      <c r="A20" s="373" t="s">
        <v>472</v>
      </c>
      <c r="B20" s="374">
        <v>2000000</v>
      </c>
      <c r="C20" s="375" t="s">
        <v>463</v>
      </c>
      <c r="D20" s="374"/>
      <c r="E20" s="374">
        <v>2000000</v>
      </c>
      <c r="F20" s="18">
        <v>-1000000</v>
      </c>
      <c r="G20" s="18"/>
      <c r="H20" s="18">
        <f t="shared" si="0"/>
        <v>-1000000</v>
      </c>
      <c r="I20" s="31">
        <f t="shared" si="1"/>
        <v>1000000</v>
      </c>
    </row>
    <row r="21" spans="1:9" ht="20.100000000000001" customHeight="1" x14ac:dyDescent="0.2">
      <c r="A21" s="373" t="s">
        <v>473</v>
      </c>
      <c r="B21" s="374">
        <v>244000</v>
      </c>
      <c r="C21" s="375" t="s">
        <v>463</v>
      </c>
      <c r="D21" s="374"/>
      <c r="E21" s="374">
        <v>244000</v>
      </c>
      <c r="F21" s="18"/>
      <c r="G21" s="18"/>
      <c r="H21" s="18">
        <f>F21+G21</f>
        <v>0</v>
      </c>
      <c r="I21" s="31">
        <f>E21+H21</f>
        <v>244000</v>
      </c>
    </row>
    <row r="22" spans="1:9" ht="20.100000000000001" customHeight="1" x14ac:dyDescent="0.2">
      <c r="A22" s="173" t="s">
        <v>456</v>
      </c>
      <c r="B22" s="18">
        <v>100000</v>
      </c>
      <c r="C22" s="174" t="s">
        <v>463</v>
      </c>
      <c r="D22" s="18"/>
      <c r="E22" s="18">
        <v>100000</v>
      </c>
      <c r="F22" s="18">
        <f>100000+27000+1270</f>
        <v>128270</v>
      </c>
      <c r="G22" s="18"/>
      <c r="H22" s="18">
        <f>F22+G22</f>
        <v>128270</v>
      </c>
      <c r="I22" s="31">
        <f>E22+H22</f>
        <v>228270</v>
      </c>
    </row>
    <row r="23" spans="1:9" ht="20.100000000000001" customHeight="1" thickBot="1" x14ac:dyDescent="0.25">
      <c r="A23" s="173" t="s">
        <v>474</v>
      </c>
      <c r="B23" s="18">
        <v>1220000</v>
      </c>
      <c r="C23" s="174" t="s">
        <v>463</v>
      </c>
      <c r="D23" s="18"/>
      <c r="E23" s="18"/>
      <c r="F23" s="18">
        <f>1220000+318000</f>
        <v>1538000</v>
      </c>
      <c r="G23" s="18"/>
      <c r="H23" s="18">
        <f>F23+G23</f>
        <v>1538000</v>
      </c>
      <c r="I23" s="31">
        <f>E23+H23</f>
        <v>1538000</v>
      </c>
    </row>
    <row r="24" spans="1:9" s="35" customFormat="1" ht="18" customHeight="1" thickBot="1" x14ac:dyDescent="0.25">
      <c r="A24" s="56" t="s">
        <v>42</v>
      </c>
      <c r="B24" s="33">
        <f>SUM(B5:B23)</f>
        <v>347204498</v>
      </c>
      <c r="C24" s="43"/>
      <c r="D24" s="33">
        <f>SUM(D5:D21)</f>
        <v>62259498</v>
      </c>
      <c r="E24" s="33">
        <f>SUM(E5:E23)</f>
        <v>283725000</v>
      </c>
      <c r="F24" s="33">
        <f>SUM(F5:F23)</f>
        <v>-4942730</v>
      </c>
      <c r="G24" s="33">
        <f>SUM(G5:G23)</f>
        <v>0</v>
      </c>
      <c r="H24" s="33">
        <f>SUM(H5:H23)</f>
        <v>-4942730</v>
      </c>
      <c r="I24" s="34">
        <f>SUM(I5:I23)</f>
        <v>278782270</v>
      </c>
    </row>
  </sheetData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"/>
  <sheetViews>
    <sheetView view="pageLayout" zoomScaleNormal="100" zoomScaleSheetLayoutView="106" workbookViewId="0">
      <selection activeCell="H14" sqref="H14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1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46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3" t="s">
        <v>484</v>
      </c>
      <c r="G3" s="320" t="s">
        <v>631</v>
      </c>
      <c r="H3" s="321" t="s">
        <v>629</v>
      </c>
      <c r="I3" s="322" t="s">
        <v>626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318" t="s">
        <v>355</v>
      </c>
      <c r="G4" s="318" t="s">
        <v>356</v>
      </c>
      <c r="H4" s="318" t="s">
        <v>439</v>
      </c>
      <c r="I4" s="319" t="s">
        <v>438</v>
      </c>
    </row>
    <row r="5" spans="1:9" ht="15.95" customHeight="1" x14ac:dyDescent="0.2">
      <c r="A5" s="661" t="s">
        <v>620</v>
      </c>
      <c r="B5" s="18"/>
      <c r="C5" s="174"/>
      <c r="D5" s="18"/>
      <c r="E5" s="18"/>
      <c r="F5" s="18">
        <f>8215000+2210000</f>
        <v>10425000</v>
      </c>
      <c r="G5" s="18"/>
      <c r="H5" s="295">
        <f>F5+G5</f>
        <v>10425000</v>
      </c>
      <c r="I5" s="31">
        <f>E5+H5</f>
        <v>10425000</v>
      </c>
    </row>
    <row r="6" spans="1:9" ht="15.95" customHeight="1" thickBot="1" x14ac:dyDescent="0.25">
      <c r="A6" s="656" t="s">
        <v>623</v>
      </c>
      <c r="B6" s="18"/>
      <c r="C6" s="174"/>
      <c r="D6" s="18"/>
      <c r="E6" s="18"/>
      <c r="F6" s="18">
        <f>2397000+647000</f>
        <v>3044000</v>
      </c>
      <c r="G6" s="18"/>
      <c r="H6" s="295">
        <f>F6+G6</f>
        <v>3044000</v>
      </c>
      <c r="I6" s="31">
        <f>E6+H6</f>
        <v>3044000</v>
      </c>
    </row>
    <row r="7" spans="1:9" s="35" customFormat="1" ht="18" customHeight="1" thickBot="1" x14ac:dyDescent="0.25">
      <c r="A7" s="56" t="s">
        <v>42</v>
      </c>
      <c r="B7" s="33">
        <f>SUM(B5:B6)</f>
        <v>0</v>
      </c>
      <c r="C7" s="43"/>
      <c r="D7" s="33">
        <f>SUM(D5:D6)</f>
        <v>0</v>
      </c>
      <c r="E7" s="33">
        <f>SUM(E5:E6)</f>
        <v>0</v>
      </c>
      <c r="F7" s="33"/>
      <c r="G7" s="33"/>
      <c r="H7" s="33">
        <f>SUM(H5:H6)</f>
        <v>13469000</v>
      </c>
      <c r="I7" s="34">
        <f>SUM(I5:I6)</f>
        <v>13469000</v>
      </c>
    </row>
  </sheetData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00" zoomScaleSheetLayoutView="208" workbookViewId="0">
      <selection activeCell="B5" sqref="B5"/>
    </sheetView>
  </sheetViews>
  <sheetFormatPr defaultRowHeight="15" x14ac:dyDescent="0.25"/>
  <cols>
    <col min="1" max="1" width="5.6640625" style="395" customWidth="1"/>
    <col min="2" max="2" width="66.83203125" style="395" customWidth="1"/>
    <col min="3" max="3" width="27" style="395" customWidth="1"/>
    <col min="4" max="16384" width="9.33203125" style="395"/>
  </cols>
  <sheetData>
    <row r="1" spans="1:4" ht="68.25" customHeight="1" x14ac:dyDescent="0.25">
      <c r="A1" s="733" t="str">
        <f>+CONCATENATE("SÁGVÁR KÖZSÉG ÖNKORMÁNYZAT 2020. évi adósságot keletkeztető ügylet megkötését igénylő fejlesztési célok, valamint az adósságot keletkeztető ügyletek várható együttes összege")</f>
        <v>SÁGVÁR KÖZSÉG ÖNKORMÁNYZAT 2020. évi adósságot keletkeztető ügylet megkötését igénylő fejlesztési célok, valamint az adósságot keletkeztető ügyletek várható együttes összege</v>
      </c>
      <c r="B1" s="733"/>
      <c r="C1" s="733"/>
    </row>
    <row r="2" spans="1:4" ht="15.75" thickBot="1" x14ac:dyDescent="0.3">
      <c r="A2" s="396"/>
      <c r="B2" s="396"/>
      <c r="C2" s="397" t="str">
        <f>'[2]4.sz.mell.'!C2</f>
        <v>Forintban</v>
      </c>
      <c r="D2" s="398"/>
    </row>
    <row r="3" spans="1:4" ht="26.25" customHeight="1" thickBot="1" x14ac:dyDescent="0.3">
      <c r="A3" s="399" t="s">
        <v>485</v>
      </c>
      <c r="B3" s="400" t="s">
        <v>486</v>
      </c>
      <c r="C3" s="401" t="s">
        <v>487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406" t="s">
        <v>488</v>
      </c>
      <c r="C5" s="407">
        <v>72131629</v>
      </c>
    </row>
    <row r="6" spans="1:4" x14ac:dyDescent="0.25">
      <c r="A6" s="408" t="s">
        <v>6</v>
      </c>
      <c r="B6" s="409"/>
      <c r="C6" s="410"/>
    </row>
    <row r="7" spans="1:4" ht="15.75" thickBot="1" x14ac:dyDescent="0.3">
      <c r="A7" s="411" t="s">
        <v>7</v>
      </c>
      <c r="B7" s="412"/>
      <c r="C7" s="413"/>
    </row>
    <row r="8" spans="1:4" s="417" customFormat="1" ht="17.25" customHeight="1" thickBot="1" x14ac:dyDescent="0.25">
      <c r="A8" s="414" t="s">
        <v>8</v>
      </c>
      <c r="B8" s="415" t="s">
        <v>489</v>
      </c>
      <c r="C8" s="416">
        <f>SUM(C5:C7)</f>
        <v>72131629</v>
      </c>
    </row>
  </sheetData>
  <mergeCells count="1">
    <mergeCell ref="A1:C1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5. melléklet a 6/2020. (II. 25.) önkormányzati rendelethez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view="pageLayout" zoomScaleNormal="100" workbookViewId="0">
      <selection activeCell="E31" sqref="E31"/>
    </sheetView>
  </sheetViews>
  <sheetFormatPr defaultRowHeight="12.75" x14ac:dyDescent="0.2"/>
  <cols>
    <col min="1" max="1" width="38.6640625" style="419" customWidth="1"/>
    <col min="2" max="5" width="13.83203125" style="419" customWidth="1"/>
    <col min="6" max="16384" width="9.33203125" style="419"/>
  </cols>
  <sheetData>
    <row r="1" spans="1:5" ht="19.5" customHeight="1" x14ac:dyDescent="0.2">
      <c r="A1" s="418"/>
      <c r="B1" s="418"/>
      <c r="C1" s="418"/>
      <c r="D1" s="418"/>
      <c r="E1" s="418"/>
    </row>
    <row r="2" spans="1:5" ht="28.5" customHeight="1" x14ac:dyDescent="0.25">
      <c r="A2" s="420" t="s">
        <v>490</v>
      </c>
      <c r="B2" s="761" t="s">
        <v>491</v>
      </c>
      <c r="C2" s="761"/>
      <c r="D2" s="761"/>
      <c r="E2" s="761"/>
    </row>
    <row r="3" spans="1:5" ht="14.25" thickBot="1" x14ac:dyDescent="0.3">
      <c r="A3" s="418"/>
      <c r="B3" s="418"/>
      <c r="C3" s="418"/>
      <c r="D3" s="762" t="str">
        <f>'[2]7.sz.mell.'!F2</f>
        <v>Forintban</v>
      </c>
      <c r="E3" s="762"/>
    </row>
    <row r="4" spans="1:5" ht="15" customHeight="1" thickBot="1" x14ac:dyDescent="0.25">
      <c r="A4" s="421" t="s">
        <v>492</v>
      </c>
      <c r="B4" s="422" t="str">
        <f>CONCATENATE((LEFT([2]ÖSSZEFÜGGÉSEK!A5,4)),".")</f>
        <v>2020.</v>
      </c>
      <c r="C4" s="422" t="str">
        <f>CONCATENATE((LEFT([2]ÖSSZEFÜGGÉSEK!A5,4))+1,".")</f>
        <v>2021.</v>
      </c>
      <c r="D4" s="422" t="str">
        <f>CONCATENATE((LEFT([2]ÖSSZEFÜGGÉSEK!A5,4))+1,". után")</f>
        <v>2021. után</v>
      </c>
      <c r="E4" s="423" t="s">
        <v>493</v>
      </c>
    </row>
    <row r="5" spans="1:5" x14ac:dyDescent="0.2">
      <c r="A5" s="424" t="s">
        <v>494</v>
      </c>
      <c r="B5" s="425"/>
      <c r="C5" s="425"/>
      <c r="D5" s="425"/>
      <c r="E5" s="426">
        <f t="shared" ref="E5:E11" si="0">SUM(B5:D5)</f>
        <v>0</v>
      </c>
    </row>
    <row r="6" spans="1:5" x14ac:dyDescent="0.2">
      <c r="A6" s="427" t="s">
        <v>495</v>
      </c>
      <c r="B6" s="428"/>
      <c r="C6" s="428"/>
      <c r="D6" s="428"/>
      <c r="E6" s="429">
        <f t="shared" si="0"/>
        <v>0</v>
      </c>
    </row>
    <row r="7" spans="1:5" x14ac:dyDescent="0.2">
      <c r="A7" s="430" t="s">
        <v>496</v>
      </c>
      <c r="B7" s="431">
        <v>220000</v>
      </c>
      <c r="C7" s="431"/>
      <c r="D7" s="431"/>
      <c r="E7" s="432">
        <f t="shared" si="0"/>
        <v>220000</v>
      </c>
    </row>
    <row r="8" spans="1:5" x14ac:dyDescent="0.2">
      <c r="A8" s="430" t="s">
        <v>497</v>
      </c>
      <c r="B8" s="431"/>
      <c r="C8" s="431"/>
      <c r="D8" s="431"/>
      <c r="E8" s="432">
        <f t="shared" si="0"/>
        <v>0</v>
      </c>
    </row>
    <row r="9" spans="1:5" x14ac:dyDescent="0.2">
      <c r="A9" s="430" t="s">
        <v>498</v>
      </c>
      <c r="B9" s="431"/>
      <c r="C9" s="431"/>
      <c r="D9" s="431"/>
      <c r="E9" s="432">
        <f t="shared" si="0"/>
        <v>0</v>
      </c>
    </row>
    <row r="10" spans="1:5" x14ac:dyDescent="0.2">
      <c r="A10" s="430" t="s">
        <v>499</v>
      </c>
      <c r="B10" s="431"/>
      <c r="C10" s="431"/>
      <c r="D10" s="431"/>
      <c r="E10" s="432">
        <f t="shared" si="0"/>
        <v>0</v>
      </c>
    </row>
    <row r="11" spans="1:5" ht="13.5" thickBot="1" x14ac:dyDescent="0.25">
      <c r="A11" s="433"/>
      <c r="B11" s="434"/>
      <c r="C11" s="434"/>
      <c r="D11" s="434"/>
      <c r="E11" s="432">
        <f t="shared" si="0"/>
        <v>0</v>
      </c>
    </row>
    <row r="12" spans="1:5" ht="13.5" thickBot="1" x14ac:dyDescent="0.25">
      <c r="A12" s="435" t="s">
        <v>500</v>
      </c>
      <c r="B12" s="436">
        <f>B5+SUM(B7:B11)</f>
        <v>220000</v>
      </c>
      <c r="C12" s="436">
        <f>C5+SUM(C7:C11)</f>
        <v>0</v>
      </c>
      <c r="D12" s="436">
        <f>D5+SUM(D7:D11)</f>
        <v>0</v>
      </c>
      <c r="E12" s="437">
        <f>E5+SUM(E7:E11)</f>
        <v>220000</v>
      </c>
    </row>
    <row r="13" spans="1:5" ht="13.5" thickBot="1" x14ac:dyDescent="0.25">
      <c r="A13" s="438"/>
      <c r="B13" s="438"/>
      <c r="C13" s="438"/>
      <c r="D13" s="438"/>
      <c r="E13" s="438"/>
    </row>
    <row r="14" spans="1:5" ht="15" customHeight="1" thickBot="1" x14ac:dyDescent="0.25">
      <c r="A14" s="421" t="s">
        <v>501</v>
      </c>
      <c r="B14" s="422" t="str">
        <f>+B4</f>
        <v>2020.</v>
      </c>
      <c r="C14" s="422" t="str">
        <f>+C4</f>
        <v>2021.</v>
      </c>
      <c r="D14" s="422" t="str">
        <f>+D4</f>
        <v>2021. után</v>
      </c>
      <c r="E14" s="423" t="s">
        <v>493</v>
      </c>
    </row>
    <row r="15" spans="1:5" x14ac:dyDescent="0.2">
      <c r="A15" s="424" t="s">
        <v>502</v>
      </c>
      <c r="B15" s="425"/>
      <c r="C15" s="425"/>
      <c r="D15" s="425"/>
      <c r="E15" s="426">
        <f t="shared" ref="E15:E21" si="1">SUM(B15:D15)</f>
        <v>0</v>
      </c>
    </row>
    <row r="16" spans="1:5" x14ac:dyDescent="0.2">
      <c r="A16" s="439" t="s">
        <v>503</v>
      </c>
      <c r="B16" s="431"/>
      <c r="C16" s="431"/>
      <c r="D16" s="431"/>
      <c r="E16" s="432">
        <f t="shared" si="1"/>
        <v>0</v>
      </c>
    </row>
    <row r="17" spans="1:5" x14ac:dyDescent="0.2">
      <c r="A17" s="430" t="s">
        <v>504</v>
      </c>
      <c r="B17" s="431">
        <v>220000</v>
      </c>
      <c r="C17" s="431"/>
      <c r="D17" s="431"/>
      <c r="E17" s="432">
        <f t="shared" si="1"/>
        <v>220000</v>
      </c>
    </row>
    <row r="18" spans="1:5" x14ac:dyDescent="0.2">
      <c r="A18" s="430" t="s">
        <v>505</v>
      </c>
      <c r="B18" s="431"/>
      <c r="C18" s="431"/>
      <c r="D18" s="431"/>
      <c r="E18" s="432">
        <f t="shared" si="1"/>
        <v>0</v>
      </c>
    </row>
    <row r="19" spans="1:5" x14ac:dyDescent="0.2">
      <c r="A19" s="440"/>
      <c r="B19" s="431"/>
      <c r="C19" s="431"/>
      <c r="D19" s="431"/>
      <c r="E19" s="432">
        <f t="shared" si="1"/>
        <v>0</v>
      </c>
    </row>
    <row r="20" spans="1:5" x14ac:dyDescent="0.2">
      <c r="A20" s="440"/>
      <c r="B20" s="431"/>
      <c r="C20" s="431"/>
      <c r="D20" s="431"/>
      <c r="E20" s="432">
        <f t="shared" si="1"/>
        <v>0</v>
      </c>
    </row>
    <row r="21" spans="1:5" ht="13.5" thickBot="1" x14ac:dyDescent="0.25">
      <c r="A21" s="433"/>
      <c r="B21" s="434"/>
      <c r="C21" s="434"/>
      <c r="D21" s="434"/>
      <c r="E21" s="432">
        <f t="shared" si="1"/>
        <v>0</v>
      </c>
    </row>
    <row r="22" spans="1:5" ht="13.5" thickBot="1" x14ac:dyDescent="0.25">
      <c r="A22" s="435" t="s">
        <v>506</v>
      </c>
      <c r="B22" s="436">
        <f>SUM(B15:B21)</f>
        <v>220000</v>
      </c>
      <c r="C22" s="436">
        <f>SUM(C15:C21)</f>
        <v>0</v>
      </c>
      <c r="D22" s="436">
        <f>SUM(D15:D21)</f>
        <v>0</v>
      </c>
      <c r="E22" s="437">
        <f>SUM(E15:E21)</f>
        <v>220000</v>
      </c>
    </row>
    <row r="23" spans="1:5" x14ac:dyDescent="0.2">
      <c r="A23" s="418"/>
      <c r="B23" s="418"/>
      <c r="C23" s="418"/>
      <c r="D23" s="418"/>
      <c r="E23" s="418"/>
    </row>
    <row r="24" spans="1:5" x14ac:dyDescent="0.2">
      <c r="A24" s="418"/>
      <c r="B24" s="418"/>
      <c r="C24" s="418"/>
      <c r="D24" s="418"/>
      <c r="E24" s="418"/>
    </row>
    <row r="25" spans="1:5" x14ac:dyDescent="0.2">
      <c r="A25" s="441"/>
      <c r="B25" s="442"/>
      <c r="C25" s="442"/>
      <c r="D25" s="442"/>
      <c r="E25" s="442"/>
    </row>
    <row r="26" spans="1:5" ht="25.5" customHeight="1" x14ac:dyDescent="0.25">
      <c r="A26" s="420" t="s">
        <v>490</v>
      </c>
      <c r="B26" s="761" t="s">
        <v>451</v>
      </c>
      <c r="C26" s="761"/>
      <c r="D26" s="761"/>
      <c r="E26" s="761"/>
    </row>
    <row r="27" spans="1:5" ht="14.25" thickBot="1" x14ac:dyDescent="0.3">
      <c r="A27" s="418"/>
      <c r="B27" s="418"/>
      <c r="C27" s="418"/>
      <c r="D27" s="762" t="s">
        <v>445</v>
      </c>
      <c r="E27" s="762"/>
    </row>
    <row r="28" spans="1:5" ht="13.5" thickBot="1" x14ac:dyDescent="0.25">
      <c r="A28" s="421" t="s">
        <v>492</v>
      </c>
      <c r="B28" s="422" t="str">
        <f>CONCATENATE((LEFT([2]ÖSSZEFÜGGÉSEK!A5,4)),".")</f>
        <v>2020.</v>
      </c>
      <c r="C28" s="422" t="str">
        <f>CONCATENATE((LEFT([2]ÖSSZEFÜGGÉSEK!A5,4))+1,".")</f>
        <v>2021.</v>
      </c>
      <c r="D28" s="422" t="str">
        <f>CONCATENATE((LEFT([2]ÖSSZEFÜGGÉSEK!A5,4))+1,".után")</f>
        <v>2021.után</v>
      </c>
      <c r="E28" s="423" t="s">
        <v>493</v>
      </c>
    </row>
    <row r="29" spans="1:5" x14ac:dyDescent="0.2">
      <c r="A29" s="424" t="s">
        <v>494</v>
      </c>
      <c r="B29" s="425"/>
      <c r="C29" s="425"/>
      <c r="D29" s="425"/>
      <c r="E29" s="426">
        <f t="shared" ref="E29:E35" si="2">SUM(B29:D29)</f>
        <v>0</v>
      </c>
    </row>
    <row r="30" spans="1:5" x14ac:dyDescent="0.2">
      <c r="A30" s="427" t="s">
        <v>495</v>
      </c>
      <c r="B30" s="428"/>
      <c r="C30" s="428"/>
      <c r="D30" s="428"/>
      <c r="E30" s="429">
        <f t="shared" si="2"/>
        <v>0</v>
      </c>
    </row>
    <row r="31" spans="1:5" x14ac:dyDescent="0.2">
      <c r="A31" s="430" t="s">
        <v>496</v>
      </c>
      <c r="B31" s="431">
        <v>14400000</v>
      </c>
      <c r="C31" s="431"/>
      <c r="D31" s="431"/>
      <c r="E31" s="432">
        <f t="shared" si="2"/>
        <v>14400000</v>
      </c>
    </row>
    <row r="32" spans="1:5" x14ac:dyDescent="0.2">
      <c r="A32" s="430" t="s">
        <v>497</v>
      </c>
      <c r="B32" s="431"/>
      <c r="C32" s="431"/>
      <c r="D32" s="431"/>
      <c r="E32" s="432">
        <f t="shared" si="2"/>
        <v>0</v>
      </c>
    </row>
    <row r="33" spans="1:5" x14ac:dyDescent="0.2">
      <c r="A33" s="430" t="s">
        <v>498</v>
      </c>
      <c r="B33" s="431"/>
      <c r="C33" s="431"/>
      <c r="D33" s="431"/>
      <c r="E33" s="432">
        <f t="shared" si="2"/>
        <v>0</v>
      </c>
    </row>
    <row r="34" spans="1:5" x14ac:dyDescent="0.2">
      <c r="A34" s="430" t="s">
        <v>499</v>
      </c>
      <c r="B34" s="431"/>
      <c r="C34" s="431"/>
      <c r="D34" s="431"/>
      <c r="E34" s="432">
        <f t="shared" si="2"/>
        <v>0</v>
      </c>
    </row>
    <row r="35" spans="1:5" ht="13.5" thickBot="1" x14ac:dyDescent="0.25">
      <c r="A35" s="433"/>
      <c r="B35" s="434"/>
      <c r="C35" s="434"/>
      <c r="D35" s="434"/>
      <c r="E35" s="432">
        <f t="shared" si="2"/>
        <v>0</v>
      </c>
    </row>
    <row r="36" spans="1:5" ht="13.5" thickBot="1" x14ac:dyDescent="0.25">
      <c r="A36" s="435" t="s">
        <v>500</v>
      </c>
      <c r="B36" s="436">
        <f>B29+SUM(B31:B35)</f>
        <v>14400000</v>
      </c>
      <c r="C36" s="436">
        <f>C29+SUM(C31:C35)</f>
        <v>0</v>
      </c>
      <c r="D36" s="436">
        <f>D29+SUM(D31:D35)</f>
        <v>0</v>
      </c>
      <c r="E36" s="437">
        <f>E29+SUM(E31:E35)</f>
        <v>14400000</v>
      </c>
    </row>
    <row r="37" spans="1:5" ht="13.5" thickBot="1" x14ac:dyDescent="0.25">
      <c r="A37" s="438"/>
      <c r="B37" s="438"/>
      <c r="C37" s="438"/>
      <c r="D37" s="438"/>
      <c r="E37" s="438"/>
    </row>
    <row r="38" spans="1:5" ht="13.5" thickBot="1" x14ac:dyDescent="0.25">
      <c r="A38" s="421" t="s">
        <v>501</v>
      </c>
      <c r="B38" s="422" t="str">
        <f>+B28</f>
        <v>2020.</v>
      </c>
      <c r="C38" s="422" t="str">
        <f>+C28</f>
        <v>2021.</v>
      </c>
      <c r="D38" s="422" t="str">
        <f>+D28</f>
        <v>2021.után</v>
      </c>
      <c r="E38" s="423" t="s">
        <v>493</v>
      </c>
    </row>
    <row r="39" spans="1:5" x14ac:dyDescent="0.2">
      <c r="A39" s="424" t="s">
        <v>502</v>
      </c>
      <c r="B39" s="425"/>
      <c r="C39" s="425"/>
      <c r="D39" s="425"/>
      <c r="E39" s="426">
        <f t="shared" ref="E39:E45" si="3">SUM(B39:D39)</f>
        <v>0</v>
      </c>
    </row>
    <row r="40" spans="1:5" x14ac:dyDescent="0.2">
      <c r="A40" s="439" t="s">
        <v>503</v>
      </c>
      <c r="B40" s="431">
        <v>14000000</v>
      </c>
      <c r="C40" s="431"/>
      <c r="D40" s="431"/>
      <c r="E40" s="432">
        <f t="shared" si="3"/>
        <v>14000000</v>
      </c>
    </row>
    <row r="41" spans="1:5" x14ac:dyDescent="0.2">
      <c r="A41" s="430" t="s">
        <v>504</v>
      </c>
      <c r="B41" s="431">
        <v>400000</v>
      </c>
      <c r="C41" s="431"/>
      <c r="D41" s="431"/>
      <c r="E41" s="432">
        <f t="shared" si="3"/>
        <v>400000</v>
      </c>
    </row>
    <row r="42" spans="1:5" x14ac:dyDescent="0.2">
      <c r="A42" s="430" t="s">
        <v>505</v>
      </c>
      <c r="B42" s="431"/>
      <c r="C42" s="431"/>
      <c r="D42" s="431"/>
      <c r="E42" s="432">
        <f t="shared" si="3"/>
        <v>0</v>
      </c>
    </row>
    <row r="43" spans="1:5" x14ac:dyDescent="0.2">
      <c r="A43" s="440"/>
      <c r="B43" s="431"/>
      <c r="C43" s="431"/>
      <c r="D43" s="431"/>
      <c r="E43" s="432">
        <f t="shared" si="3"/>
        <v>0</v>
      </c>
    </row>
    <row r="44" spans="1:5" x14ac:dyDescent="0.2">
      <c r="A44" s="440"/>
      <c r="B44" s="431"/>
      <c r="C44" s="431"/>
      <c r="D44" s="431"/>
      <c r="E44" s="432">
        <f t="shared" si="3"/>
        <v>0</v>
      </c>
    </row>
    <row r="45" spans="1:5" ht="13.5" thickBot="1" x14ac:dyDescent="0.25">
      <c r="A45" s="433"/>
      <c r="B45" s="434"/>
      <c r="C45" s="434"/>
      <c r="D45" s="434"/>
      <c r="E45" s="432">
        <f t="shared" si="3"/>
        <v>0</v>
      </c>
    </row>
    <row r="46" spans="1:5" ht="13.5" thickBot="1" x14ac:dyDescent="0.25">
      <c r="A46" s="435" t="s">
        <v>506</v>
      </c>
      <c r="B46" s="436">
        <f>SUM(B39:B45)</f>
        <v>14400000</v>
      </c>
      <c r="C46" s="436">
        <f>SUM(C39:C45)</f>
        <v>0</v>
      </c>
      <c r="D46" s="436">
        <f>SUM(D39:D45)</f>
        <v>0</v>
      </c>
      <c r="E46" s="437">
        <f>SUM(E39:E45)</f>
        <v>14400000</v>
      </c>
    </row>
    <row r="47" spans="1:5" x14ac:dyDescent="0.2">
      <c r="A47" s="441"/>
      <c r="B47" s="442"/>
      <c r="C47" s="442"/>
      <c r="D47" s="442"/>
      <c r="E47" s="442"/>
    </row>
    <row r="48" spans="1:5" x14ac:dyDescent="0.2">
      <c r="A48" s="441"/>
      <c r="B48" s="442"/>
      <c r="C48" s="442"/>
      <c r="D48" s="442"/>
      <c r="E48" s="442"/>
    </row>
    <row r="49" spans="1:5" ht="27" customHeight="1" x14ac:dyDescent="0.25">
      <c r="A49" s="420" t="s">
        <v>490</v>
      </c>
      <c r="B49" s="761" t="s">
        <v>452</v>
      </c>
      <c r="C49" s="761"/>
      <c r="D49" s="761"/>
      <c r="E49" s="761"/>
    </row>
    <row r="50" spans="1:5" ht="14.25" thickBot="1" x14ac:dyDescent="0.3">
      <c r="A50" s="418"/>
      <c r="B50" s="418"/>
      <c r="C50" s="418"/>
      <c r="D50" s="760" t="str">
        <f>D27</f>
        <v>Forintban</v>
      </c>
      <c r="E50" s="760"/>
    </row>
    <row r="51" spans="1:5" ht="13.5" thickBot="1" x14ac:dyDescent="0.25">
      <c r="A51" s="421" t="s">
        <v>492</v>
      </c>
      <c r="B51" s="422" t="str">
        <f>+B38</f>
        <v>2020.</v>
      </c>
      <c r="C51" s="422" t="str">
        <f>+C38</f>
        <v>2021.</v>
      </c>
      <c r="D51" s="422" t="str">
        <f>+D38</f>
        <v>2021.után</v>
      </c>
      <c r="E51" s="423" t="s">
        <v>493</v>
      </c>
    </row>
    <row r="52" spans="1:5" x14ac:dyDescent="0.2">
      <c r="A52" s="424" t="s">
        <v>494</v>
      </c>
      <c r="B52" s="425"/>
      <c r="C52" s="425"/>
      <c r="D52" s="425"/>
      <c r="E52" s="426">
        <f t="shared" ref="E52:E58" si="4">SUM(B52:D52)</f>
        <v>0</v>
      </c>
    </row>
    <row r="53" spans="1:5" x14ac:dyDescent="0.2">
      <c r="A53" s="427" t="s">
        <v>495</v>
      </c>
      <c r="B53" s="428"/>
      <c r="C53" s="428"/>
      <c r="D53" s="428"/>
      <c r="E53" s="429">
        <f t="shared" si="4"/>
        <v>0</v>
      </c>
    </row>
    <row r="54" spans="1:5" x14ac:dyDescent="0.2">
      <c r="A54" s="430" t="s">
        <v>496</v>
      </c>
      <c r="B54" s="431">
        <v>253109000</v>
      </c>
      <c r="C54" s="431"/>
      <c r="D54" s="431"/>
      <c r="E54" s="432">
        <f t="shared" si="4"/>
        <v>253109000</v>
      </c>
    </row>
    <row r="55" spans="1:5" x14ac:dyDescent="0.2">
      <c r="A55" s="430" t="s">
        <v>497</v>
      </c>
      <c r="B55" s="431"/>
      <c r="C55" s="431"/>
      <c r="D55" s="431"/>
      <c r="E55" s="432">
        <f t="shared" si="4"/>
        <v>0</v>
      </c>
    </row>
    <row r="56" spans="1:5" x14ac:dyDescent="0.2">
      <c r="A56" s="430" t="s">
        <v>498</v>
      </c>
      <c r="B56" s="431">
        <v>73000000</v>
      </c>
      <c r="C56" s="431"/>
      <c r="D56" s="431"/>
      <c r="E56" s="432">
        <f t="shared" si="4"/>
        <v>73000000</v>
      </c>
    </row>
    <row r="57" spans="1:5" x14ac:dyDescent="0.2">
      <c r="A57" s="430" t="s">
        <v>499</v>
      </c>
      <c r="B57" s="431"/>
      <c r="C57" s="431"/>
      <c r="D57" s="431"/>
      <c r="E57" s="432">
        <f t="shared" si="4"/>
        <v>0</v>
      </c>
    </row>
    <row r="58" spans="1:5" ht="13.5" thickBot="1" x14ac:dyDescent="0.25">
      <c r="A58" s="433"/>
      <c r="B58" s="434"/>
      <c r="C58" s="434"/>
      <c r="D58" s="434"/>
      <c r="E58" s="432">
        <f t="shared" si="4"/>
        <v>0</v>
      </c>
    </row>
    <row r="59" spans="1:5" ht="13.5" thickBot="1" x14ac:dyDescent="0.25">
      <c r="A59" s="435" t="s">
        <v>500</v>
      </c>
      <c r="B59" s="436">
        <f>B52+SUM(B54:B58)</f>
        <v>326109000</v>
      </c>
      <c r="C59" s="436">
        <f>C52+SUM(C54:C58)</f>
        <v>0</v>
      </c>
      <c r="D59" s="436">
        <f>D52+SUM(D54:D58)</f>
        <v>0</v>
      </c>
      <c r="E59" s="437">
        <f>E52+SUM(E54:E58)</f>
        <v>326109000</v>
      </c>
    </row>
    <row r="60" spans="1:5" ht="13.5" thickBot="1" x14ac:dyDescent="0.25">
      <c r="A60" s="438"/>
      <c r="B60" s="438"/>
      <c r="C60" s="438"/>
      <c r="D60" s="438"/>
      <c r="E60" s="438"/>
    </row>
    <row r="61" spans="1:5" ht="13.5" thickBot="1" x14ac:dyDescent="0.25">
      <c r="A61" s="421" t="s">
        <v>501</v>
      </c>
      <c r="B61" s="422" t="str">
        <f>+B51</f>
        <v>2020.</v>
      </c>
      <c r="C61" s="422" t="str">
        <f>+C51</f>
        <v>2021.</v>
      </c>
      <c r="D61" s="422" t="str">
        <f>+D51</f>
        <v>2021.után</v>
      </c>
      <c r="E61" s="423" t="s">
        <v>493</v>
      </c>
    </row>
    <row r="62" spans="1:5" x14ac:dyDescent="0.2">
      <c r="A62" s="424" t="s">
        <v>502</v>
      </c>
      <c r="B62" s="425"/>
      <c r="C62" s="425"/>
      <c r="D62" s="425"/>
      <c r="E62" s="426">
        <f t="shared" ref="E62:E68" si="5">SUM(B62:D62)</f>
        <v>0</v>
      </c>
    </row>
    <row r="63" spans="1:5" x14ac:dyDescent="0.2">
      <c r="A63" s="439" t="s">
        <v>503</v>
      </c>
      <c r="B63" s="431">
        <v>250479000</v>
      </c>
      <c r="C63" s="431"/>
      <c r="D63" s="431"/>
      <c r="E63" s="432">
        <f t="shared" si="5"/>
        <v>250479000</v>
      </c>
    </row>
    <row r="64" spans="1:5" x14ac:dyDescent="0.2">
      <c r="A64" s="430" t="s">
        <v>504</v>
      </c>
      <c r="B64" s="431">
        <v>75630000</v>
      </c>
      <c r="C64" s="431"/>
      <c r="D64" s="431"/>
      <c r="E64" s="432">
        <f t="shared" si="5"/>
        <v>75630000</v>
      </c>
    </row>
    <row r="65" spans="1:5" x14ac:dyDescent="0.2">
      <c r="A65" s="430" t="s">
        <v>505</v>
      </c>
      <c r="B65" s="431"/>
      <c r="C65" s="431"/>
      <c r="D65" s="431"/>
      <c r="E65" s="432">
        <f t="shared" si="5"/>
        <v>0</v>
      </c>
    </row>
    <row r="66" spans="1:5" x14ac:dyDescent="0.2">
      <c r="A66" s="440"/>
      <c r="B66" s="431"/>
      <c r="C66" s="431"/>
      <c r="D66" s="431"/>
      <c r="E66" s="432">
        <f t="shared" si="5"/>
        <v>0</v>
      </c>
    </row>
    <row r="67" spans="1:5" x14ac:dyDescent="0.2">
      <c r="A67" s="440"/>
      <c r="B67" s="431"/>
      <c r="C67" s="431"/>
      <c r="D67" s="431"/>
      <c r="E67" s="432">
        <f t="shared" si="5"/>
        <v>0</v>
      </c>
    </row>
    <row r="68" spans="1:5" ht="13.5" thickBot="1" x14ac:dyDescent="0.25">
      <c r="A68" s="433"/>
      <c r="B68" s="434"/>
      <c r="C68" s="434"/>
      <c r="D68" s="434"/>
      <c r="E68" s="432">
        <f t="shared" si="5"/>
        <v>0</v>
      </c>
    </row>
    <row r="69" spans="1:5" ht="13.5" thickBot="1" x14ac:dyDescent="0.25">
      <c r="A69" s="435" t="s">
        <v>506</v>
      </c>
      <c r="B69" s="436">
        <f>SUM(B62:B68)</f>
        <v>326109000</v>
      </c>
      <c r="C69" s="436">
        <f>SUM(C62:C68)</f>
        <v>0</v>
      </c>
      <c r="D69" s="436">
        <f>SUM(D62:D68)</f>
        <v>0</v>
      </c>
      <c r="E69" s="437">
        <f>SUM(E62:E68)</f>
        <v>326109000</v>
      </c>
    </row>
    <row r="70" spans="1:5" x14ac:dyDescent="0.2">
      <c r="A70" s="441"/>
      <c r="B70" s="442"/>
      <c r="C70" s="442"/>
      <c r="D70" s="442"/>
      <c r="E70" s="442"/>
    </row>
    <row r="71" spans="1:5" x14ac:dyDescent="0.2">
      <c r="A71" s="441"/>
      <c r="B71" s="442"/>
      <c r="C71" s="442"/>
      <c r="D71" s="442"/>
      <c r="E71" s="442"/>
    </row>
    <row r="72" spans="1:5" ht="27" customHeight="1" x14ac:dyDescent="0.25">
      <c r="A72" s="420" t="s">
        <v>490</v>
      </c>
      <c r="B72" s="761" t="s">
        <v>453</v>
      </c>
      <c r="C72" s="761"/>
      <c r="D72" s="761"/>
      <c r="E72" s="761"/>
    </row>
    <row r="73" spans="1:5" ht="14.25" thickBot="1" x14ac:dyDescent="0.3">
      <c r="A73" s="418"/>
      <c r="B73" s="418"/>
      <c r="C73" s="418"/>
      <c r="D73" s="760" t="str">
        <f>D50</f>
        <v>Forintban</v>
      </c>
      <c r="E73" s="760"/>
    </row>
    <row r="74" spans="1:5" ht="13.5" thickBot="1" x14ac:dyDescent="0.25">
      <c r="A74" s="421" t="s">
        <v>492</v>
      </c>
      <c r="B74" s="422" t="str">
        <f>+B61</f>
        <v>2020.</v>
      </c>
      <c r="C74" s="422" t="str">
        <f>+C61</f>
        <v>2021.</v>
      </c>
      <c r="D74" s="422" t="str">
        <f>+D61</f>
        <v>2021.után</v>
      </c>
      <c r="E74" s="423" t="s">
        <v>493</v>
      </c>
    </row>
    <row r="75" spans="1:5" x14ac:dyDescent="0.2">
      <c r="A75" s="424" t="s">
        <v>494</v>
      </c>
      <c r="B75" s="425"/>
      <c r="C75" s="425"/>
      <c r="D75" s="425"/>
      <c r="E75" s="426">
        <f t="shared" ref="E75:E81" si="6">SUM(B75:D75)</f>
        <v>0</v>
      </c>
    </row>
    <row r="76" spans="1:5" x14ac:dyDescent="0.2">
      <c r="A76" s="427" t="s">
        <v>495</v>
      </c>
      <c r="B76" s="428"/>
      <c r="C76" s="428"/>
      <c r="D76" s="428"/>
      <c r="E76" s="429">
        <f t="shared" si="6"/>
        <v>0</v>
      </c>
    </row>
    <row r="77" spans="1:5" x14ac:dyDescent="0.2">
      <c r="A77" s="430" t="s">
        <v>496</v>
      </c>
      <c r="B77" s="431">
        <v>1490000</v>
      </c>
      <c r="C77" s="431"/>
      <c r="D77" s="431"/>
      <c r="E77" s="432">
        <f t="shared" si="6"/>
        <v>1490000</v>
      </c>
    </row>
    <row r="78" spans="1:5" x14ac:dyDescent="0.2">
      <c r="A78" s="430" t="s">
        <v>497</v>
      </c>
      <c r="B78" s="431"/>
      <c r="C78" s="431"/>
      <c r="D78" s="431"/>
      <c r="E78" s="432">
        <f t="shared" si="6"/>
        <v>0</v>
      </c>
    </row>
    <row r="79" spans="1:5" x14ac:dyDescent="0.2">
      <c r="A79" s="430" t="s">
        <v>498</v>
      </c>
      <c r="B79" s="431"/>
      <c r="C79" s="431"/>
      <c r="D79" s="431"/>
      <c r="E79" s="432">
        <f t="shared" si="6"/>
        <v>0</v>
      </c>
    </row>
    <row r="80" spans="1:5" x14ac:dyDescent="0.2">
      <c r="A80" s="430" t="s">
        <v>499</v>
      </c>
      <c r="B80" s="431"/>
      <c r="C80" s="431"/>
      <c r="D80" s="431"/>
      <c r="E80" s="432">
        <f t="shared" si="6"/>
        <v>0</v>
      </c>
    </row>
    <row r="81" spans="1:5" ht="13.5" thickBot="1" x14ac:dyDescent="0.25">
      <c r="A81" s="433"/>
      <c r="B81" s="434"/>
      <c r="C81" s="434"/>
      <c r="D81" s="434"/>
      <c r="E81" s="432">
        <f t="shared" si="6"/>
        <v>0</v>
      </c>
    </row>
    <row r="82" spans="1:5" ht="13.5" thickBot="1" x14ac:dyDescent="0.25">
      <c r="A82" s="435" t="s">
        <v>500</v>
      </c>
      <c r="B82" s="436">
        <f>B75+SUM(B77:B81)</f>
        <v>1490000</v>
      </c>
      <c r="C82" s="436">
        <f>C75+SUM(C77:C81)</f>
        <v>0</v>
      </c>
      <c r="D82" s="436">
        <f>D75+SUM(D77:D81)</f>
        <v>0</v>
      </c>
      <c r="E82" s="437">
        <f>E75+SUM(E77:E81)</f>
        <v>1490000</v>
      </c>
    </row>
    <row r="83" spans="1:5" ht="13.5" thickBot="1" x14ac:dyDescent="0.25">
      <c r="A83" s="438"/>
      <c r="B83" s="438"/>
      <c r="C83" s="438"/>
      <c r="D83" s="438"/>
      <c r="E83" s="438"/>
    </row>
    <row r="84" spans="1:5" ht="13.5" thickBot="1" x14ac:dyDescent="0.25">
      <c r="A84" s="421" t="s">
        <v>501</v>
      </c>
      <c r="B84" s="422" t="str">
        <f>+B74</f>
        <v>2020.</v>
      </c>
      <c r="C84" s="422" t="str">
        <f>+C74</f>
        <v>2021.</v>
      </c>
      <c r="D84" s="422" t="str">
        <f>+D74</f>
        <v>2021.után</v>
      </c>
      <c r="E84" s="423" t="s">
        <v>493</v>
      </c>
    </row>
    <row r="85" spans="1:5" x14ac:dyDescent="0.2">
      <c r="A85" s="424" t="s">
        <v>502</v>
      </c>
      <c r="B85" s="425"/>
      <c r="C85" s="425"/>
      <c r="D85" s="425"/>
      <c r="E85" s="426">
        <f t="shared" ref="E85:E91" si="7">SUM(B85:D85)</f>
        <v>0</v>
      </c>
    </row>
    <row r="86" spans="1:5" x14ac:dyDescent="0.2">
      <c r="A86" s="439" t="s">
        <v>503</v>
      </c>
      <c r="B86" s="431">
        <v>1190000</v>
      </c>
      <c r="C86" s="431"/>
      <c r="D86" s="431"/>
      <c r="E86" s="432">
        <f t="shared" si="7"/>
        <v>1190000</v>
      </c>
    </row>
    <row r="87" spans="1:5" x14ac:dyDescent="0.2">
      <c r="A87" s="430" t="s">
        <v>504</v>
      </c>
      <c r="B87" s="431">
        <v>300000</v>
      </c>
      <c r="C87" s="431"/>
      <c r="D87" s="431"/>
      <c r="E87" s="432">
        <f t="shared" si="7"/>
        <v>300000</v>
      </c>
    </row>
    <row r="88" spans="1:5" x14ac:dyDescent="0.2">
      <c r="A88" s="430" t="s">
        <v>505</v>
      </c>
      <c r="B88" s="431"/>
      <c r="C88" s="431"/>
      <c r="D88" s="431"/>
      <c r="E88" s="432">
        <f t="shared" si="7"/>
        <v>0</v>
      </c>
    </row>
    <row r="89" spans="1:5" x14ac:dyDescent="0.2">
      <c r="A89" s="440"/>
      <c r="B89" s="431"/>
      <c r="C89" s="431"/>
      <c r="D89" s="431"/>
      <c r="E89" s="432">
        <f t="shared" si="7"/>
        <v>0</v>
      </c>
    </row>
    <row r="90" spans="1:5" x14ac:dyDescent="0.2">
      <c r="A90" s="440"/>
      <c r="B90" s="431"/>
      <c r="C90" s="431"/>
      <c r="D90" s="431"/>
      <c r="E90" s="432">
        <f t="shared" si="7"/>
        <v>0</v>
      </c>
    </row>
    <row r="91" spans="1:5" ht="13.5" thickBot="1" x14ac:dyDescent="0.25">
      <c r="A91" s="433"/>
      <c r="B91" s="434"/>
      <c r="C91" s="434"/>
      <c r="D91" s="434"/>
      <c r="E91" s="432">
        <f t="shared" si="7"/>
        <v>0</v>
      </c>
    </row>
    <row r="92" spans="1:5" ht="13.5" thickBot="1" x14ac:dyDescent="0.25">
      <c r="A92" s="435" t="s">
        <v>506</v>
      </c>
      <c r="B92" s="436">
        <f>SUM(B85:B91)</f>
        <v>1490000</v>
      </c>
      <c r="C92" s="436">
        <f>SUM(C85:C91)</f>
        <v>0</v>
      </c>
      <c r="D92" s="436">
        <f>SUM(D85:D91)</f>
        <v>0</v>
      </c>
      <c r="E92" s="437">
        <f>SUM(E85:E91)</f>
        <v>1490000</v>
      </c>
    </row>
    <row r="93" spans="1:5" ht="12" customHeight="1" x14ac:dyDescent="0.2">
      <c r="A93" s="441"/>
      <c r="B93" s="442"/>
      <c r="C93" s="442"/>
      <c r="D93" s="442"/>
      <c r="E93" s="442"/>
    </row>
    <row r="94" spans="1:5" ht="12" customHeight="1" x14ac:dyDescent="0.2">
      <c r="A94" s="441"/>
      <c r="B94" s="442"/>
      <c r="C94" s="442"/>
      <c r="D94" s="442"/>
      <c r="E94" s="442"/>
    </row>
    <row r="95" spans="1:5" ht="27" customHeight="1" x14ac:dyDescent="0.25">
      <c r="A95" s="420" t="s">
        <v>490</v>
      </c>
      <c r="B95" s="761" t="s">
        <v>507</v>
      </c>
      <c r="C95" s="761"/>
      <c r="D95" s="761"/>
      <c r="E95" s="761"/>
    </row>
    <row r="96" spans="1:5" ht="14.25" thickBot="1" x14ac:dyDescent="0.3">
      <c r="A96" s="418"/>
      <c r="B96" s="418"/>
      <c r="C96" s="418"/>
      <c r="D96" s="760" t="str">
        <f>D73</f>
        <v>Forintban</v>
      </c>
      <c r="E96" s="760"/>
    </row>
    <row r="97" spans="1:5" ht="13.5" thickBot="1" x14ac:dyDescent="0.25">
      <c r="A97" s="421" t="s">
        <v>492</v>
      </c>
      <c r="B97" s="422" t="str">
        <f>+B84</f>
        <v>2020.</v>
      </c>
      <c r="C97" s="422" t="str">
        <f>+C84</f>
        <v>2021.</v>
      </c>
      <c r="D97" s="422" t="str">
        <f>+D84</f>
        <v>2021.után</v>
      </c>
      <c r="E97" s="423" t="s">
        <v>493</v>
      </c>
    </row>
    <row r="98" spans="1:5" x14ac:dyDescent="0.2">
      <c r="A98" s="424" t="s">
        <v>494</v>
      </c>
      <c r="B98" s="425"/>
      <c r="C98" s="425"/>
      <c r="D98" s="425"/>
      <c r="E98" s="426">
        <f t="shared" ref="E98:E104" si="8">SUM(B98:D98)</f>
        <v>0</v>
      </c>
    </row>
    <row r="99" spans="1:5" x14ac:dyDescent="0.2">
      <c r="A99" s="427" t="s">
        <v>495</v>
      </c>
      <c r="B99" s="428"/>
      <c r="C99" s="428"/>
      <c r="D99" s="428"/>
      <c r="E99" s="429">
        <f t="shared" si="8"/>
        <v>0</v>
      </c>
    </row>
    <row r="100" spans="1:5" x14ac:dyDescent="0.2">
      <c r="A100" s="430" t="s">
        <v>496</v>
      </c>
      <c r="B100" s="431">
        <v>32000000</v>
      </c>
      <c r="C100" s="431"/>
      <c r="D100" s="431"/>
      <c r="E100" s="432">
        <f t="shared" si="8"/>
        <v>32000000</v>
      </c>
    </row>
    <row r="101" spans="1:5" x14ac:dyDescent="0.2">
      <c r="A101" s="430" t="s">
        <v>497</v>
      </c>
      <c r="B101" s="431"/>
      <c r="C101" s="431"/>
      <c r="D101" s="431"/>
      <c r="E101" s="432">
        <f t="shared" si="8"/>
        <v>0</v>
      </c>
    </row>
    <row r="102" spans="1:5" x14ac:dyDescent="0.2">
      <c r="A102" s="430" t="s">
        <v>498</v>
      </c>
      <c r="B102" s="431"/>
      <c r="C102" s="431"/>
      <c r="D102" s="431"/>
      <c r="E102" s="432">
        <f t="shared" si="8"/>
        <v>0</v>
      </c>
    </row>
    <row r="103" spans="1:5" x14ac:dyDescent="0.2">
      <c r="A103" s="430" t="s">
        <v>499</v>
      </c>
      <c r="B103" s="431"/>
      <c r="C103" s="431"/>
      <c r="D103" s="431"/>
      <c r="E103" s="432">
        <f t="shared" si="8"/>
        <v>0</v>
      </c>
    </row>
    <row r="104" spans="1:5" ht="13.5" thickBot="1" x14ac:dyDescent="0.25">
      <c r="A104" s="433"/>
      <c r="B104" s="434"/>
      <c r="C104" s="434"/>
      <c r="D104" s="434"/>
      <c r="E104" s="432">
        <f t="shared" si="8"/>
        <v>0</v>
      </c>
    </row>
    <row r="105" spans="1:5" ht="13.5" thickBot="1" x14ac:dyDescent="0.25">
      <c r="A105" s="435" t="s">
        <v>500</v>
      </c>
      <c r="B105" s="436">
        <f>B98+SUM(B100:B104)</f>
        <v>32000000</v>
      </c>
      <c r="C105" s="436">
        <f>C98+SUM(C100:C104)</f>
        <v>0</v>
      </c>
      <c r="D105" s="436">
        <f>D98+SUM(D100:D104)</f>
        <v>0</v>
      </c>
      <c r="E105" s="437">
        <f>E98+SUM(E100:E104)</f>
        <v>32000000</v>
      </c>
    </row>
    <row r="106" spans="1:5" ht="13.5" thickBot="1" x14ac:dyDescent="0.25">
      <c r="A106" s="438"/>
      <c r="B106" s="438"/>
      <c r="C106" s="438"/>
      <c r="D106" s="438"/>
      <c r="E106" s="438"/>
    </row>
    <row r="107" spans="1:5" ht="13.5" thickBot="1" x14ac:dyDescent="0.25">
      <c r="A107" s="421" t="s">
        <v>501</v>
      </c>
      <c r="B107" s="422" t="str">
        <f>+B97</f>
        <v>2020.</v>
      </c>
      <c r="C107" s="422" t="str">
        <f>+C97</f>
        <v>2021.</v>
      </c>
      <c r="D107" s="422" t="str">
        <f>+D97</f>
        <v>2021.után</v>
      </c>
      <c r="E107" s="423" t="s">
        <v>493</v>
      </c>
    </row>
    <row r="108" spans="1:5" x14ac:dyDescent="0.2">
      <c r="A108" s="424" t="s">
        <v>502</v>
      </c>
      <c r="B108" s="425">
        <v>16260000</v>
      </c>
      <c r="C108" s="425"/>
      <c r="D108" s="425"/>
      <c r="E108" s="426">
        <f t="shared" ref="E108:E114" si="9">SUM(B108:D108)</f>
        <v>16260000</v>
      </c>
    </row>
    <row r="109" spans="1:5" x14ac:dyDescent="0.2">
      <c r="A109" s="439" t="s">
        <v>503</v>
      </c>
      <c r="B109" s="431">
        <v>3120000</v>
      </c>
      <c r="C109" s="431"/>
      <c r="D109" s="431"/>
      <c r="E109" s="432">
        <f t="shared" si="9"/>
        <v>3120000</v>
      </c>
    </row>
    <row r="110" spans="1:5" x14ac:dyDescent="0.2">
      <c r="A110" s="430" t="s">
        <v>504</v>
      </c>
      <c r="B110" s="431">
        <v>12620000</v>
      </c>
      <c r="C110" s="431"/>
      <c r="D110" s="431"/>
      <c r="E110" s="432">
        <f t="shared" si="9"/>
        <v>12620000</v>
      </c>
    </row>
    <row r="111" spans="1:5" x14ac:dyDescent="0.2">
      <c r="A111" s="430" t="s">
        <v>505</v>
      </c>
      <c r="B111" s="431"/>
      <c r="C111" s="431"/>
      <c r="D111" s="431"/>
      <c r="E111" s="432">
        <f t="shared" si="9"/>
        <v>0</v>
      </c>
    </row>
    <row r="112" spans="1:5" x14ac:dyDescent="0.2">
      <c r="A112" s="440"/>
      <c r="B112" s="431"/>
      <c r="C112" s="431"/>
      <c r="D112" s="431"/>
      <c r="E112" s="432">
        <f t="shared" si="9"/>
        <v>0</v>
      </c>
    </row>
    <row r="113" spans="1:8" x14ac:dyDescent="0.2">
      <c r="A113" s="440"/>
      <c r="B113" s="431"/>
      <c r="C113" s="431"/>
      <c r="D113" s="431"/>
      <c r="E113" s="432">
        <f t="shared" si="9"/>
        <v>0</v>
      </c>
    </row>
    <row r="114" spans="1:8" ht="13.5" thickBot="1" x14ac:dyDescent="0.25">
      <c r="A114" s="433"/>
      <c r="B114" s="434"/>
      <c r="C114" s="434"/>
      <c r="D114" s="434"/>
      <c r="E114" s="432">
        <f t="shared" si="9"/>
        <v>0</v>
      </c>
    </row>
    <row r="115" spans="1:8" ht="13.5" thickBot="1" x14ac:dyDescent="0.25">
      <c r="A115" s="435" t="s">
        <v>506</v>
      </c>
      <c r="B115" s="436">
        <f>SUM(B108:B114)</f>
        <v>32000000</v>
      </c>
      <c r="C115" s="436">
        <f>SUM(C108:C114)</f>
        <v>0</v>
      </c>
      <c r="D115" s="436">
        <f>SUM(D108:D114)</f>
        <v>0</v>
      </c>
      <c r="E115" s="437">
        <f>SUM(E108:E114)</f>
        <v>32000000</v>
      </c>
    </row>
    <row r="116" spans="1:8" x14ac:dyDescent="0.2">
      <c r="A116" s="418"/>
      <c r="B116" s="418"/>
      <c r="C116" s="418"/>
      <c r="D116" s="418"/>
      <c r="E116" s="418"/>
    </row>
    <row r="117" spans="1:8" ht="15.75" x14ac:dyDescent="0.2">
      <c r="A117" s="749" t="str">
        <f>+CONCATENATE("Önkormányzaton kívüli EU-s projektekhez történő hozzájárulás ",LEFT([2]ÖSSZEFÜGGÉSEK!A5,4),". évi előirányzat")</f>
        <v>Önkormányzaton kívüli EU-s projektekhez történő hozzájárulás 2020. évi előirányzat</v>
      </c>
      <c r="B117" s="749"/>
      <c r="C117" s="749"/>
      <c r="D117" s="749"/>
      <c r="E117" s="749"/>
    </row>
    <row r="118" spans="1:8" ht="13.5" thickBot="1" x14ac:dyDescent="0.25">
      <c r="A118" s="418"/>
      <c r="B118" s="418"/>
      <c r="C118" s="418"/>
      <c r="D118" s="418"/>
      <c r="E118" s="418"/>
    </row>
    <row r="119" spans="1:8" ht="13.5" thickBot="1" x14ac:dyDescent="0.25">
      <c r="A119" s="750" t="s">
        <v>508</v>
      </c>
      <c r="B119" s="751"/>
      <c r="C119" s="752"/>
      <c r="D119" s="753" t="s">
        <v>509</v>
      </c>
      <c r="E119" s="754"/>
      <c r="H119" s="443"/>
    </row>
    <row r="120" spans="1:8" x14ac:dyDescent="0.2">
      <c r="A120" s="755"/>
      <c r="B120" s="756"/>
      <c r="C120" s="757"/>
      <c r="D120" s="758"/>
      <c r="E120" s="759"/>
    </row>
    <row r="121" spans="1:8" ht="13.5" thickBot="1" x14ac:dyDescent="0.25">
      <c r="A121" s="739"/>
      <c r="B121" s="740"/>
      <c r="C121" s="741"/>
      <c r="D121" s="742"/>
      <c r="E121" s="743"/>
    </row>
    <row r="122" spans="1:8" ht="13.5" thickBot="1" x14ac:dyDescent="0.25">
      <c r="A122" s="744" t="s">
        <v>506</v>
      </c>
      <c r="B122" s="745"/>
      <c r="C122" s="746"/>
      <c r="D122" s="747">
        <f>SUM(D120:E121)</f>
        <v>0</v>
      </c>
      <c r="E122" s="748"/>
    </row>
  </sheetData>
  <mergeCells count="19">
    <mergeCell ref="B2:E2"/>
    <mergeCell ref="D3:E3"/>
    <mergeCell ref="B26:E26"/>
    <mergeCell ref="D27:E27"/>
    <mergeCell ref="B49:E49"/>
    <mergeCell ref="D50:E50"/>
    <mergeCell ref="B72:E72"/>
    <mergeCell ref="D73:E73"/>
    <mergeCell ref="B95:E95"/>
    <mergeCell ref="D96:E96"/>
    <mergeCell ref="A121:C121"/>
    <mergeCell ref="D121:E121"/>
    <mergeCell ref="A122:C122"/>
    <mergeCell ref="D122:E122"/>
    <mergeCell ref="A117:E117"/>
    <mergeCell ref="A119:C119"/>
    <mergeCell ref="D119:E119"/>
    <mergeCell ref="A120:C120"/>
    <mergeCell ref="D120:E120"/>
  </mergeCells>
  <conditionalFormatting sqref="D122:E122 B25:E25 E5:E12 B12:D12 B22:E22 E15:E21 B27:C27 E28:E115 B29:D115">
    <cfRule type="cellIs" dxfId="2" priority="2" stopIfTrue="1" operator="equal">
      <formula>0</formula>
    </cfRule>
  </conditionalFormatting>
  <conditionalFormatting sqref="B26:E26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&amp;R&amp;"Times New Roman CE,Félkövér" 8. melléklet a 6/2020. (II. 25.) önkormányzati rendelethez</oddHeader>
  </headerFooter>
  <rowBreaks count="2" manualBreakCount="2">
    <brk id="48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8"/>
  <sheetViews>
    <sheetView view="pageLayout" zoomScaleNormal="100" zoomScaleSheetLayoutView="100" workbookViewId="0">
      <selection activeCell="A2" sqref="A2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/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'9.mell.2.tábl.'!C8+'9.mell.3.tábl.'!C8+'9.mell.4-tábl.'!C8</f>
        <v>61671420</v>
      </c>
      <c r="D8" s="127">
        <f>'9.mell.2.tábl.'!D8+'9.mell.3.tábl.'!D8+'9.mell.4-tábl.'!D8</f>
        <v>10468408</v>
      </c>
      <c r="E8" s="127">
        <f>'9.mell.2.tábl.'!E8+'9.mell.3.tábl.'!E8+'9.mell.4-tábl.'!E8</f>
        <v>0</v>
      </c>
      <c r="F8" s="127">
        <f>'9.mell.2.tábl.'!F8+'9.mell.3.tábl.'!F8+'9.mell.4-tábl.'!F8</f>
        <v>10468408</v>
      </c>
      <c r="G8" s="330">
        <f>'9.mell.2.tábl.'!G8+'9.mell.3.tábl.'!G8+'9.mell.4-tábl.'!G8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'9.mell.2.tábl.'!C9+'9.mell.3.tábl.'!C9+'9.mell.4-tábl.'!C9</f>
        <v>56423330</v>
      </c>
      <c r="D9" s="127">
        <f>'9.mell.2.tábl.'!D9+'9.mell.3.tábl.'!D9+'9.mell.4-tábl.'!D9</f>
        <v>4319850</v>
      </c>
      <c r="E9" s="127">
        <f>'9.mell.2.tábl.'!E9+'9.mell.3.tábl.'!E9+'9.mell.4-tábl.'!E9</f>
        <v>0</v>
      </c>
      <c r="F9" s="127">
        <f>'9.mell.2.tábl.'!F9+'9.mell.3.tábl.'!F9+'9.mell.4-tábl.'!F9</f>
        <v>4319850</v>
      </c>
      <c r="G9" s="333">
        <f>'9.mell.2.tábl.'!G9+'9.mell.3.tábl.'!G9+'9.mell.4-tábl.'!G9</f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'9.mell.2.tábl.'!C10+'9.mell.3.tábl.'!C10+'9.mell.4-tábl.'!C10</f>
        <v>65116932</v>
      </c>
      <c r="D10" s="127">
        <f>'9.mell.2.tábl.'!D10+'9.mell.3.tábl.'!D10+'9.mell.4-tábl.'!D10</f>
        <v>-1569285</v>
      </c>
      <c r="E10" s="127">
        <f>'9.mell.2.tábl.'!E10+'9.mell.3.tábl.'!E10+'9.mell.4-tábl.'!E10</f>
        <v>0</v>
      </c>
      <c r="F10" s="127">
        <f>'9.mell.2.tábl.'!F10+'9.mell.3.tábl.'!F10+'9.mell.4-tábl.'!F10</f>
        <v>-1569285</v>
      </c>
      <c r="G10" s="333">
        <f>'9.mell.2.tábl.'!G10+'9.mell.3.tábl.'!G10+'9.mell.4-tábl.'!G10</f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'9.mell.2.tábl.'!C11+'9.mell.3.tábl.'!C11+'9.mell.4-tábl.'!C11</f>
        <v>2376900</v>
      </c>
      <c r="D11" s="127">
        <f>'9.mell.2.tábl.'!D11+'9.mell.3.tábl.'!D11+'9.mell.4-tábl.'!D11</f>
        <v>1110298</v>
      </c>
      <c r="E11" s="127">
        <f>'9.mell.2.tábl.'!E11+'9.mell.3.tábl.'!E11+'9.mell.4-tábl.'!E11</f>
        <v>0</v>
      </c>
      <c r="F11" s="127">
        <f>'9.mell.2.tábl.'!F11+'9.mell.3.tábl.'!F11+'9.mell.4-tábl.'!F11</f>
        <v>1110298</v>
      </c>
      <c r="G11" s="333">
        <f>'9.mell.2.tábl.'!G11+'9.mell.3.tábl.'!G11+'9.mell.4-tábl.'!G11</f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'9.mell.2.tábl.'!C12+'9.mell.3.tábl.'!C12+'9.mell.4-tábl.'!C12</f>
        <v>0</v>
      </c>
      <c r="D12" s="127">
        <f>'9.mell.2.tábl.'!D12+'9.mell.3.tábl.'!D12+'9.mell.4-tábl.'!D12</f>
        <v>4036800</v>
      </c>
      <c r="E12" s="127">
        <f>'9.mell.2.tábl.'!E12+'9.mell.3.tábl.'!E12+'9.mell.4-tábl.'!E12</f>
        <v>0</v>
      </c>
      <c r="F12" s="127">
        <f>'9.mell.2.tábl.'!F12+'9.mell.3.tábl.'!F12+'9.mell.4-tábl.'!F12</f>
        <v>4036800</v>
      </c>
      <c r="G12" s="333">
        <f>'9.mell.2.tábl.'!G12+'9.mell.3.tábl.'!G12+'9.mell.4-tábl.'!G12</f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7">
        <f>'9.mell.2.tábl.'!C13+'9.mell.3.tábl.'!C13+'9.mell.4-tábl.'!C13</f>
        <v>0</v>
      </c>
      <c r="D13" s="127">
        <f>'9.mell.2.tábl.'!D13+'9.mell.3.tábl.'!D13+'9.mell.4-tábl.'!D13</f>
        <v>2341545</v>
      </c>
      <c r="E13" s="127">
        <f>'9.mell.2.tábl.'!E13+'9.mell.3.tábl.'!E13+'9.mell.4-tábl.'!E13</f>
        <v>0</v>
      </c>
      <c r="F13" s="127">
        <f>'9.mell.2.tábl.'!F13+'9.mell.3.tábl.'!F13+'9.mell.4-tábl.'!F13</f>
        <v>2341545</v>
      </c>
      <c r="G13" s="333">
        <f>'9.mell.2.tábl.'!G13+'9.mell.3.tábl.'!G13+'9.mell.4-tábl.'!G13</f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'9.mell.2.tábl.'!C15+'9.mell.3.tábl.'!C15+'9.mell.4-tábl.'!C15</f>
        <v>0</v>
      </c>
      <c r="D15" s="127">
        <f>'9.mell.2.tábl.'!D15+'9.mell.3.tábl.'!D15+'9.mell.4-tábl.'!D15</f>
        <v>0</v>
      </c>
      <c r="E15" s="127">
        <f>'9.mell.2.tábl.'!E15+'9.mell.3.tábl.'!E15+'9.mell.4-tábl.'!E15</f>
        <v>0</v>
      </c>
      <c r="F15" s="127">
        <f>'9.mell.2.tábl.'!F15+'9.mell.3.tábl.'!F15+'9.mell.4-tábl.'!F15</f>
        <v>0</v>
      </c>
      <c r="G15" s="333">
        <f>'9.mell.2.tábl.'!G15+'9.mell.3.tábl.'!G15+'9.mell.4-tábl.'!G15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'9.mell.2.tábl.'!C16+'9.mell.3.tábl.'!C16+'9.mell.4-tábl.'!C16</f>
        <v>0</v>
      </c>
      <c r="D16" s="127">
        <f>'9.mell.2.tábl.'!D16+'9.mell.3.tábl.'!D16+'9.mell.4-tábl.'!D16</f>
        <v>0</v>
      </c>
      <c r="E16" s="127">
        <f>'9.mell.2.tábl.'!E16+'9.mell.3.tábl.'!E16+'9.mell.4-tábl.'!E16</f>
        <v>0</v>
      </c>
      <c r="F16" s="127">
        <f>'9.mell.2.tábl.'!F16+'9.mell.3.tábl.'!F16+'9.mell.4-tábl.'!F16</f>
        <v>0</v>
      </c>
      <c r="G16" s="333">
        <f>'9.mell.2.tábl.'!G16+'9.mell.3.tábl.'!G16+'9.mell.4-tábl.'!G16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'9.mell.2.tábl.'!C17+'9.mell.3.tábl.'!C17+'9.mell.4-tábl.'!C17</f>
        <v>0</v>
      </c>
      <c r="D17" s="127">
        <f>'9.mell.2.tábl.'!D17+'9.mell.3.tábl.'!D17+'9.mell.4-tábl.'!D17</f>
        <v>0</v>
      </c>
      <c r="E17" s="127">
        <f>'9.mell.2.tábl.'!E17+'9.mell.3.tábl.'!E17+'9.mell.4-tábl.'!E17</f>
        <v>0</v>
      </c>
      <c r="F17" s="127">
        <f>'9.mell.2.tábl.'!F17+'9.mell.3.tábl.'!F17+'9.mell.4-tábl.'!F17</f>
        <v>0</v>
      </c>
      <c r="G17" s="333">
        <f>'9.mell.2.tábl.'!G17+'9.mell.3.tábl.'!G17+'9.mell.4-tábl.'!G17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'9.mell.2.tábl.'!C18+'9.mell.3.tábl.'!C18+'9.mell.4-tábl.'!C18</f>
        <v>0</v>
      </c>
      <c r="D18" s="127">
        <f>'9.mell.2.tábl.'!D18+'9.mell.3.tábl.'!D18+'9.mell.4-tábl.'!D18</f>
        <v>0</v>
      </c>
      <c r="E18" s="127">
        <f>'9.mell.2.tábl.'!E18+'9.mell.3.tábl.'!E18+'9.mell.4-tábl.'!E18</f>
        <v>0</v>
      </c>
      <c r="F18" s="127">
        <f>'9.mell.2.tábl.'!F18+'9.mell.3.tábl.'!F18+'9.mell.4-tábl.'!F18</f>
        <v>0</v>
      </c>
      <c r="G18" s="333">
        <f>'9.mell.2.tábl.'!G18+'9.mell.3.tábl.'!G18+'9.mell.4-tábl.'!G18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'9.mell.2.tábl.'!C19+'9.mell.3.tábl.'!C19+'9.mell.4-tábl.'!C19</f>
        <v>81199000</v>
      </c>
      <c r="D19" s="127">
        <f>'9.mell.2.tábl.'!D19+'9.mell.3.tábl.'!D19+'9.mell.4-tábl.'!D19</f>
        <v>-2638700</v>
      </c>
      <c r="E19" s="127">
        <f>'9.mell.2.tábl.'!E19+'9.mell.3.tábl.'!E19+'9.mell.4-tábl.'!E19</f>
        <v>0</v>
      </c>
      <c r="F19" s="127">
        <f>'9.mell.2.tábl.'!F19+'9.mell.3.tábl.'!F19+'9.mell.4-tábl.'!F19</f>
        <v>-2638700</v>
      </c>
      <c r="G19" s="333">
        <f>'9.mell.2.tábl.'!G19+'9.mell.3.tábl.'!G19+'9.mell.4-tábl.'!G19</f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7">
        <f>'9.mell.2.tábl.'!C20+'9.mell.3.tábl.'!C20+'9.mell.4-tábl.'!C20</f>
        <v>32055000</v>
      </c>
      <c r="D20" s="127">
        <f>'9.mell.2.tábl.'!D20+'9.mell.3.tábl.'!D20+'9.mell.4-tábl.'!D20</f>
        <v>0</v>
      </c>
      <c r="E20" s="127">
        <f>'9.mell.2.tábl.'!E20+'9.mell.3.tábl.'!E20+'9.mell.4-tábl.'!E20</f>
        <v>0</v>
      </c>
      <c r="F20" s="127">
        <f>'9.mell.2.tábl.'!F20+'9.mell.3.tábl.'!F20+'9.mell.4-tábl.'!F20</f>
        <v>0</v>
      </c>
      <c r="G20" s="333">
        <f>'9.mell.2.tábl.'!G20+'9.mell.3.tábl.'!G20+'9.mell.4-tábl.'!G20</f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'9.mell.2.tábl.'!C22+'9.mell.3.tábl.'!C22+'9.mell.4-tábl.'!C22</f>
        <v>0</v>
      </c>
      <c r="D22" s="127">
        <f>'9.mell.2.tábl.'!D22+'9.mell.3.tábl.'!D22+'9.mell.4-tábl.'!D22</f>
        <v>29325000</v>
      </c>
      <c r="E22" s="127">
        <f>'9.mell.2.tábl.'!E22+'9.mell.3.tábl.'!E22+'9.mell.4-tábl.'!E22</f>
        <v>0</v>
      </c>
      <c r="F22" s="127">
        <f>'9.mell.2.tábl.'!F22+'9.mell.3.tábl.'!F22+'9.mell.4-tábl.'!F22</f>
        <v>29325000</v>
      </c>
      <c r="G22" s="333">
        <f>'9.mell.2.tábl.'!G22+'9.mell.3.tábl.'!G22+'9.mell.4-tábl.'!G22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'9.mell.2.tábl.'!C23+'9.mell.3.tábl.'!C23+'9.mell.4-tábl.'!C23</f>
        <v>0</v>
      </c>
      <c r="D23" s="127">
        <f>'9.mell.2.tábl.'!D23+'9.mell.3.tábl.'!D23+'9.mell.4-tábl.'!D23</f>
        <v>0</v>
      </c>
      <c r="E23" s="127">
        <f>'9.mell.2.tábl.'!E23+'9.mell.3.tábl.'!E23+'9.mell.4-tábl.'!E23</f>
        <v>0</v>
      </c>
      <c r="F23" s="127">
        <f>'9.mell.2.tábl.'!F23+'9.mell.3.tábl.'!F23+'9.mell.4-tábl.'!F23</f>
        <v>0</v>
      </c>
      <c r="G23" s="333">
        <f>'9.mell.2.tábl.'!G23+'9.mell.3.tábl.'!G23+'9.mell.4-tábl.'!G23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'9.mell.2.tábl.'!C24+'9.mell.3.tábl.'!C24+'9.mell.4-tábl.'!C24</f>
        <v>0</v>
      </c>
      <c r="D24" s="127">
        <f>'9.mell.2.tábl.'!D24+'9.mell.3.tábl.'!D24+'9.mell.4-tábl.'!D24</f>
        <v>0</v>
      </c>
      <c r="E24" s="127">
        <f>'9.mell.2.tábl.'!E24+'9.mell.3.tábl.'!E24+'9.mell.4-tábl.'!E24</f>
        <v>0</v>
      </c>
      <c r="F24" s="127">
        <f>'9.mell.2.tábl.'!F24+'9.mell.3.tábl.'!F24+'9.mell.4-tábl.'!F24</f>
        <v>0</v>
      </c>
      <c r="G24" s="333">
        <f>'9.mell.2.tábl.'!G24+'9.mell.3.tábl.'!G24+'9.mell.4-tábl.'!G24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'9.mell.2.tábl.'!C25+'9.mell.3.tábl.'!C25+'9.mell.4-tábl.'!C25</f>
        <v>0</v>
      </c>
      <c r="D25" s="127">
        <f>'9.mell.2.tábl.'!D25+'9.mell.3.tábl.'!D25+'9.mell.4-tábl.'!D25</f>
        <v>0</v>
      </c>
      <c r="E25" s="127">
        <f>'9.mell.2.tábl.'!E25+'9.mell.3.tábl.'!E25+'9.mell.4-tábl.'!E25</f>
        <v>0</v>
      </c>
      <c r="F25" s="127">
        <f>'9.mell.2.tábl.'!F25+'9.mell.3.tábl.'!F25+'9.mell.4-tábl.'!F25</f>
        <v>0</v>
      </c>
      <c r="G25" s="333">
        <f>'9.mell.2.tábl.'!G25+'9.mell.3.tábl.'!G25+'9.mell.4-tábl.'!G25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'9.mell.2.tábl.'!C26+'9.mell.3.tábl.'!C26+'9.mell.4-tábl.'!C26</f>
        <v>26294000</v>
      </c>
      <c r="D26" s="127">
        <f>'9.mell.2.tábl.'!D26+'9.mell.3.tábl.'!D26+'9.mell.4-tábl.'!D26</f>
        <v>20860000</v>
      </c>
      <c r="E26" s="127">
        <f>'9.mell.2.tábl.'!E26+'9.mell.3.tábl.'!E26+'9.mell.4-tábl.'!E26</f>
        <v>0</v>
      </c>
      <c r="F26" s="127">
        <f>'9.mell.2.tábl.'!F26+'9.mell.3.tábl.'!F26+'9.mell.4-tábl.'!F26</f>
        <v>20860000</v>
      </c>
      <c r="G26" s="333">
        <f>'9.mell.2.tábl.'!G26+'9.mell.3.tábl.'!G26+'9.mell.4-tábl.'!G26</f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7">
        <f>'9.mell.2.tábl.'!C27+'9.mell.3.tábl.'!C27+'9.mell.4-tábl.'!C27</f>
        <v>24794000</v>
      </c>
      <c r="D27" s="127">
        <f>'9.mell.2.tábl.'!D27+'9.mell.3.tábl.'!D27+'9.mell.4-tábl.'!D27</f>
        <v>10275999</v>
      </c>
      <c r="E27" s="127">
        <f>'9.mell.2.tábl.'!E27+'9.mell.3.tábl.'!E27+'9.mell.4-tábl.'!E27</f>
        <v>0</v>
      </c>
      <c r="F27" s="127">
        <f>'9.mell.2.tábl.'!F27+'9.mell.3.tábl.'!F27+'9.mell.4-tábl.'!F27</f>
        <v>10275999</v>
      </c>
      <c r="G27" s="333">
        <f>'9.mell.2.tábl.'!G27+'9.mell.3.tábl.'!G27+'9.mell.4-tábl.'!G27</f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75900000</v>
      </c>
      <c r="D28" s="131">
        <f>+D29+D30+D32+D33+D34+D35+D36+D31</f>
        <v>-6500000</v>
      </c>
      <c r="E28" s="131">
        <f>+E29+E30+E32+E33+E34+E35+E36+E31</f>
        <v>0</v>
      </c>
      <c r="F28" s="131">
        <f>+F29+F30+F32+F33+F34+F35+F36+F31</f>
        <v>-6500000</v>
      </c>
      <c r="G28" s="131">
        <f>+G29+G30+G32+G33+G34+G35+G36+G31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'9.mell.2.tábl.'!C29+'9.mell.3.tábl.'!C29+'9.mell.4-tábl.'!C29</f>
        <v>7500000</v>
      </c>
      <c r="D29" s="127">
        <f>'9.mell.2.tábl.'!D29+'9.mell.3.tábl.'!D29+'9.mell.4-tábl.'!D29</f>
        <v>0</v>
      </c>
      <c r="E29" s="127">
        <f>'9.mell.2.tábl.'!E29+'9.mell.3.tábl.'!E29+'9.mell.4-tábl.'!E29</f>
        <v>0</v>
      </c>
      <c r="F29" s="127">
        <f>'9.mell.2.tábl.'!F29+'9.mell.3.tábl.'!F29+'9.mell.4-tábl.'!F29</f>
        <v>0</v>
      </c>
      <c r="G29" s="333">
        <f>'9.mell.2.tábl.'!G29+'9.mell.3.tábl.'!G29+'9.mell.4-tábl.'!G29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'9.mell.2.tábl.'!C30+'9.mell.3.tábl.'!C30+'9.mell.4-tábl.'!C30</f>
        <v>1000000</v>
      </c>
      <c r="D30" s="127">
        <f>'9.mell.2.tábl.'!D30+'9.mell.3.tábl.'!D30+'9.mell.4-tábl.'!D30</f>
        <v>0</v>
      </c>
      <c r="E30" s="127">
        <f>'9.mell.2.tábl.'!E30+'9.mell.3.tábl.'!E30+'9.mell.4-tábl.'!E30</f>
        <v>0</v>
      </c>
      <c r="F30" s="127">
        <f>'9.mell.2.tábl.'!F30+'9.mell.3.tábl.'!F30+'9.mell.4-tábl.'!F30</f>
        <v>0</v>
      </c>
      <c r="G30" s="333">
        <f>'9.mell.2.tábl.'!G30+'9.mell.3.tábl.'!G30+'9.mell.4-tábl.'!G30</f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'9.mell.2.tábl.'!C31+'9.mell.3.tábl.'!C31+'9.mell.4-tábl.'!C31</f>
        <v>9000000</v>
      </c>
      <c r="D31" s="127">
        <f>'9.mell.2.tábl.'!D31+'9.mell.3.tábl.'!D31+'9.mell.4-tábl.'!D31</f>
        <v>0</v>
      </c>
      <c r="E31" s="127">
        <f>'9.mell.2.tábl.'!E31+'9.mell.3.tábl.'!E31+'9.mell.4-tábl.'!E31</f>
        <v>0</v>
      </c>
      <c r="F31" s="127">
        <f>'9.mell.2.tábl.'!F31+'9.mell.3.tábl.'!F31+'9.mell.4-tábl.'!F31</f>
        <v>0</v>
      </c>
      <c r="G31" s="333">
        <f>'9.mell.2.tábl.'!G31+'9.mell.3.tábl.'!G31+'9.mell.4-tábl.'!G31</f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'9.mell.2.tábl.'!C32+'9.mell.3.tábl.'!C32+'9.mell.4-tábl.'!C32</f>
        <v>51000000</v>
      </c>
      <c r="D32" s="127">
        <f>'9.mell.2.tábl.'!D32+'9.mell.3.tábl.'!D32+'9.mell.4-tábl.'!D32</f>
        <v>0</v>
      </c>
      <c r="E32" s="127">
        <f>'9.mell.2.tábl.'!E32+'9.mell.3.tábl.'!E32+'9.mell.4-tábl.'!E32</f>
        <v>0</v>
      </c>
      <c r="F32" s="127">
        <f>'9.mell.2.tábl.'!F32+'9.mell.3.tábl.'!F32+'9.mell.4-tábl.'!F32</f>
        <v>0</v>
      </c>
      <c r="G32" s="333">
        <f>'9.mell.2.tábl.'!G32+'9.mell.3.tábl.'!G32+'9.mell.4-tábl.'!G32</f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'9.mell.2.tábl.'!C33+'9.mell.3.tábl.'!C33+'9.mell.4-tábl.'!C33</f>
        <v>500000</v>
      </c>
      <c r="D33" s="127">
        <f>'9.mell.2.tábl.'!D33+'9.mell.3.tábl.'!D33+'9.mell.4-tábl.'!D33</f>
        <v>0</v>
      </c>
      <c r="E33" s="127">
        <f>'9.mell.2.tábl.'!E33+'9.mell.3.tábl.'!E33+'9.mell.4-tábl.'!E33</f>
        <v>0</v>
      </c>
      <c r="F33" s="127">
        <f>'9.mell.2.tábl.'!F33+'9.mell.3.tábl.'!F33+'9.mell.4-tábl.'!F33</f>
        <v>0</v>
      </c>
      <c r="G33" s="333">
        <f>'9.mell.2.tábl.'!G33+'9.mell.3.tábl.'!G33+'9.mell.4-tábl.'!G33</f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'9.mell.2.tábl.'!C34+'9.mell.3.tábl.'!C34+'9.mell.4-tábl.'!C34</f>
        <v>6500000</v>
      </c>
      <c r="D34" s="127">
        <f>'9.mell.2.tábl.'!D34+'9.mell.3.tábl.'!D34+'9.mell.4-tábl.'!D34</f>
        <v>-6500000</v>
      </c>
      <c r="E34" s="127">
        <f>'9.mell.2.tábl.'!E34+'9.mell.3.tábl.'!E34+'9.mell.4-tábl.'!E34</f>
        <v>0</v>
      </c>
      <c r="F34" s="127">
        <f>'9.mell.2.tábl.'!F34+'9.mell.3.tábl.'!F34+'9.mell.4-tábl.'!F34</f>
        <v>-6500000</v>
      </c>
      <c r="G34" s="333">
        <f>'9.mell.2.tábl.'!G34+'9.mell.3.tábl.'!G34+'9.mell.4-tábl.'!G34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'9.mell.2.tábl.'!C35+'9.mell.3.tábl.'!C35+'9.mell.4-tábl.'!C35</f>
        <v>0</v>
      </c>
      <c r="D35" s="127">
        <f>'9.mell.2.tábl.'!D35+'9.mell.3.tábl.'!D35+'9.mell.4-tábl.'!D35</f>
        <v>0</v>
      </c>
      <c r="E35" s="127">
        <f>'9.mell.2.tábl.'!E35+'9.mell.3.tábl.'!E35+'9.mell.4-tábl.'!E35</f>
        <v>0</v>
      </c>
      <c r="F35" s="127">
        <f>'9.mell.2.tábl.'!F35+'9.mell.3.tábl.'!F35+'9.mell.4-tábl.'!F35</f>
        <v>0</v>
      </c>
      <c r="G35" s="333">
        <f>'9.mell.2.tábl.'!G35+'9.mell.3.tábl.'!G35+'9.mell.4-tábl.'!G35</f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7">
        <f>'9.mell.2.tábl.'!C36+'9.mell.3.tábl.'!C36+'9.mell.4-tábl.'!C36</f>
        <v>400000</v>
      </c>
      <c r="D36" s="127">
        <f>'9.mell.2.tábl.'!D36+'9.mell.3.tábl.'!D36+'9.mell.4-tábl.'!D36</f>
        <v>0</v>
      </c>
      <c r="E36" s="127">
        <f>'9.mell.2.tábl.'!E36+'9.mell.3.tábl.'!E36+'9.mell.4-tábl.'!E36</f>
        <v>0</v>
      </c>
      <c r="F36" s="127">
        <f>'9.mell.2.tábl.'!F36+'9.mell.3.tábl.'!F36+'9.mell.4-tábl.'!F36</f>
        <v>0</v>
      </c>
      <c r="G36" s="333">
        <f>'9.mell.2.tábl.'!G36+'9.mell.3.tábl.'!G36+'9.mell.4-tábl.'!G36</f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36540000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36540000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'9.mell.2.tábl.'!C38+'9.mell.3.tábl.'!C38+'9.mell.4-tábl.'!C38</f>
        <v>0</v>
      </c>
      <c r="D38" s="127">
        <f>'9.mell.2.tábl.'!D38+'9.mell.3.tábl.'!D38+'9.mell.4-tábl.'!D38</f>
        <v>0</v>
      </c>
      <c r="E38" s="127">
        <f>'9.mell.2.tábl.'!E38+'9.mell.3.tábl.'!E38+'9.mell.4-tábl.'!E38</f>
        <v>0</v>
      </c>
      <c r="F38" s="127">
        <f>'9.mell.2.tábl.'!F38+'9.mell.3.tábl.'!F38+'9.mell.4-tábl.'!F38</f>
        <v>0</v>
      </c>
      <c r="G38" s="333">
        <f>'9.mell.2.tábl.'!G38+'9.mell.3.tábl.'!G38+'9.mell.4-tábl.'!G38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'9.mell.2.tábl.'!C39+'9.mell.3.tábl.'!C39+'9.mell.4-tábl.'!C39</f>
        <v>15565000</v>
      </c>
      <c r="D39" s="127">
        <f>'9.mell.2.tábl.'!D39+'9.mell.3.tábl.'!D39+'9.mell.4-tábl.'!D39</f>
        <v>0</v>
      </c>
      <c r="E39" s="127">
        <f>'9.mell.2.tábl.'!E39+'9.mell.3.tábl.'!E39+'9.mell.4-tábl.'!E39</f>
        <v>0</v>
      </c>
      <c r="F39" s="127">
        <f>'9.mell.2.tábl.'!F39+'9.mell.3.tábl.'!F39+'9.mell.4-tábl.'!F39</f>
        <v>0</v>
      </c>
      <c r="G39" s="333">
        <f>'9.mell.2.tábl.'!G39+'9.mell.3.tábl.'!G39+'9.mell.4-tábl.'!G39</f>
        <v>15565000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'9.mell.2.tábl.'!C40+'9.mell.3.tábl.'!C40+'9.mell.4-tábl.'!C40</f>
        <v>356000</v>
      </c>
      <c r="D40" s="127">
        <f>'9.mell.2.tábl.'!D40+'9.mell.3.tábl.'!D40+'9.mell.4-tábl.'!D40</f>
        <v>0</v>
      </c>
      <c r="E40" s="127">
        <f>'9.mell.2.tábl.'!E40+'9.mell.3.tábl.'!E40+'9.mell.4-tábl.'!E40</f>
        <v>0</v>
      </c>
      <c r="F40" s="127">
        <f>'9.mell.2.tábl.'!F40+'9.mell.3.tábl.'!F40+'9.mell.4-tábl.'!F40</f>
        <v>0</v>
      </c>
      <c r="G40" s="333">
        <f>'9.mell.2.tábl.'!G40+'9.mell.3.tábl.'!G40+'9.mell.4-tábl.'!G40</f>
        <v>356000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'9.mell.2.tábl.'!C41+'9.mell.3.tábl.'!C41+'9.mell.4-tábl.'!C41</f>
        <v>12624000</v>
      </c>
      <c r="D41" s="127">
        <f>'9.mell.2.tábl.'!D41+'9.mell.3.tábl.'!D41+'9.mell.4-tábl.'!D41</f>
        <v>0</v>
      </c>
      <c r="E41" s="127">
        <f>'9.mell.2.tábl.'!E41+'9.mell.3.tábl.'!E41+'9.mell.4-tábl.'!E41</f>
        <v>0</v>
      </c>
      <c r="F41" s="127">
        <f>'9.mell.2.tábl.'!F41+'9.mell.3.tábl.'!F41+'9.mell.4-tábl.'!F41</f>
        <v>0</v>
      </c>
      <c r="G41" s="333">
        <f>'9.mell.2.tábl.'!G41+'9.mell.3.tábl.'!G41+'9.mell.4-tábl.'!G41</f>
        <v>12624000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'9.mell.2.tábl.'!C42+'9.mell.3.tábl.'!C42+'9.mell.4-tábl.'!C42</f>
        <v>0</v>
      </c>
      <c r="D42" s="127">
        <f>'9.mell.2.tábl.'!D42+'9.mell.3.tábl.'!D42+'9.mell.4-tábl.'!D42</f>
        <v>0</v>
      </c>
      <c r="E42" s="127">
        <f>'9.mell.2.tábl.'!E42+'9.mell.3.tábl.'!E42+'9.mell.4-tábl.'!E42</f>
        <v>0</v>
      </c>
      <c r="F42" s="127">
        <f>'9.mell.2.tábl.'!F42+'9.mell.3.tábl.'!F42+'9.mell.4-tábl.'!F42</f>
        <v>0</v>
      </c>
      <c r="G42" s="333">
        <f>'9.mell.2.tábl.'!G42+'9.mell.3.tábl.'!G42+'9.mell.4-tábl.'!G42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'9.mell.2.tábl.'!C43+'9.mell.3.tábl.'!C43+'9.mell.4-tábl.'!C43</f>
        <v>6410000</v>
      </c>
      <c r="D43" s="127">
        <f>'9.mell.2.tábl.'!D43+'9.mell.3.tábl.'!D43+'9.mell.4-tábl.'!D43</f>
        <v>0</v>
      </c>
      <c r="E43" s="127">
        <f>'9.mell.2.tábl.'!E43+'9.mell.3.tábl.'!E43+'9.mell.4-tábl.'!E43</f>
        <v>0</v>
      </c>
      <c r="F43" s="127">
        <f>'9.mell.2.tábl.'!F43+'9.mell.3.tábl.'!F43+'9.mell.4-tábl.'!F43</f>
        <v>0</v>
      </c>
      <c r="G43" s="333">
        <f>'9.mell.2.tábl.'!G43+'9.mell.3.tábl.'!G43+'9.mell.4-tábl.'!G43</f>
        <v>6410000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'9.mell.2.tábl.'!C44+'9.mell.3.tábl.'!C44+'9.mell.4-tábl.'!C44</f>
        <v>500000</v>
      </c>
      <c r="D44" s="127">
        <f>'9.mell.2.tábl.'!D44+'9.mell.3.tábl.'!D44+'9.mell.4-tábl.'!D44</f>
        <v>0</v>
      </c>
      <c r="E44" s="127">
        <f>'9.mell.2.tábl.'!E44+'9.mell.3.tábl.'!E44+'9.mell.4-tábl.'!E44</f>
        <v>0</v>
      </c>
      <c r="F44" s="127">
        <f>'9.mell.2.tábl.'!F44+'9.mell.3.tábl.'!F44+'9.mell.4-tábl.'!F44</f>
        <v>0</v>
      </c>
      <c r="G44" s="331">
        <f>'9.mell.2.tábl.'!G44+'9.mell.3.tábl.'!G44+'9.mell.4-tábl.'!G44</f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'9.mell.2.tábl.'!C45+'9.mell.3.tábl.'!C45+'9.mell.4-tábl.'!C45</f>
        <v>5000</v>
      </c>
      <c r="D45" s="127">
        <f>'9.mell.2.tábl.'!D45+'9.mell.3.tábl.'!D45+'9.mell.4-tábl.'!D45</f>
        <v>0</v>
      </c>
      <c r="E45" s="127">
        <f>'9.mell.2.tábl.'!E45+'9.mell.3.tábl.'!E45+'9.mell.4-tábl.'!E45</f>
        <v>0</v>
      </c>
      <c r="F45" s="127">
        <f>'9.mell.2.tábl.'!F45+'9.mell.3.tábl.'!F45+'9.mell.4-tábl.'!F45</f>
        <v>0</v>
      </c>
      <c r="G45" s="333">
        <f>'9.mell.2.tábl.'!G45+'9.mell.3.tábl.'!G45+'9.mell.4-tábl.'!G45</f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'9.mell.2.tábl.'!C46+'9.mell.3.tábl.'!C46+'9.mell.4-tábl.'!C46</f>
        <v>0</v>
      </c>
      <c r="D46" s="127">
        <f>'9.mell.2.tábl.'!D46+'9.mell.3.tábl.'!D46+'9.mell.4-tábl.'!D46</f>
        <v>0</v>
      </c>
      <c r="E46" s="127">
        <f>'9.mell.2.tábl.'!E46+'9.mell.3.tábl.'!E46+'9.mell.4-tábl.'!E46</f>
        <v>0</v>
      </c>
      <c r="F46" s="127">
        <f>'9.mell.2.tábl.'!F46+'9.mell.3.tábl.'!F46+'9.mell.4-tábl.'!F46</f>
        <v>0</v>
      </c>
      <c r="G46" s="333">
        <f>'9.mell.2.tábl.'!G46+'9.mell.3.tábl.'!G46+'9.mell.4-tábl.'!G46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'9.mell.2.tábl.'!C47+'9.mell.3.tábl.'!C47+'9.mell.4-tábl.'!C47</f>
        <v>0</v>
      </c>
      <c r="D47" s="127">
        <f>'9.mell.2.tábl.'!D47+'9.mell.3.tábl.'!D47+'9.mell.4-tábl.'!D47</f>
        <v>0</v>
      </c>
      <c r="E47" s="127">
        <f>'9.mell.2.tábl.'!E47+'9.mell.3.tábl.'!E47+'9.mell.4-tábl.'!E47</f>
        <v>0</v>
      </c>
      <c r="F47" s="127">
        <f>'9.mell.2.tábl.'!F47+'9.mell.3.tábl.'!F47+'9.mell.4-tábl.'!F47</f>
        <v>0</v>
      </c>
      <c r="G47" s="333">
        <f>'9.mell.2.tábl.'!G47+'9.mell.3.tábl.'!G47+'9.mell.4-tábl.'!G47</f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27">
        <f>'9.mell.2.tábl.'!C48+'9.mell.3.tábl.'!C48+'9.mell.4-tábl.'!C48</f>
        <v>1080000</v>
      </c>
      <c r="D48" s="127">
        <f>'9.mell.2.tábl.'!D48+'9.mell.3.tábl.'!D48+'9.mell.4-tábl.'!D48</f>
        <v>0</v>
      </c>
      <c r="E48" s="127">
        <f>'9.mell.2.tábl.'!E48+'9.mell.3.tábl.'!E48+'9.mell.4-tábl.'!E48</f>
        <v>0</v>
      </c>
      <c r="F48" s="127">
        <f>'9.mell.2.tábl.'!F48+'9.mell.3.tábl.'!F48+'9.mell.4-tábl.'!F48</f>
        <v>0</v>
      </c>
      <c r="G48" s="333">
        <f>'9.mell.2.tábl.'!G48+'9.mell.3.tábl.'!G48+'9.mell.4-tábl.'!G48</f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'9.mell.2.tábl.'!C50+'9.mell.3.tábl.'!C50+'9.mell.4-tábl.'!C50</f>
        <v>0</v>
      </c>
      <c r="D50" s="169">
        <f>'9.mell.2.tábl.'!D50+'9.mell.3.tábl.'!D50+'9.mell.4-tábl.'!D50</f>
        <v>0</v>
      </c>
      <c r="E50" s="169">
        <f>'9.mell.2.tábl.'!E50+'9.mell.3.tábl.'!E50+'9.mell.4-tábl.'!E50</f>
        <v>0</v>
      </c>
      <c r="F50" s="169">
        <f>'9.mell.2.tábl.'!F50+'9.mell.3.tábl.'!F50+'9.mell.4-tábl.'!F50</f>
        <v>0</v>
      </c>
      <c r="G50" s="339">
        <f>'9.mell.2.tábl.'!G50+'9.mell.3.tábl.'!G50+'9.mell.4-tábl.'!G50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'9.mell.2.tábl.'!C51+'9.mell.3.tábl.'!C51+'9.mell.4-tábl.'!C51</f>
        <v>4000000</v>
      </c>
      <c r="D51" s="169">
        <f>'9.mell.2.tábl.'!D51+'9.mell.3.tábl.'!D51+'9.mell.4-tábl.'!D51</f>
        <v>0</v>
      </c>
      <c r="E51" s="169">
        <f>'9.mell.2.tábl.'!E51+'9.mell.3.tábl.'!E51+'9.mell.4-tábl.'!E51</f>
        <v>0</v>
      </c>
      <c r="F51" s="169">
        <f>'9.mell.2.tábl.'!F51+'9.mell.3.tábl.'!F51+'9.mell.4-tábl.'!F51</f>
        <v>0</v>
      </c>
      <c r="G51" s="339">
        <f>'9.mell.2.tábl.'!G51+'9.mell.3.tábl.'!G51+'9.mell.4-tábl.'!G51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'9.mell.2.tábl.'!C52+'9.mell.3.tábl.'!C52+'9.mell.4-tábl.'!C52</f>
        <v>0</v>
      </c>
      <c r="D52" s="169">
        <f>'9.mell.2.tábl.'!D52+'9.mell.3.tábl.'!D52+'9.mell.4-tábl.'!D52</f>
        <v>0</v>
      </c>
      <c r="E52" s="169">
        <f>'9.mell.2.tábl.'!E52+'9.mell.3.tábl.'!E52+'9.mell.4-tábl.'!E52</f>
        <v>0</v>
      </c>
      <c r="F52" s="169">
        <f>'9.mell.2.tábl.'!F52+'9.mell.3.tábl.'!F52+'9.mell.4-tábl.'!F52</f>
        <v>0</v>
      </c>
      <c r="G52" s="339">
        <f>'9.mell.2.tábl.'!G52+'9.mell.3.tábl.'!G52+'9.mell.4-tábl.'!G52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'9.mell.2.tábl.'!C53+'9.mell.3.tábl.'!C53+'9.mell.4-tábl.'!C53</f>
        <v>0</v>
      </c>
      <c r="D53" s="169">
        <f>'9.mell.2.tábl.'!D53+'9.mell.3.tábl.'!D53+'9.mell.4-tábl.'!D53</f>
        <v>0</v>
      </c>
      <c r="E53" s="169">
        <f>'9.mell.2.tábl.'!E53+'9.mell.3.tábl.'!E53+'9.mell.4-tábl.'!E53</f>
        <v>0</v>
      </c>
      <c r="F53" s="169">
        <f>'9.mell.2.tábl.'!F53+'9.mell.3.tábl.'!F53+'9.mell.4-tábl.'!F53</f>
        <v>0</v>
      </c>
      <c r="G53" s="339">
        <f>'9.mell.2.tábl.'!G53+'9.mell.3.tábl.'!G53+'9.mell.4-tábl.'!G53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69">
        <f>'9.mell.2.tábl.'!C54+'9.mell.3.tábl.'!C54+'9.mell.4-tábl.'!C54</f>
        <v>0</v>
      </c>
      <c r="D54" s="169">
        <f>'9.mell.2.tábl.'!D54+'9.mell.3.tábl.'!D54+'9.mell.4-tábl.'!D54</f>
        <v>0</v>
      </c>
      <c r="E54" s="169">
        <f>'9.mell.2.tábl.'!E54+'9.mell.3.tábl.'!E54+'9.mell.4-tábl.'!E54</f>
        <v>0</v>
      </c>
      <c r="F54" s="169">
        <f>'9.mell.2.tábl.'!F54+'9.mell.3.tábl.'!F54+'9.mell.4-tábl.'!F54</f>
        <v>0</v>
      </c>
      <c r="G54" s="339">
        <f>'9.mell.2.tábl.'!G54+'9.mell.3.tábl.'!G54+'9.mell.4-tábl.'!G54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'9.mell.2.tábl.'!C56+'9.mell.3.tábl.'!C56+'9.mell.4-tábl.'!C56</f>
        <v>0</v>
      </c>
      <c r="D56" s="127">
        <f>'9.mell.2.tábl.'!D56+'9.mell.3.tábl.'!D56+'9.mell.4-tábl.'!D56</f>
        <v>0</v>
      </c>
      <c r="E56" s="127">
        <f>'9.mell.2.tábl.'!E56+'9.mell.3.tábl.'!E56+'9.mell.4-tábl.'!E56</f>
        <v>0</v>
      </c>
      <c r="F56" s="127">
        <f>'9.mell.2.tábl.'!F56+'9.mell.3.tábl.'!F56+'9.mell.4-tábl.'!F56</f>
        <v>0</v>
      </c>
      <c r="G56" s="333">
        <f>'9.mell.2.tábl.'!G56+'9.mell.3.tábl.'!G56+'9.mell.4-tábl.'!G56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'9.mell.2.tábl.'!C57+'9.mell.3.tábl.'!C57+'9.mell.4-tábl.'!C57</f>
        <v>0</v>
      </c>
      <c r="D57" s="127">
        <f>'9.mell.2.tábl.'!D57+'9.mell.3.tábl.'!D57+'9.mell.4-tábl.'!D57</f>
        <v>0</v>
      </c>
      <c r="E57" s="127">
        <f>'9.mell.2.tábl.'!E57+'9.mell.3.tábl.'!E57+'9.mell.4-tábl.'!E57</f>
        <v>0</v>
      </c>
      <c r="F57" s="127">
        <f>'9.mell.2.tábl.'!F57+'9.mell.3.tábl.'!F57+'9.mell.4-tábl.'!F57</f>
        <v>0</v>
      </c>
      <c r="G57" s="331">
        <f>'9.mell.2.tábl.'!G57+'9.mell.3.tábl.'!G57+'9.mell.4-tábl.'!G57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'9.mell.2.tábl.'!C58+'9.mell.3.tábl.'!C58+'9.mell.4-tábl.'!C58</f>
        <v>100000</v>
      </c>
      <c r="D58" s="127">
        <f>'9.mell.2.tábl.'!D58+'9.mell.3.tábl.'!D58+'9.mell.4-tábl.'!D58</f>
        <v>0</v>
      </c>
      <c r="E58" s="127">
        <f>'9.mell.2.tábl.'!E58+'9.mell.3.tábl.'!E58+'9.mell.4-tábl.'!E58</f>
        <v>0</v>
      </c>
      <c r="F58" s="127">
        <f>'9.mell.2.tábl.'!F58+'9.mell.3.tábl.'!F58+'9.mell.4-tábl.'!F58</f>
        <v>0</v>
      </c>
      <c r="G58" s="333">
        <f>'9.mell.2.tábl.'!G58+'9.mell.3.tábl.'!G58+'9.mell.4-tábl.'!G58</f>
        <v>100000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'9.mell.2.tábl.'!C59+'9.mell.3.tábl.'!C59+'9.mell.4-tábl.'!C59</f>
        <v>0</v>
      </c>
      <c r="D59" s="127">
        <f>'9.mell.2.tábl.'!D59+'9.mell.3.tábl.'!D59+'9.mell.4-tábl.'!D59</f>
        <v>0</v>
      </c>
      <c r="E59" s="127">
        <f>'9.mell.2.tábl.'!E59+'9.mell.3.tábl.'!E59+'9.mell.4-tábl.'!E59</f>
        <v>0</v>
      </c>
      <c r="F59" s="127">
        <f>'9.mell.2.tábl.'!F59+'9.mell.3.tábl.'!F59+'9.mell.4-tábl.'!F59</f>
        <v>0</v>
      </c>
      <c r="G59" s="333">
        <f>'9.mell.2.tábl.'!G59+'9.mell.3.tábl.'!G59+'9.mell.4-tábl.'!G59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'9.mell.2.tábl.'!C61+'9.mell.3.tábl.'!C61+'9.mell.4-tábl.'!C61</f>
        <v>0</v>
      </c>
      <c r="D61" s="129">
        <f>'9.mell.2.tábl.'!D61+'9.mell.3.tábl.'!D61+'9.mell.4-tábl.'!D61</f>
        <v>0</v>
      </c>
      <c r="E61" s="129">
        <f>'9.mell.2.tábl.'!E61+'9.mell.3.tábl.'!E61+'9.mell.4-tábl.'!E61</f>
        <v>0</v>
      </c>
      <c r="F61" s="129">
        <f>'9.mell.2.tábl.'!F61+'9.mell.3.tábl.'!F61+'9.mell.4-tábl.'!F61</f>
        <v>0</v>
      </c>
      <c r="G61" s="342">
        <f>'9.mell.2.tábl.'!G61+'9.mell.3.tábl.'!G61+'9.mell.4-tábl.'!G61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'9.mell.2.tábl.'!C62+'9.mell.3.tábl.'!C62+'9.mell.4-tábl.'!C62</f>
        <v>0</v>
      </c>
      <c r="D62" s="129">
        <f>'9.mell.2.tábl.'!D62+'9.mell.3.tábl.'!D62+'9.mell.4-tábl.'!D62</f>
        <v>0</v>
      </c>
      <c r="E62" s="129">
        <f>'9.mell.2.tábl.'!E62+'9.mell.3.tábl.'!E62+'9.mell.4-tábl.'!E62</f>
        <v>0</v>
      </c>
      <c r="F62" s="129">
        <f>'9.mell.2.tábl.'!F62+'9.mell.3.tábl.'!F62+'9.mell.4-tábl.'!F62</f>
        <v>0</v>
      </c>
      <c r="G62" s="342">
        <f>'9.mell.2.tábl.'!G62+'9.mell.3.tábl.'!G62+'9.mell.4-tábl.'!G62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'9.mell.2.tábl.'!C63+'9.mell.3.tábl.'!C63+'9.mell.4-tábl.'!C63</f>
        <v>800000</v>
      </c>
      <c r="D63" s="129">
        <f>'9.mell.2.tábl.'!D63+'9.mell.3.tábl.'!D63+'9.mell.4-tábl.'!D63</f>
        <v>0</v>
      </c>
      <c r="E63" s="129">
        <f>'9.mell.2.tábl.'!E63+'9.mell.3.tábl.'!E63+'9.mell.4-tábl.'!E63</f>
        <v>0</v>
      </c>
      <c r="F63" s="129">
        <f>'9.mell.2.tábl.'!F63+'9.mell.3.tábl.'!F63+'9.mell.4-tábl.'!F63</f>
        <v>0</v>
      </c>
      <c r="G63" s="342">
        <f>'9.mell.2.tábl.'!G63+'9.mell.3.tábl.'!G63+'9.mell.4-tábl.'!G63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'9.mell.2.tábl.'!C64+'9.mell.3.tábl.'!C64+'9.mell.4-tábl.'!C64</f>
        <v>0</v>
      </c>
      <c r="D64" s="129">
        <f>'9.mell.2.tábl.'!D64+'9.mell.3.tábl.'!D64+'9.mell.4-tábl.'!D64</f>
        <v>0</v>
      </c>
      <c r="E64" s="129">
        <f>'9.mell.2.tábl.'!E64+'9.mell.3.tábl.'!E64+'9.mell.4-tábl.'!E64</f>
        <v>0</v>
      </c>
      <c r="F64" s="129">
        <f>'9.mell.2.tábl.'!F64+'9.mell.3.tábl.'!F64+'9.mell.4-tábl.'!F64</f>
        <v>0</v>
      </c>
      <c r="G64" s="342">
        <f>'9.mell.2.tábl.'!G64+'9.mell.3.tábl.'!G64+'9.mell.4-tábl.'!G64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410421582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472175498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'9.mell.2.tábl.'!C67+'9.mell.3.tábl.'!C67+'9.mell.4-tábl.'!C67</f>
        <v>73000000</v>
      </c>
      <c r="D67" s="129">
        <f>'9.mell.2.tábl.'!D67+'9.mell.3.tábl.'!D67+'9.mell.4-tábl.'!D67</f>
        <v>0</v>
      </c>
      <c r="E67" s="129">
        <f>'9.mell.2.tábl.'!E67+'9.mell.3.tábl.'!E67+'9.mell.4-tábl.'!E67</f>
        <v>0</v>
      </c>
      <c r="F67" s="129">
        <f>'9.mell.2.tábl.'!F67+'9.mell.3.tábl.'!F67+'9.mell.4-tábl.'!F67</f>
        <v>0</v>
      </c>
      <c r="G67" s="342">
        <f>'9.mell.2.tábl.'!G67+'9.mell.3.tábl.'!G67+'9.mell.4-tábl.'!G67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'9.mell.2.tábl.'!C68+'9.mell.3.tábl.'!C68+'9.mell.4-tábl.'!C68</f>
        <v>0</v>
      </c>
      <c r="D68" s="129">
        <f>'9.mell.2.tábl.'!D68+'9.mell.3.tábl.'!D68+'9.mell.4-tábl.'!D68</f>
        <v>0</v>
      </c>
      <c r="E68" s="129">
        <f>'9.mell.2.tábl.'!E68+'9.mell.3.tábl.'!E68+'9.mell.4-tábl.'!E68</f>
        <v>0</v>
      </c>
      <c r="F68" s="129">
        <f>'9.mell.2.tábl.'!F68+'9.mell.3.tábl.'!F68+'9.mell.4-tábl.'!F68</f>
        <v>0</v>
      </c>
      <c r="G68" s="342">
        <f>'9.mell.2.tábl.'!G68+'9.mell.3.tábl.'!G68+'9.mell.4-tábl.'!G68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>
        <f>'9.mell.2.tábl.'!C69+'9.mell.3.tábl.'!C69+'9.mell.4-tábl.'!C69</f>
        <v>0</v>
      </c>
      <c r="D69" s="261">
        <f>'9.mell.2.tábl.'!D69+'9.mell.3.tábl.'!D69+'9.mell.4-tábl.'!D69</f>
        <v>0</v>
      </c>
      <c r="E69" s="261">
        <f>'9.mell.2.tábl.'!E69+'9.mell.3.tábl.'!E69+'9.mell.4-tábl.'!E69</f>
        <v>0</v>
      </c>
      <c r="F69" s="261">
        <f>'9.mell.2.tábl.'!F69+'9.mell.3.tábl.'!F69+'9.mell.4-tábl.'!F69</f>
        <v>0</v>
      </c>
      <c r="G69" s="381">
        <f>'9.mell.2.tábl.'!G69+'9.mell.3.tábl.'!G69+'9.mell.4-tábl.'!G69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'9.mell.2.tábl.'!C71+'9.mell.3.tábl.'!C71+'9.mell.4-tábl.'!C71</f>
        <v>0</v>
      </c>
      <c r="D71" s="129">
        <f>'9.mell.2.tábl.'!D71+'9.mell.3.tábl.'!D71+'9.mell.4-tábl.'!D71</f>
        <v>0</v>
      </c>
      <c r="E71" s="129">
        <f>'9.mell.2.tábl.'!E71+'9.mell.3.tábl.'!E71+'9.mell.4-tábl.'!E71</f>
        <v>0</v>
      </c>
      <c r="F71" s="129">
        <f>'9.mell.2.tábl.'!F71+'9.mell.3.tábl.'!F71+'9.mell.4-tábl.'!F71</f>
        <v>0</v>
      </c>
      <c r="G71" s="342">
        <f>'9.mell.2.tábl.'!G71+'9.mell.3.tábl.'!G71+'9.mell.4-tábl.'!G71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'9.mell.2.tábl.'!C72+'9.mell.3.tábl.'!C72+'9.mell.4-tábl.'!C72</f>
        <v>0</v>
      </c>
      <c r="D72" s="129">
        <f>'9.mell.2.tábl.'!D72+'9.mell.3.tábl.'!D72+'9.mell.4-tábl.'!D72</f>
        <v>0</v>
      </c>
      <c r="E72" s="129">
        <f>'9.mell.2.tábl.'!E72+'9.mell.3.tábl.'!E72+'9.mell.4-tábl.'!E72</f>
        <v>0</v>
      </c>
      <c r="F72" s="129">
        <f>'9.mell.2.tábl.'!F72+'9.mell.3.tábl.'!F72+'9.mell.4-tábl.'!F72</f>
        <v>0</v>
      </c>
      <c r="G72" s="342">
        <f>'9.mell.2.tábl.'!G72+'9.mell.3.tábl.'!G72+'9.mell.4-tábl.'!G72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'9.mell.2.tábl.'!C73+'9.mell.3.tábl.'!C73+'9.mell.4-tábl.'!C73</f>
        <v>0</v>
      </c>
      <c r="D73" s="129">
        <f>'9.mell.2.tábl.'!D73+'9.mell.3.tábl.'!D73+'9.mell.4-tábl.'!D73</f>
        <v>0</v>
      </c>
      <c r="E73" s="129">
        <f>'9.mell.2.tábl.'!E73+'9.mell.3.tábl.'!E73+'9.mell.4-tábl.'!E73</f>
        <v>0</v>
      </c>
      <c r="F73" s="129">
        <f>'9.mell.2.tábl.'!F73+'9.mell.3.tábl.'!F73+'9.mell.4-tábl.'!F73</f>
        <v>0</v>
      </c>
      <c r="G73" s="342">
        <f>'9.mell.2.tábl.'!G73+'9.mell.3.tábl.'!G73+'9.mell.4-tábl.'!G73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'9.mell.2.tábl.'!C74+'9.mell.3.tábl.'!C74+'9.mell.4-tábl.'!C74</f>
        <v>0</v>
      </c>
      <c r="D74" s="129">
        <f>'9.mell.2.tábl.'!D74+'9.mell.3.tábl.'!D74+'9.mell.4-tábl.'!D74</f>
        <v>0</v>
      </c>
      <c r="E74" s="129">
        <f>'9.mell.2.tábl.'!E74+'9.mell.3.tábl.'!E74+'9.mell.4-tábl.'!E74</f>
        <v>0</v>
      </c>
      <c r="F74" s="129">
        <f>'9.mell.2.tábl.'!F74+'9.mell.3.tábl.'!F74+'9.mell.4-tábl.'!F74</f>
        <v>0</v>
      </c>
      <c r="G74" s="342">
        <f>'9.mell.2.tábl.'!G74+'9.mell.3.tábl.'!G74+'9.mell.4-tábl.'!G74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'9.mell.2.tábl.'!C76+'9.mell.3.tábl.'!C76+'9.mell.4-tábl.'!C76</f>
        <v>265492326</v>
      </c>
      <c r="D76" s="129">
        <f>'9.mell.2.tábl.'!D76+'9.mell.3.tábl.'!D76+'9.mell.4-tábl.'!D76</f>
        <v>20743434</v>
      </c>
      <c r="E76" s="129">
        <f>'9.mell.2.tábl.'!E76+'9.mell.3.tábl.'!E76+'9.mell.4-tábl.'!E76</f>
        <v>0</v>
      </c>
      <c r="F76" s="129">
        <f>'9.mell.2.tábl.'!F76+'9.mell.3.tábl.'!F76+'9.mell.4-tábl.'!F76</f>
        <v>20743434</v>
      </c>
      <c r="G76" s="342">
        <f>'9.mell.2.tábl.'!G76+'9.mell.3.tábl.'!G76+'9.mell.4-tábl.'!G76</f>
        <v>286235760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>
        <f>'9.mell.2.tábl.'!C77+'9.mell.3.tábl.'!C77+'9.mell.4-tábl.'!C77</f>
        <v>0</v>
      </c>
      <c r="D77" s="129">
        <f>'9.mell.2.tábl.'!D77+'9.mell.3.tábl.'!D77+'9.mell.4-tábl.'!D77</f>
        <v>0</v>
      </c>
      <c r="E77" s="129">
        <f>'9.mell.2.tábl.'!E77+'9.mell.3.tábl.'!E77+'9.mell.4-tábl.'!E77</f>
        <v>0</v>
      </c>
      <c r="F77" s="129">
        <f>'9.mell.2.tábl.'!F77+'9.mell.3.tábl.'!F77+'9.mell.4-tábl.'!F77</f>
        <v>0</v>
      </c>
      <c r="G77" s="342">
        <f>'9.mell.2.tábl.'!G77+'9.mell.3.tábl.'!G77+'9.mell.4-tábl.'!G77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>
        <f>'9.mell.2.tábl.'!C79+'9.mell.3.tábl.'!C79+'9.mell.4-tábl.'!C79</f>
        <v>0</v>
      </c>
      <c r="D79" s="129">
        <f>'9.mell.2.tábl.'!D79+'9.mell.3.tábl.'!D79+'9.mell.4-tábl.'!D79</f>
        <v>7684358</v>
      </c>
      <c r="E79" s="129">
        <f>'9.mell.2.tábl.'!E79+'9.mell.3.tábl.'!E79+'9.mell.4-tábl.'!E79</f>
        <v>0</v>
      </c>
      <c r="F79" s="129">
        <f>'9.mell.2.tábl.'!F79+'9.mell.3.tábl.'!F79+'9.mell.4-tábl.'!F79</f>
        <v>7684358</v>
      </c>
      <c r="G79" s="342">
        <f>'9.mell.2.tábl.'!G79+'9.mell.3.tábl.'!G79+'9.mell.4-tábl.'!G79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>
        <f>'9.mell.2.tábl.'!C80+'9.mell.3.tábl.'!C80+'9.mell.4-tábl.'!C80</f>
        <v>0</v>
      </c>
      <c r="D80" s="129">
        <f>'9.mell.2.tábl.'!D80+'9.mell.3.tábl.'!D80+'9.mell.4-tábl.'!D80</f>
        <v>0</v>
      </c>
      <c r="E80" s="129">
        <f>'9.mell.2.tábl.'!E80+'9.mell.3.tábl.'!E80+'9.mell.4-tábl.'!E80</f>
        <v>0</v>
      </c>
      <c r="F80" s="129">
        <f>'9.mell.2.tábl.'!F80+'9.mell.3.tábl.'!F80+'9.mell.4-tábl.'!F80</f>
        <v>0</v>
      </c>
      <c r="G80" s="342">
        <f>'9.mell.2.tábl.'!G80+'9.mell.3.tábl.'!G80+'9.mell.4-tábl.'!G80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>
        <f>'9.mell.2.tábl.'!C81+'9.mell.3.tábl.'!C81+'9.mell.4-tábl.'!C81</f>
        <v>0</v>
      </c>
      <c r="D81" s="129">
        <f>'9.mell.2.tábl.'!D81+'9.mell.3.tábl.'!D81+'9.mell.4-tábl.'!D81</f>
        <v>0</v>
      </c>
      <c r="E81" s="129">
        <f>'9.mell.2.tábl.'!E81+'9.mell.3.tábl.'!E81+'9.mell.4-tábl.'!E81</f>
        <v>0</v>
      </c>
      <c r="F81" s="129">
        <f>'9.mell.2.tábl.'!F81+'9.mell.3.tábl.'!F81+'9.mell.4-tábl.'!F81</f>
        <v>0</v>
      </c>
      <c r="G81" s="342">
        <f>'9.mell.2.tábl.'!G81+'9.mell.3.tábl.'!G81+'9.mell.4-tábl.'!G81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>
        <f>'9.mell.2.tábl.'!C83+'9.mell.3.tábl.'!C83+'9.mell.4-tábl.'!C83</f>
        <v>0</v>
      </c>
      <c r="D83" s="129">
        <f>'9.mell.2.tábl.'!D83+'9.mell.3.tábl.'!D83+'9.mell.4-tábl.'!D83</f>
        <v>0</v>
      </c>
      <c r="E83" s="129">
        <f>'9.mell.2.tábl.'!E83+'9.mell.3.tábl.'!E83+'9.mell.4-tábl.'!E83</f>
        <v>0</v>
      </c>
      <c r="F83" s="129">
        <f>'9.mell.2.tábl.'!F83+'9.mell.3.tábl.'!F83+'9.mell.4-tábl.'!F83</f>
        <v>0</v>
      </c>
      <c r="G83" s="342">
        <f>'9.mell.2.tábl.'!G83+'9.mell.3.tábl.'!G83+'9.mell.4-tábl.'!G83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>
        <f>'9.mell.2.tábl.'!C84+'9.mell.3.tábl.'!C84+'9.mell.4-tábl.'!C84</f>
        <v>0</v>
      </c>
      <c r="D84" s="129">
        <f>'9.mell.2.tábl.'!D84+'9.mell.3.tábl.'!D84+'9.mell.4-tábl.'!D84</f>
        <v>0</v>
      </c>
      <c r="E84" s="129">
        <f>'9.mell.2.tábl.'!E84+'9.mell.3.tábl.'!E84+'9.mell.4-tábl.'!E84</f>
        <v>0</v>
      </c>
      <c r="F84" s="129">
        <f>'9.mell.2.tábl.'!F84+'9.mell.3.tábl.'!F84+'9.mell.4-tábl.'!F84</f>
        <v>0</v>
      </c>
      <c r="G84" s="342">
        <f>'9.mell.2.tábl.'!G84+'9.mell.3.tábl.'!G84+'9.mell.4-tábl.'!G84</f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>
        <f>'9.mell.2.tábl.'!C85+'9.mell.3.tábl.'!C85+'9.mell.4-tábl.'!C85</f>
        <v>0</v>
      </c>
      <c r="D85" s="129">
        <f>'9.mell.2.tábl.'!D85+'9.mell.3.tábl.'!D85+'9.mell.4-tábl.'!D85</f>
        <v>0</v>
      </c>
      <c r="E85" s="129">
        <f>'9.mell.2.tábl.'!E85+'9.mell.3.tábl.'!E85+'9.mell.4-tábl.'!E85</f>
        <v>0</v>
      </c>
      <c r="F85" s="129">
        <f>'9.mell.2.tábl.'!F85+'9.mell.3.tábl.'!F85+'9.mell.4-tábl.'!F85</f>
        <v>0</v>
      </c>
      <c r="G85" s="342">
        <f>'9.mell.2.tábl.'!G85+'9.mell.3.tábl.'!G85+'9.mell.4-tábl.'!G85</f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>
        <f>'9.mell.2.tábl.'!C86+'9.mell.3.tábl.'!C86+'9.mell.4-tábl.'!C86</f>
        <v>0</v>
      </c>
      <c r="D86" s="129">
        <f>'9.mell.2.tábl.'!D86+'9.mell.3.tábl.'!D86+'9.mell.4-tábl.'!D86</f>
        <v>0</v>
      </c>
      <c r="E86" s="129">
        <f>'9.mell.2.tábl.'!E86+'9.mell.3.tábl.'!E86+'9.mell.4-tábl.'!E86</f>
        <v>0</v>
      </c>
      <c r="F86" s="129">
        <f>'9.mell.2.tábl.'!F86+'9.mell.3.tábl.'!F86+'9.mell.4-tábl.'!F86</f>
        <v>0</v>
      </c>
      <c r="G86" s="342">
        <f>'9.mell.2.tábl.'!G86+'9.mell.3.tábl.'!G86+'9.mell.4-tábl.'!G86</f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>D87+E87</f>
        <v>0</v>
      </c>
      <c r="G87" s="262">
        <f>C87+F87</f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748913908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839095616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3.75" customHeight="1" thickBot="1" x14ac:dyDescent="0.25">
      <c r="A92" s="763"/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370422352</v>
      </c>
      <c r="D93" s="270">
        <f>+D94+D95+D96+D97+D98+D111</f>
        <v>81720708</v>
      </c>
      <c r="E93" s="124">
        <f>+E94+E95+E96+E97+E98+E111</f>
        <v>0</v>
      </c>
      <c r="F93" s="124">
        <f>+F94+F95+F96+F97+F98+F111</f>
        <v>81720708</v>
      </c>
      <c r="G93" s="274">
        <f>+G94+G95+G96+G97+G98+G111</f>
        <v>452143060</v>
      </c>
    </row>
    <row r="94" spans="1:7" ht="12" customHeight="1" x14ac:dyDescent="0.2">
      <c r="A94" s="162" t="s">
        <v>59</v>
      </c>
      <c r="B94" s="5" t="s">
        <v>34</v>
      </c>
      <c r="C94" s="337">
        <f>'9.mell.2.tábl.'!C93+'9.mell.3.tábl.'!C94+'9.mell.4-tábl.'!C93</f>
        <v>83451500</v>
      </c>
      <c r="D94" s="329">
        <f>'9.mell.2.tábl.'!D93+'9.mell.3.tábl.'!D94+'9.mell.4-tábl.'!D93</f>
        <v>2893000</v>
      </c>
      <c r="E94" s="329">
        <f>'9.mell.2.tábl.'!E93+'9.mell.3.tábl.'!E94+'9.mell.4-tábl.'!E93</f>
        <v>-15000</v>
      </c>
      <c r="F94" s="329">
        <f>'9.mell.2.tábl.'!F93+'9.mell.3.tábl.'!F94+'9.mell.4-tábl.'!F93</f>
        <v>2878000</v>
      </c>
      <c r="G94" s="336">
        <f>'9.mell.2.tábl.'!G93+'9.mell.3.tábl.'!G94+'9.mell.4-tábl.'!G93</f>
        <v>86329500</v>
      </c>
    </row>
    <row r="95" spans="1:7" ht="12" customHeight="1" x14ac:dyDescent="0.2">
      <c r="A95" s="155" t="s">
        <v>60</v>
      </c>
      <c r="B95" s="3" t="s">
        <v>103</v>
      </c>
      <c r="C95" s="194">
        <f>'9.mell.2.tábl.'!C94+'9.mell.3.tábl.'!C95+'9.mell.4-tábl.'!C94</f>
        <v>14864000</v>
      </c>
      <c r="D95" s="126">
        <f>'9.mell.2.tábl.'!D94+'9.mell.3.tábl.'!D95+'9.mell.4-tábl.'!D94</f>
        <v>129000</v>
      </c>
      <c r="E95" s="126">
        <f>'9.mell.2.tábl.'!E94+'9.mell.3.tábl.'!E95+'9.mell.4-tábl.'!E94</f>
        <v>0</v>
      </c>
      <c r="F95" s="126">
        <f>'9.mell.2.tábl.'!F94+'9.mell.3.tábl.'!F95+'9.mell.4-tábl.'!F94</f>
        <v>129000</v>
      </c>
      <c r="G95" s="331">
        <f>'9.mell.2.tábl.'!G94+'9.mell.3.tábl.'!G95+'9.mell.4-tábl.'!G94</f>
        <v>14993000</v>
      </c>
    </row>
    <row r="96" spans="1:7" ht="12" customHeight="1" x14ac:dyDescent="0.2">
      <c r="A96" s="155" t="s">
        <v>61</v>
      </c>
      <c r="B96" s="3" t="s">
        <v>78</v>
      </c>
      <c r="C96" s="194">
        <f>'9.mell.2.tábl.'!C95+'9.mell.3.tábl.'!C96+'9.mell.4-tábl.'!C95</f>
        <v>142791000</v>
      </c>
      <c r="D96" s="126">
        <f>'9.mell.2.tábl.'!D95+'9.mell.3.tábl.'!D96+'9.mell.4-tábl.'!D95</f>
        <v>7706000</v>
      </c>
      <c r="E96" s="126">
        <f>'9.mell.2.tábl.'!E95+'9.mell.3.tábl.'!E96+'9.mell.4-tábl.'!E95</f>
        <v>1081000</v>
      </c>
      <c r="F96" s="126">
        <f>'9.mell.2.tábl.'!F95+'9.mell.3.tábl.'!F96+'9.mell.4-tábl.'!F95</f>
        <v>8787000</v>
      </c>
      <c r="G96" s="331">
        <f>'9.mell.2.tábl.'!G95+'9.mell.3.tábl.'!G96+'9.mell.4-tábl.'!G95</f>
        <v>151578000</v>
      </c>
    </row>
    <row r="97" spans="1:7" ht="12" customHeight="1" x14ac:dyDescent="0.2">
      <c r="A97" s="155" t="s">
        <v>62</v>
      </c>
      <c r="B97" s="3" t="s">
        <v>104</v>
      </c>
      <c r="C97" s="194">
        <f>'9.mell.2.tábl.'!C96+'9.mell.3.tábl.'!C97+'9.mell.4-tábl.'!C96</f>
        <v>5390000</v>
      </c>
      <c r="D97" s="126">
        <f>'9.mell.2.tábl.'!D96+'9.mell.3.tábl.'!D97+'9.mell.4-tábl.'!D96</f>
        <v>-385200</v>
      </c>
      <c r="E97" s="126">
        <f>'9.mell.2.tábl.'!E96+'9.mell.3.tábl.'!E97+'9.mell.4-tábl.'!E96</f>
        <v>0</v>
      </c>
      <c r="F97" s="126">
        <f>'9.mell.2.tábl.'!F96+'9.mell.3.tábl.'!F97+'9.mell.4-tábl.'!F96</f>
        <v>-385200</v>
      </c>
      <c r="G97" s="331">
        <f>'9.mell.2.tábl.'!G96+'9.mell.3.tábl.'!G97+'9.mell.4-tábl.'!G96</f>
        <v>5004800</v>
      </c>
    </row>
    <row r="98" spans="1:7" ht="12" customHeight="1" x14ac:dyDescent="0.2">
      <c r="A98" s="155" t="s">
        <v>70</v>
      </c>
      <c r="B98" s="2" t="s">
        <v>105</v>
      </c>
      <c r="C98" s="194">
        <f>'9.mell.2.tábl.'!C97+'9.mell.3.tábl.'!C98+'9.mell.4-tábl.'!C97</f>
        <v>122899000</v>
      </c>
      <c r="D98" s="126">
        <f>'9.mell.2.tábl.'!D97+'9.mell.3.tábl.'!D98+'9.mell.4-tábl.'!D97</f>
        <v>2952629</v>
      </c>
      <c r="E98" s="126">
        <f>'9.mell.2.tábl.'!E97+'9.mell.3.tábl.'!E98+'9.mell.4-tábl.'!E97</f>
        <v>0</v>
      </c>
      <c r="F98" s="126">
        <f>'9.mell.2.tábl.'!F97+'9.mell.3.tábl.'!F98+'9.mell.4-tábl.'!F97</f>
        <v>2952629</v>
      </c>
      <c r="G98" s="331">
        <f>'9.mell.2.tábl.'!G97+'9.mell.3.tábl.'!G98+'9.mell.4-tábl.'!G97</f>
        <v>125851629</v>
      </c>
    </row>
    <row r="99" spans="1:7" ht="12" customHeight="1" x14ac:dyDescent="0.2">
      <c r="A99" s="155" t="s">
        <v>63</v>
      </c>
      <c r="B99" s="3" t="s">
        <v>363</v>
      </c>
      <c r="C99" s="194">
        <f>'9.mell.2.tábl.'!C98+'9.mell.3.tábl.'!C99+'9.mell.4-tábl.'!C98</f>
        <v>705000</v>
      </c>
      <c r="D99" s="126">
        <f>'9.mell.2.tábl.'!D98+'9.mell.3.tábl.'!D99+'9.mell.4-tábl.'!D98</f>
        <v>0</v>
      </c>
      <c r="E99" s="126">
        <f>'9.mell.2.tábl.'!E98+'9.mell.3.tábl.'!E99+'9.mell.4-tábl.'!E98</f>
        <v>0</v>
      </c>
      <c r="F99" s="126">
        <f>'9.mell.2.tábl.'!F98+'9.mell.3.tábl.'!F99+'9.mell.4-tábl.'!F98</f>
        <v>0</v>
      </c>
      <c r="G99" s="331">
        <f>'9.mell.2.tábl.'!G98+'9.mell.3.tábl.'!G99+'9.mell.4-tábl.'!G98</f>
        <v>705000</v>
      </c>
    </row>
    <row r="100" spans="1:7" ht="12" customHeight="1" x14ac:dyDescent="0.2">
      <c r="A100" s="155" t="s">
        <v>64</v>
      </c>
      <c r="B100" s="48" t="s">
        <v>304</v>
      </c>
      <c r="C100" s="194">
        <f>'9.mell.2.tábl.'!C99+'9.mell.3.tábl.'!C100+'9.mell.4-tábl.'!C99</f>
        <v>0</v>
      </c>
      <c r="D100" s="126">
        <f>'9.mell.2.tábl.'!D99+'9.mell.3.tábl.'!D100+'9.mell.4-tábl.'!D99</f>
        <v>0</v>
      </c>
      <c r="E100" s="126">
        <f>'9.mell.2.tábl.'!E99+'9.mell.3.tábl.'!E100+'9.mell.4-tábl.'!E99</f>
        <v>0</v>
      </c>
      <c r="F100" s="126">
        <f>'9.mell.2.tábl.'!F99+'9.mell.3.tábl.'!F100+'9.mell.4-tábl.'!F99</f>
        <v>0</v>
      </c>
      <c r="G100" s="331">
        <f>'9.mell.2.tábl.'!G99+'9.mell.3.tábl.'!G100+'9.mell.4-tábl.'!G99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'9.mell.2.tábl.'!C100+'9.mell.3.tábl.'!C101+'9.mell.4-tábl.'!C100</f>
        <v>0</v>
      </c>
      <c r="D101" s="126">
        <f>'9.mell.2.tábl.'!D100+'9.mell.3.tábl.'!D101+'9.mell.4-tábl.'!D100</f>
        <v>0</v>
      </c>
      <c r="E101" s="126">
        <f>'9.mell.2.tábl.'!E100+'9.mell.3.tábl.'!E101+'9.mell.4-tábl.'!E100</f>
        <v>0</v>
      </c>
      <c r="F101" s="126">
        <f>'9.mell.2.tábl.'!F100+'9.mell.3.tábl.'!F101+'9.mell.4-tábl.'!F100</f>
        <v>0</v>
      </c>
      <c r="G101" s="331">
        <f>'9.mell.2.tábl.'!G100+'9.mell.3.tábl.'!G101+'9.mell.4-tábl.'!G100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'9.mell.2.tábl.'!C101+'9.mell.3.tábl.'!C102+'9.mell.4-tábl.'!C101</f>
        <v>0</v>
      </c>
      <c r="D102" s="126">
        <f>'9.mell.2.tábl.'!D101+'9.mell.3.tábl.'!D102+'9.mell.4-tábl.'!D101</f>
        <v>0</v>
      </c>
      <c r="E102" s="126">
        <f>'9.mell.2.tábl.'!E101+'9.mell.3.tábl.'!E102+'9.mell.4-tábl.'!E101</f>
        <v>0</v>
      </c>
      <c r="F102" s="126">
        <f>'9.mell.2.tábl.'!F101+'9.mell.3.tábl.'!F102+'9.mell.4-tábl.'!F101</f>
        <v>0</v>
      </c>
      <c r="G102" s="331">
        <f>'9.mell.2.tábl.'!G101+'9.mell.3.tábl.'!G102+'9.mell.4-tábl.'!G101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'9.mell.2.tábl.'!C102+'9.mell.3.tábl.'!C103+'9.mell.4-tábl.'!C102</f>
        <v>0</v>
      </c>
      <c r="D103" s="126">
        <f>'9.mell.2.tábl.'!D102+'9.mell.3.tábl.'!D103+'9.mell.4-tábl.'!D102</f>
        <v>0</v>
      </c>
      <c r="E103" s="126">
        <f>'9.mell.2.tábl.'!E102+'9.mell.3.tábl.'!E103+'9.mell.4-tábl.'!E102</f>
        <v>0</v>
      </c>
      <c r="F103" s="126">
        <f>'9.mell.2.tábl.'!F102+'9.mell.3.tábl.'!F103+'9.mell.4-tábl.'!F102</f>
        <v>0</v>
      </c>
      <c r="G103" s="331">
        <f>'9.mell.2.tábl.'!G102+'9.mell.3.tábl.'!G103+'9.mell.4-tábl.'!G102</f>
        <v>0</v>
      </c>
    </row>
    <row r="104" spans="1:7" ht="22.5" x14ac:dyDescent="0.2">
      <c r="A104" s="155" t="s">
        <v>74</v>
      </c>
      <c r="B104" s="49" t="s">
        <v>239</v>
      </c>
      <c r="C104" s="194">
        <f>'9.mell.2.tábl.'!C103+'9.mell.3.tábl.'!C104+'9.mell.4-tábl.'!C103</f>
        <v>0</v>
      </c>
      <c r="D104" s="126">
        <f>'9.mell.2.tábl.'!D103+'9.mell.3.tábl.'!D104+'9.mell.4-tábl.'!D103</f>
        <v>0</v>
      </c>
      <c r="E104" s="126">
        <f>'9.mell.2.tábl.'!E103+'9.mell.3.tábl.'!E104+'9.mell.4-tábl.'!E103</f>
        <v>0</v>
      </c>
      <c r="F104" s="126">
        <f>'9.mell.2.tábl.'!F103+'9.mell.3.tábl.'!F104+'9.mell.4-tábl.'!F103</f>
        <v>0</v>
      </c>
      <c r="G104" s="331">
        <f>'9.mell.2.tábl.'!G103+'9.mell.3.tábl.'!G104+'9.mell.4-tábl.'!G103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'9.mell.2.tábl.'!C104+'9.mell.3.tábl.'!C105+'9.mell.4-tábl.'!C104</f>
        <v>121744000</v>
      </c>
      <c r="D105" s="126">
        <f>'9.mell.2.tábl.'!D104+'9.mell.3.tábl.'!D105+'9.mell.4-tábl.'!D104</f>
        <v>313629</v>
      </c>
      <c r="E105" s="126">
        <f>'9.mell.2.tábl.'!E104+'9.mell.3.tábl.'!E105+'9.mell.4-tábl.'!E104</f>
        <v>0</v>
      </c>
      <c r="F105" s="126">
        <f>'9.mell.2.tábl.'!F104+'9.mell.3.tábl.'!F105+'9.mell.4-tábl.'!F104</f>
        <v>313629</v>
      </c>
      <c r="G105" s="331">
        <f>'9.mell.2.tábl.'!G104+'9.mell.3.tábl.'!G105+'9.mell.4-tábl.'!G104</f>
        <v>122057629</v>
      </c>
    </row>
    <row r="106" spans="1:7" ht="12" customHeight="1" x14ac:dyDescent="0.2">
      <c r="A106" s="155" t="s">
        <v>106</v>
      </c>
      <c r="B106" s="48" t="s">
        <v>241</v>
      </c>
      <c r="C106" s="194">
        <f>'9.mell.2.tábl.'!C105+'9.mell.3.tábl.'!C106+'9.mell.4-tábl.'!C105</f>
        <v>0</v>
      </c>
      <c r="D106" s="126">
        <f>'9.mell.2.tábl.'!D105+'9.mell.3.tábl.'!D106+'9.mell.4-tábl.'!D105</f>
        <v>0</v>
      </c>
      <c r="E106" s="126">
        <f>'9.mell.2.tábl.'!E105+'9.mell.3.tábl.'!E106+'9.mell.4-tábl.'!E105</f>
        <v>0</v>
      </c>
      <c r="F106" s="126">
        <f>'9.mell.2.tábl.'!F105+'9.mell.3.tábl.'!F106+'9.mell.4-tábl.'!F105</f>
        <v>0</v>
      </c>
      <c r="G106" s="331">
        <f>'9.mell.2.tábl.'!G105+'9.mell.3.tábl.'!G106+'9.mell.4-tábl.'!G105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'9.mell.2.tábl.'!C106+'9.mell.3.tábl.'!C107+'9.mell.4-tábl.'!C106</f>
        <v>0</v>
      </c>
      <c r="D107" s="126">
        <f>'9.mell.2.tábl.'!D106+'9.mell.3.tábl.'!D107+'9.mell.4-tábl.'!D106</f>
        <v>0</v>
      </c>
      <c r="E107" s="126">
        <f>'9.mell.2.tábl.'!E106+'9.mell.3.tábl.'!E107+'9.mell.4-tábl.'!E106</f>
        <v>0</v>
      </c>
      <c r="F107" s="126">
        <f>'9.mell.2.tábl.'!F106+'9.mell.3.tábl.'!F107+'9.mell.4-tábl.'!F106</f>
        <v>0</v>
      </c>
      <c r="G107" s="331">
        <f>'9.mell.2.tábl.'!G106+'9.mell.3.tábl.'!G107+'9.mell.4-tábl.'!G106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'9.mell.2.tábl.'!C107+'9.mell.3.tábl.'!C108+'9.mell.4-tábl.'!C107</f>
        <v>0</v>
      </c>
      <c r="D108" s="126">
        <f>'9.mell.2.tábl.'!D107+'9.mell.3.tábl.'!D108+'9.mell.4-tábl.'!D107</f>
        <v>0</v>
      </c>
      <c r="E108" s="126">
        <f>'9.mell.2.tábl.'!E107+'9.mell.3.tábl.'!E108+'9.mell.4-tábl.'!E107</f>
        <v>0</v>
      </c>
      <c r="F108" s="126">
        <f>'9.mell.2.tábl.'!F107+'9.mell.3.tábl.'!F108+'9.mell.4-tábl.'!F107</f>
        <v>0</v>
      </c>
      <c r="G108" s="331">
        <f>'9.mell.2.tábl.'!G107+'9.mell.3.tábl.'!G108+'9.mell.4-tábl.'!G107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'9.mell.2.tábl.'!C108+'9.mell.3.tábl.'!C109+'9.mell.4-tábl.'!C108</f>
        <v>0</v>
      </c>
      <c r="D109" s="126">
        <f>'9.mell.2.tábl.'!D108+'9.mell.3.tábl.'!D109+'9.mell.4-tábl.'!D108</f>
        <v>0</v>
      </c>
      <c r="E109" s="126">
        <f>'9.mell.2.tábl.'!E108+'9.mell.3.tábl.'!E109+'9.mell.4-tábl.'!E108</f>
        <v>0</v>
      </c>
      <c r="F109" s="126">
        <f>'9.mell.2.tábl.'!F108+'9.mell.3.tábl.'!F109+'9.mell.4-tábl.'!F108</f>
        <v>0</v>
      </c>
      <c r="G109" s="331">
        <f>'9.mell.2.tábl.'!G108+'9.mell.3.tábl.'!G109+'9.mell.4-tábl.'!G108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'9.mell.2.tábl.'!C109+'9.mell.3.tábl.'!C110+'9.mell.4-tábl.'!C109</f>
        <v>450000</v>
      </c>
      <c r="D110" s="126">
        <f>'9.mell.2.tábl.'!D109+'9.mell.3.tábl.'!D110+'9.mell.4-tábl.'!D109</f>
        <v>2639000</v>
      </c>
      <c r="E110" s="126">
        <f>'9.mell.2.tábl.'!E109+'9.mell.3.tábl.'!E110+'9.mell.4-tábl.'!E109</f>
        <v>0</v>
      </c>
      <c r="F110" s="126">
        <f>'9.mell.2.tábl.'!F109+'9.mell.3.tábl.'!F110+'9.mell.4-tábl.'!F109</f>
        <v>2639000</v>
      </c>
      <c r="G110" s="331">
        <f>'9.mell.2.tábl.'!G109+'9.mell.3.tábl.'!G110+'9.mell.4-tábl.'!G109</f>
        <v>3089000</v>
      </c>
    </row>
    <row r="111" spans="1:7" ht="12" customHeight="1" x14ac:dyDescent="0.2">
      <c r="A111" s="155" t="s">
        <v>306</v>
      </c>
      <c r="B111" s="3" t="s">
        <v>35</v>
      </c>
      <c r="C111" s="194">
        <f>'9.mell.2.tábl.'!C110+'9.mell.3.tábl.'!C111+'9.mell.4-tábl.'!C110</f>
        <v>1026852</v>
      </c>
      <c r="D111" s="126">
        <f>'9.mell.2.tábl.'!D110+'9.mell.3.tábl.'!D111+'9.mell.4-tábl.'!D110</f>
        <v>68425279</v>
      </c>
      <c r="E111" s="126">
        <f>'9.mell.2.tábl.'!E110+'9.mell.3.tábl.'!E111+'9.mell.4-tábl.'!E110</f>
        <v>-1066000</v>
      </c>
      <c r="F111" s="126">
        <f>'9.mell.2.tábl.'!F110+'9.mell.3.tábl.'!F111+'9.mell.4-tábl.'!F110</f>
        <v>67359279</v>
      </c>
      <c r="G111" s="331">
        <f>'9.mell.2.tábl.'!G110+'9.mell.3.tábl.'!G111+'9.mell.4-tábl.'!G110</f>
        <v>68386131</v>
      </c>
    </row>
    <row r="112" spans="1:7" ht="12" customHeight="1" x14ac:dyDescent="0.2">
      <c r="A112" s="156" t="s">
        <v>307</v>
      </c>
      <c r="B112" s="3" t="s">
        <v>364</v>
      </c>
      <c r="C112" s="193">
        <f>'9.mell.2.tábl.'!C111+'9.mell.3.tábl.'!C112+'9.mell.4-tábl.'!C111</f>
        <v>200000</v>
      </c>
      <c r="D112" s="127">
        <f>'9.mell.2.tábl.'!D111+'9.mell.3.tábl.'!D112+'9.mell.4-tábl.'!D111</f>
        <v>39383279</v>
      </c>
      <c r="E112" s="127">
        <f>'9.mell.2.tábl.'!E111+'9.mell.3.tábl.'!E112+'9.mell.4-tábl.'!E111</f>
        <v>-1066000</v>
      </c>
      <c r="F112" s="127">
        <f>'9.mell.2.tábl.'!F111+'9.mell.3.tábl.'!F112+'9.mell.4-tábl.'!F111</f>
        <v>38317279</v>
      </c>
      <c r="G112" s="333">
        <f>'9.mell.2.tábl.'!G111+'9.mell.3.tábl.'!G112+'9.mell.4-tábl.'!G111</f>
        <v>38517279</v>
      </c>
    </row>
    <row r="113" spans="1:7" ht="12" customHeight="1" thickBot="1" x14ac:dyDescent="0.25">
      <c r="A113" s="164" t="s">
        <v>308</v>
      </c>
      <c r="B113" s="51" t="s">
        <v>365</v>
      </c>
      <c r="C113" s="338">
        <f>'9.mell.2.tábl.'!C112+'9.mell.3.tábl.'!C113+'9.mell.4-tábl.'!C112</f>
        <v>826852</v>
      </c>
      <c r="D113" s="334">
        <f>'9.mell.2.tábl.'!D112+'9.mell.3.tábl.'!D113+'9.mell.4-tábl.'!D112</f>
        <v>29042000</v>
      </c>
      <c r="E113" s="334">
        <f>'9.mell.2.tábl.'!E112+'9.mell.3.tábl.'!E113+'9.mell.4-tábl.'!E112</f>
        <v>0</v>
      </c>
      <c r="F113" s="334">
        <f>'9.mell.2.tábl.'!F112+'9.mell.3.tábl.'!F113+'9.mell.4-tábl.'!F112</f>
        <v>29042000</v>
      </c>
      <c r="G113" s="335">
        <f>'9.mell.2.tábl.'!G112+'9.mell.3.tábl.'!G113+'9.mell.4-tábl.'!G112</f>
        <v>29868852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284381000</v>
      </c>
      <c r="D114" s="249">
        <f>+D115+D117+D119</f>
        <v>8461000</v>
      </c>
      <c r="E114" s="125">
        <f>+E115+E117+E119</f>
        <v>0</v>
      </c>
      <c r="F114" s="125">
        <f>+F115+F117+F119</f>
        <v>8461000</v>
      </c>
      <c r="G114" s="262">
        <f>+G115+G117+G119</f>
        <v>292842000</v>
      </c>
    </row>
    <row r="115" spans="1:7" ht="12" customHeight="1" x14ac:dyDescent="0.2">
      <c r="A115" s="154" t="s">
        <v>65</v>
      </c>
      <c r="B115" s="3" t="s">
        <v>121</v>
      </c>
      <c r="C115" s="127">
        <f>'9.mell.2.tábl.'!C114+'9.mell.3.tábl.'!C115+'9.mell.4-tábl.'!C93</f>
        <v>283381000</v>
      </c>
      <c r="D115" s="127">
        <f>'9.mell.2.tábl.'!D114+'9.mell.3.tábl.'!D115+'9.mell.4-tábl.'!D93</f>
        <v>-5071000</v>
      </c>
      <c r="E115" s="127">
        <f>'9.mell.2.tábl.'!E114+'9.mell.3.tábl.'!E115+'9.mell.4-tábl.'!E93</f>
        <v>0</v>
      </c>
      <c r="F115" s="127">
        <f>'9.mell.2.tábl.'!F114+'9.mell.3.tábl.'!F115+'9.mell.4-tábl.'!F93</f>
        <v>-5071000</v>
      </c>
      <c r="G115" s="333">
        <f>'9.mell.2.tábl.'!G114+'9.mell.3.tábl.'!G115+'9.mell.4-tábl.'!G93</f>
        <v>278310000</v>
      </c>
    </row>
    <row r="116" spans="1:7" ht="12" customHeight="1" x14ac:dyDescent="0.2">
      <c r="A116" s="154" t="s">
        <v>66</v>
      </c>
      <c r="B116" s="7" t="s">
        <v>250</v>
      </c>
      <c r="C116" s="127">
        <f>'9.mell.2.tábl.'!C115+'9.mell.3.tábl.'!C116+'9.mell.4-tábl.'!C94</f>
        <v>265669000</v>
      </c>
      <c r="D116" s="127">
        <f>'9.mell.2.tábl.'!D115+'9.mell.3.tábl.'!D116+'9.mell.4-tábl.'!D94</f>
        <v>1203000</v>
      </c>
      <c r="E116" s="127">
        <f>'9.mell.2.tábl.'!E115+'9.mell.3.tábl.'!E116+'9.mell.4-tábl.'!E94</f>
        <v>0</v>
      </c>
      <c r="F116" s="127">
        <f>'9.mell.2.tábl.'!F115+'9.mell.3.tábl.'!F116+'9.mell.4-tábl.'!F94</f>
        <v>1203000</v>
      </c>
      <c r="G116" s="333">
        <f>'9.mell.2.tábl.'!G115+'9.mell.3.tábl.'!G116+'9.mell.4-tábl.'!G94</f>
        <v>266872000</v>
      </c>
    </row>
    <row r="117" spans="1:7" ht="12" customHeight="1" x14ac:dyDescent="0.2">
      <c r="A117" s="154" t="s">
        <v>67</v>
      </c>
      <c r="B117" s="7" t="s">
        <v>107</v>
      </c>
      <c r="C117" s="127">
        <f>'9.mell.2.tábl.'!C116+'9.mell.3.tábl.'!C117+'9.mell.4-tábl.'!C95</f>
        <v>0</v>
      </c>
      <c r="D117" s="127">
        <f>'9.mell.2.tábl.'!D116+'9.mell.3.tábl.'!D117+'9.mell.4-tábl.'!D95</f>
        <v>13469000</v>
      </c>
      <c r="E117" s="127">
        <f>'9.mell.2.tábl.'!E116+'9.mell.3.tábl.'!E117+'9.mell.4-tábl.'!E95</f>
        <v>0</v>
      </c>
      <c r="F117" s="127">
        <f>'9.mell.2.tábl.'!F116+'9.mell.3.tábl.'!F117+'9.mell.4-tábl.'!F95</f>
        <v>13469000</v>
      </c>
      <c r="G117" s="333">
        <f>'9.mell.2.tábl.'!G116+'9.mell.3.tábl.'!G117+'9.mell.4-tábl.'!G95</f>
        <v>13469000</v>
      </c>
    </row>
    <row r="118" spans="1:7" ht="12" customHeight="1" x14ac:dyDescent="0.2">
      <c r="A118" s="154" t="s">
        <v>68</v>
      </c>
      <c r="B118" s="7" t="s">
        <v>251</v>
      </c>
      <c r="C118" s="127">
        <f>'9.mell.2.tábl.'!C117+'9.mell.3.tábl.'!C118+'9.mell.4-tábl.'!C96</f>
        <v>0</v>
      </c>
      <c r="D118" s="127">
        <f>'9.mell.2.tábl.'!D117+'9.mell.3.tábl.'!D118+'9.mell.4-tábl.'!D96</f>
        <v>0</v>
      </c>
      <c r="E118" s="127">
        <f>'9.mell.2.tábl.'!E117+'9.mell.3.tábl.'!E118+'9.mell.4-tábl.'!E96</f>
        <v>0</v>
      </c>
      <c r="F118" s="127">
        <f>'9.mell.2.tábl.'!F117+'9.mell.3.tábl.'!F118+'9.mell.4-tábl.'!F96</f>
        <v>0</v>
      </c>
      <c r="G118" s="333">
        <f>'9.mell.2.tábl.'!G117+'9.mell.3.tábl.'!G118+'9.mell.4-tábl.'!G96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'9.mell.2.tábl.'!C118+'9.mell.3.tábl.'!C119+'9.mell.4-tábl.'!C97</f>
        <v>1000000</v>
      </c>
      <c r="D119" s="127">
        <f>'9.mell.2.tábl.'!D118+'9.mell.3.tábl.'!D119+'9.mell.4-tábl.'!D97</f>
        <v>63000</v>
      </c>
      <c r="E119" s="127">
        <f>'9.mell.2.tábl.'!E118+'9.mell.3.tábl.'!E119+'9.mell.4-tábl.'!E97</f>
        <v>0</v>
      </c>
      <c r="F119" s="127">
        <f>'9.mell.2.tábl.'!F118+'9.mell.3.tábl.'!F119+'9.mell.4-tábl.'!F97</f>
        <v>63000</v>
      </c>
      <c r="G119" s="333">
        <f>'9.mell.2.tábl.'!G118+'9.mell.3.tábl.'!G119+'9.mell.4-tábl.'!G97</f>
        <v>1063000</v>
      </c>
    </row>
    <row r="120" spans="1:7" ht="12" customHeight="1" x14ac:dyDescent="0.2">
      <c r="A120" s="154" t="s">
        <v>75</v>
      </c>
      <c r="B120" s="72" t="s">
        <v>294</v>
      </c>
      <c r="C120" s="127">
        <f>'9.mell.2.tábl.'!C119+'9.mell.3.tábl.'!C120+'9.mell.4-tábl.'!C98</f>
        <v>0</v>
      </c>
      <c r="D120" s="127">
        <f>'9.mell.2.tábl.'!D119+'9.mell.3.tábl.'!D120+'9.mell.4-tábl.'!D98</f>
        <v>0</v>
      </c>
      <c r="E120" s="127">
        <f>'9.mell.2.tábl.'!E119+'9.mell.3.tábl.'!E120+'9.mell.4-tábl.'!E98</f>
        <v>0</v>
      </c>
      <c r="F120" s="127">
        <f>'9.mell.2.tábl.'!F119+'9.mell.3.tábl.'!F120+'9.mell.4-tábl.'!F98</f>
        <v>0</v>
      </c>
      <c r="G120" s="333">
        <f>'9.mell.2.tábl.'!G119+'9.mell.3.tábl.'!G120+'9.mell.4-tábl.'!G98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'9.mell.2.tábl.'!C120+'9.mell.3.tábl.'!C121+'9.mell.4-tábl.'!C99</f>
        <v>0</v>
      </c>
      <c r="D121" s="127">
        <f>'9.mell.2.tábl.'!D120+'9.mell.3.tábl.'!D121+'9.mell.4-tábl.'!D99</f>
        <v>0</v>
      </c>
      <c r="E121" s="127">
        <f>'9.mell.2.tábl.'!E120+'9.mell.3.tábl.'!E121+'9.mell.4-tábl.'!E99</f>
        <v>0</v>
      </c>
      <c r="F121" s="127">
        <f>'9.mell.2.tábl.'!F120+'9.mell.3.tábl.'!F121+'9.mell.4-tábl.'!F99</f>
        <v>0</v>
      </c>
      <c r="G121" s="333">
        <f>'9.mell.2.tábl.'!G120+'9.mell.3.tábl.'!G121+'9.mell.4-tábl.'!G99</f>
        <v>0</v>
      </c>
    </row>
    <row r="122" spans="1:7" ht="22.5" x14ac:dyDescent="0.2">
      <c r="A122" s="154" t="s">
        <v>108</v>
      </c>
      <c r="B122" s="49" t="s">
        <v>239</v>
      </c>
      <c r="C122" s="127">
        <f>'9.mell.2.tábl.'!C121+'9.mell.3.tábl.'!C122+'9.mell.4-tábl.'!C100</f>
        <v>1000000</v>
      </c>
      <c r="D122" s="127">
        <f>'9.mell.2.tábl.'!D121+'9.mell.3.tábl.'!D122+'9.mell.4-tábl.'!D100</f>
        <v>-1000000</v>
      </c>
      <c r="E122" s="127">
        <f>'9.mell.2.tábl.'!E121+'9.mell.3.tábl.'!E122+'9.mell.4-tábl.'!E100</f>
        <v>0</v>
      </c>
      <c r="F122" s="127">
        <f>'9.mell.2.tábl.'!F121+'9.mell.3.tábl.'!F122+'9.mell.4-tábl.'!F100</f>
        <v>-1000000</v>
      </c>
      <c r="G122" s="333">
        <f>'9.mell.2.tábl.'!G121+'9.mell.3.tábl.'!G122+'9.mell.4-tábl.'!G100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'9.mell.2.tábl.'!C122+'9.mell.3.tábl.'!C123+'9.mell.4-tábl.'!C101</f>
        <v>0</v>
      </c>
      <c r="D123" s="127">
        <f>'9.mell.2.tábl.'!D122+'9.mell.3.tábl.'!D123+'9.mell.4-tábl.'!D101</f>
        <v>1063000</v>
      </c>
      <c r="E123" s="127">
        <f>'9.mell.2.tábl.'!E122+'9.mell.3.tábl.'!E123+'9.mell.4-tábl.'!E101</f>
        <v>0</v>
      </c>
      <c r="F123" s="127">
        <f>'9.mell.2.tábl.'!F122+'9.mell.3.tábl.'!F123+'9.mell.4-tábl.'!F101</f>
        <v>1063000</v>
      </c>
      <c r="G123" s="333">
        <f>'9.mell.2.tábl.'!G122+'9.mell.3.tábl.'!G123+'9.mell.4-tábl.'!G101</f>
        <v>1063000</v>
      </c>
    </row>
    <row r="124" spans="1:7" ht="12" customHeight="1" x14ac:dyDescent="0.2">
      <c r="A124" s="154" t="s">
        <v>110</v>
      </c>
      <c r="B124" s="49" t="s">
        <v>254</v>
      </c>
      <c r="C124" s="127">
        <f>'9.mell.2.tábl.'!C123+'9.mell.3.tábl.'!C124+'9.mell.4-tábl.'!C102</f>
        <v>0</v>
      </c>
      <c r="D124" s="127">
        <f>'9.mell.2.tábl.'!D123+'9.mell.3.tábl.'!D124+'9.mell.4-tábl.'!D102</f>
        <v>0</v>
      </c>
      <c r="E124" s="127">
        <f>'9.mell.2.tábl.'!E123+'9.mell.3.tábl.'!E124+'9.mell.4-tábl.'!E102</f>
        <v>0</v>
      </c>
      <c r="F124" s="127">
        <f>'9.mell.2.tábl.'!F123+'9.mell.3.tábl.'!F124+'9.mell.4-tábl.'!F102</f>
        <v>0</v>
      </c>
      <c r="G124" s="333">
        <f>'9.mell.2.tábl.'!G123+'9.mell.3.tábl.'!G124+'9.mell.4-tábl.'!G102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'9.mell.2.tábl.'!C124+'9.mell.3.tábl.'!C125+'9.mell.4-tábl.'!C103</f>
        <v>0</v>
      </c>
      <c r="D125" s="127">
        <f>'9.mell.2.tábl.'!D124+'9.mell.3.tábl.'!D125+'9.mell.4-tábl.'!D103</f>
        <v>0</v>
      </c>
      <c r="E125" s="127">
        <f>'9.mell.2.tábl.'!E124+'9.mell.3.tábl.'!E125+'9.mell.4-tábl.'!E103</f>
        <v>0</v>
      </c>
      <c r="F125" s="127">
        <f>'9.mell.2.tábl.'!F124+'9.mell.3.tábl.'!F125+'9.mell.4-tábl.'!F103</f>
        <v>0</v>
      </c>
      <c r="G125" s="333">
        <f>'9.mell.2.tábl.'!G124+'9.mell.3.tábl.'!G125+'9.mell.4-tábl.'!G103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'9.mell.2.tábl.'!C125+'9.mell.3.tábl.'!C126+'9.mell.4-tábl.'!C104</f>
        <v>0</v>
      </c>
      <c r="D126" s="127">
        <f>'9.mell.2.tábl.'!D125+'9.mell.3.tábl.'!D126+'9.mell.4-tábl.'!D104</f>
        <v>0</v>
      </c>
      <c r="E126" s="127">
        <f>'9.mell.2.tábl.'!E125+'9.mell.3.tábl.'!E126+'9.mell.4-tábl.'!E104</f>
        <v>0</v>
      </c>
      <c r="F126" s="127">
        <f>'9.mell.2.tábl.'!F125+'9.mell.3.tábl.'!F126+'9.mell.4-tábl.'!F104</f>
        <v>0</v>
      </c>
      <c r="G126" s="333">
        <f>'9.mell.2.tábl.'!G125+'9.mell.3.tábl.'!G126+'9.mell.4-tábl.'!G104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'9.mell.2.tábl.'!C126+'9.mell.3.tábl.'!C127+'9.mell.4-tábl.'!C105</f>
        <v>0</v>
      </c>
      <c r="D127" s="127">
        <f>'9.mell.2.tábl.'!D126+'9.mell.3.tábl.'!D127+'9.mell.4-tábl.'!D105</f>
        <v>0</v>
      </c>
      <c r="E127" s="127">
        <f>'9.mell.2.tábl.'!E126+'9.mell.3.tábl.'!E127+'9.mell.4-tábl.'!E105</f>
        <v>0</v>
      </c>
      <c r="F127" s="127">
        <f>'9.mell.2.tábl.'!F126+'9.mell.3.tábl.'!F127+'9.mell.4-tábl.'!F105</f>
        <v>0</v>
      </c>
      <c r="G127" s="333">
        <f>'9.mell.2.tábl.'!G126+'9.mell.3.tábl.'!G127+'9.mell.4-tábl.'!G105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654803352</v>
      </c>
      <c r="D128" s="249">
        <f>+D93+D114</f>
        <v>90181708</v>
      </c>
      <c r="E128" s="125">
        <f>+E93+E114</f>
        <v>0</v>
      </c>
      <c r="F128" s="125">
        <f>+F93+F114</f>
        <v>90181708</v>
      </c>
      <c r="G128" s="262">
        <f>+G93+G114</f>
        <v>744985060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4100000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4100000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'9.mell.2.tábl.'!C129+'9.mell.3.tábl.'!C130+'9.mell.4-tábl.'!C129</f>
        <v>4100000</v>
      </c>
      <c r="D130" s="126">
        <f>'9.mell.2.tábl.'!D129+'9.mell.3.tábl.'!D130+'9.mell.4-tábl.'!D129</f>
        <v>0</v>
      </c>
      <c r="E130" s="126">
        <f>'9.mell.2.tábl.'!E129+'9.mell.3.tábl.'!E130+'9.mell.4-tábl.'!E129</f>
        <v>0</v>
      </c>
      <c r="F130" s="126">
        <f>'9.mell.2.tábl.'!F129+'9.mell.3.tábl.'!F130+'9.mell.4-tábl.'!F129</f>
        <v>0</v>
      </c>
      <c r="G130" s="330">
        <f>'9.mell.2.tábl.'!G129+'9.mell.3.tábl.'!G130+'9.mell.4-tábl.'!G129</f>
        <v>4100000</v>
      </c>
    </row>
    <row r="131" spans="1:13" ht="12" customHeight="1" x14ac:dyDescent="0.2">
      <c r="A131" s="154" t="s">
        <v>155</v>
      </c>
      <c r="B131" s="4" t="s">
        <v>320</v>
      </c>
      <c r="C131" s="126">
        <f>'9.mell.2.tábl.'!C130+'9.mell.3.tábl.'!C131+'9.mell.4-tábl.'!C130</f>
        <v>0</v>
      </c>
      <c r="D131" s="126">
        <f>'9.mell.2.tábl.'!D130+'9.mell.3.tábl.'!D131+'9.mell.4-tábl.'!D130</f>
        <v>0</v>
      </c>
      <c r="E131" s="126">
        <f>'9.mell.2.tábl.'!E130+'9.mell.3.tábl.'!E131+'9.mell.4-tábl.'!E130</f>
        <v>0</v>
      </c>
      <c r="F131" s="126">
        <f>'9.mell.2.tábl.'!F130+'9.mell.3.tábl.'!F131+'9.mell.4-tábl.'!F130</f>
        <v>0</v>
      </c>
      <c r="G131" s="331">
        <f>'9.mell.2.tábl.'!G130+'9.mell.3.tábl.'!G131+'9.mell.4-tábl.'!G130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'9.mell.2.tábl.'!C131+'9.mell.3.tábl.'!C132+'9.mell.4-tábl.'!C131</f>
        <v>0</v>
      </c>
      <c r="D132" s="126">
        <f>'9.mell.2.tábl.'!D131+'9.mell.3.tábl.'!D132+'9.mell.4-tábl.'!D131</f>
        <v>0</v>
      </c>
      <c r="E132" s="126">
        <f>'9.mell.2.tábl.'!E131+'9.mell.3.tábl.'!E132+'9.mell.4-tábl.'!E131</f>
        <v>0</v>
      </c>
      <c r="F132" s="126">
        <f>'9.mell.2.tábl.'!F131+'9.mell.3.tábl.'!F132+'9.mell.4-tábl.'!F131</f>
        <v>0</v>
      </c>
      <c r="G132" s="331">
        <f>'9.mell.2.tábl.'!G131+'9.mell.3.tábl.'!G132+'9.mell.4-tábl.'!G131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'9.mell.2.tábl.'!C133+'9.mell.3.tábl.'!C134+'9.mell.4-tábl.'!C133</f>
        <v>0</v>
      </c>
      <c r="D134" s="126">
        <f>'9.mell.2.tábl.'!D133+'9.mell.3.tábl.'!D134+'9.mell.4-tábl.'!D133</f>
        <v>0</v>
      </c>
      <c r="E134" s="126">
        <f>'9.mell.2.tábl.'!E133+'9.mell.3.tábl.'!E134+'9.mell.4-tábl.'!E133</f>
        <v>0</v>
      </c>
      <c r="F134" s="126">
        <f>'9.mell.2.tábl.'!F133+'9.mell.3.tábl.'!F134+'9.mell.4-tábl.'!F133</f>
        <v>0</v>
      </c>
      <c r="G134" s="331">
        <f>'9.mell.2.tábl.'!G133+'9.mell.3.tábl.'!G134+'9.mell.4-tábl.'!G133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'9.mell.2.tábl.'!C134+'9.mell.3.tábl.'!C135+'9.mell.4-tábl.'!C134</f>
        <v>0</v>
      </c>
      <c r="D135" s="126">
        <f>'9.mell.2.tábl.'!D134+'9.mell.3.tábl.'!D135+'9.mell.4-tábl.'!D134</f>
        <v>0</v>
      </c>
      <c r="E135" s="126">
        <f>'9.mell.2.tábl.'!E134+'9.mell.3.tábl.'!E135+'9.mell.4-tábl.'!E134</f>
        <v>0</v>
      </c>
      <c r="F135" s="126">
        <f>'9.mell.2.tábl.'!F134+'9.mell.3.tábl.'!F135+'9.mell.4-tábl.'!F134</f>
        <v>0</v>
      </c>
      <c r="G135" s="331">
        <f>'9.mell.2.tábl.'!G134+'9.mell.3.tábl.'!G135+'9.mell.4-tábl.'!G134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'9.mell.2.tábl.'!C135+'9.mell.3.tábl.'!C136+'9.mell.4-tábl.'!C135</f>
        <v>0</v>
      </c>
      <c r="D136" s="126">
        <f>'9.mell.2.tábl.'!D135+'9.mell.3.tábl.'!D136+'9.mell.4-tábl.'!D135</f>
        <v>0</v>
      </c>
      <c r="E136" s="126">
        <f>'9.mell.2.tábl.'!E135+'9.mell.3.tábl.'!E136+'9.mell.4-tábl.'!E135</f>
        <v>0</v>
      </c>
      <c r="F136" s="126">
        <f>'9.mell.2.tábl.'!F135+'9.mell.3.tábl.'!F136+'9.mell.4-tábl.'!F135</f>
        <v>0</v>
      </c>
      <c r="G136" s="331">
        <f>'9.mell.2.tábl.'!G135+'9.mell.3.tábl.'!G136+'9.mell.4-tábl.'!G135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'9.mell.2.tábl.'!C136+'9.mell.3.tábl.'!C137+'9.mell.4-tábl.'!C136</f>
        <v>0</v>
      </c>
      <c r="D137" s="126">
        <f>'9.mell.2.tábl.'!D136+'9.mell.3.tábl.'!D137+'9.mell.4-tábl.'!D136</f>
        <v>0</v>
      </c>
      <c r="E137" s="126">
        <f>'9.mell.2.tábl.'!E136+'9.mell.3.tábl.'!E137+'9.mell.4-tábl.'!E136</f>
        <v>0</v>
      </c>
      <c r="F137" s="126">
        <f>'9.mell.2.tábl.'!F136+'9.mell.3.tábl.'!F137+'9.mell.4-tábl.'!F136</f>
        <v>0</v>
      </c>
      <c r="G137" s="331">
        <f>'9.mell.2.tábl.'!G136+'9.mell.3.tábl.'!G137+'9.mell.4-tábl.'!G136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'9.mell.2.tábl.'!C137+'9.mell.3.tábl.'!C138+'9.mell.4-tábl.'!C137</f>
        <v>0</v>
      </c>
      <c r="D138" s="126">
        <f>'9.mell.2.tábl.'!D137+'9.mell.3.tábl.'!D138+'9.mell.4-tábl.'!D137</f>
        <v>0</v>
      </c>
      <c r="E138" s="126">
        <f>'9.mell.2.tábl.'!E137+'9.mell.3.tábl.'!E138+'9.mell.4-tábl.'!E137</f>
        <v>0</v>
      </c>
      <c r="F138" s="126">
        <f>'9.mell.2.tábl.'!F137+'9.mell.3.tábl.'!F138+'9.mell.4-tábl.'!F137</f>
        <v>0</v>
      </c>
      <c r="G138" s="331">
        <f>'9.mell.2.tábl.'!G137+'9.mell.3.tábl.'!G138+'9.mell.4-tábl.'!G137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'9.mell.2.tábl.'!C138+'9.mell.3.tábl.'!C139+'9.mell.4-tábl.'!C138</f>
        <v>0</v>
      </c>
      <c r="D139" s="126">
        <f>'9.mell.2.tábl.'!D138+'9.mell.3.tábl.'!D139+'9.mell.4-tábl.'!D138</f>
        <v>0</v>
      </c>
      <c r="E139" s="126">
        <f>'9.mell.2.tábl.'!E138+'9.mell.3.tábl.'!E139+'9.mell.4-tábl.'!E138</f>
        <v>0</v>
      </c>
      <c r="F139" s="126">
        <f>'9.mell.2.tábl.'!F138+'9.mell.3.tábl.'!F139+'9.mell.4-tábl.'!F138</f>
        <v>0</v>
      </c>
      <c r="G139" s="331">
        <f>'9.mell.2.tábl.'!G138+'9.mell.3.tábl.'!G139+'9.mell.4-tábl.'!G138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90010556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90010556</v>
      </c>
      <c r="M140" s="69"/>
    </row>
    <row r="141" spans="1:13" x14ac:dyDescent="0.2">
      <c r="A141" s="154" t="s">
        <v>55</v>
      </c>
      <c r="B141" s="4" t="s">
        <v>257</v>
      </c>
      <c r="C141" s="126">
        <f>'9.mell.2.tábl.'!C140+'9.mell.3.tábl.'!C141+'9.mell.4-tábl.'!C140</f>
        <v>0</v>
      </c>
      <c r="D141" s="126">
        <f>'9.mell.2.tábl.'!D140+'9.mell.3.tábl.'!D141+'9.mell.4-tábl.'!D140</f>
        <v>0</v>
      </c>
      <c r="E141" s="126">
        <f>'9.mell.2.tábl.'!E140+'9.mell.3.tábl.'!E141+'9.mell.4-tábl.'!E140</f>
        <v>0</v>
      </c>
      <c r="F141" s="126">
        <f>'9.mell.2.tábl.'!F140+'9.mell.3.tábl.'!F141+'9.mell.4-tábl.'!F140</f>
        <v>0</v>
      </c>
      <c r="G141" s="331">
        <f>'9.mell.2.tábl.'!G140+'9.mell.3.tábl.'!G141+'9.mell.4-tábl.'!G140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'9.mell.2.tábl.'!C141+'9.mell.3.tábl.'!C142+'9.mell.4-tábl.'!C141</f>
        <v>7423543</v>
      </c>
      <c r="D142" s="126">
        <f>'9.mell.2.tábl.'!D141+'9.mell.3.tábl.'!D142+'9.mell.4-tábl.'!D141</f>
        <v>0</v>
      </c>
      <c r="E142" s="126">
        <f>'9.mell.2.tábl.'!E141+'9.mell.3.tábl.'!E142+'9.mell.4-tábl.'!E141</f>
        <v>0</v>
      </c>
      <c r="F142" s="126">
        <f>'9.mell.2.tábl.'!F141+'9.mell.3.tábl.'!F142+'9.mell.4-tábl.'!F141</f>
        <v>0</v>
      </c>
      <c r="G142" s="331">
        <f>'9.mell.2.tábl.'!G141+'9.mell.3.tábl.'!G142+'9.mell.4-tábl.'!G141</f>
        <v>7423543</v>
      </c>
    </row>
    <row r="143" spans="1:13" ht="12" customHeight="1" x14ac:dyDescent="0.2">
      <c r="A143" s="154" t="s">
        <v>174</v>
      </c>
      <c r="B143" s="4" t="s">
        <v>373</v>
      </c>
      <c r="C143" s="126">
        <f>'9.mell.2.tábl.'!C142+'9.mell.3.tábl.'!C143+'9.mell.4-tábl.'!C142</f>
        <v>82587013</v>
      </c>
      <c r="D143" s="126">
        <f>'9.mell.2.tábl.'!D142+'9.mell.3.tábl.'!D143+'9.mell.4-tábl.'!D142</f>
        <v>0</v>
      </c>
      <c r="E143" s="126">
        <f>'9.mell.2.tábl.'!E142+'9.mell.3.tábl.'!E143+'9.mell.4-tábl.'!E142</f>
        <v>0</v>
      </c>
      <c r="F143" s="126">
        <f>'9.mell.2.tábl.'!F142+'9.mell.3.tábl.'!F143+'9.mell.4-tábl.'!F142</f>
        <v>0</v>
      </c>
      <c r="G143" s="331">
        <f>'9.mell.2.tábl.'!G142+'9.mell.3.tábl.'!G143+'9.mell.4-tábl.'!G142</f>
        <v>82587013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'9.mell.2.tábl.'!C143+'9.mell.3.tábl.'!C144+'9.mell.4-tábl.'!C143</f>
        <v>0</v>
      </c>
      <c r="D144" s="126">
        <f>'9.mell.2.tábl.'!D143+'9.mell.3.tábl.'!D144+'9.mell.4-tábl.'!D143</f>
        <v>0</v>
      </c>
      <c r="E144" s="126">
        <f>'9.mell.2.tábl.'!E143+'9.mell.3.tábl.'!E144+'9.mell.4-tábl.'!E143</f>
        <v>0</v>
      </c>
      <c r="F144" s="126">
        <f>'9.mell.2.tábl.'!F143+'9.mell.3.tábl.'!F144+'9.mell.4-tábl.'!F143</f>
        <v>0</v>
      </c>
      <c r="G144" s="331">
        <f>'9.mell.2.tábl.'!G143+'9.mell.3.tábl.'!G144+'9.mell.4-tábl.'!G143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>
        <f>'9.mell.2.tábl.'!C144+'9.mell.3.tábl.'!C145+'9.mell.4-tábl.'!C144</f>
        <v>0</v>
      </c>
      <c r="D145" s="126">
        <f>'9.mell.2.tábl.'!D144+'9.mell.3.tábl.'!D145+'9.mell.4-tábl.'!D144</f>
        <v>0</v>
      </c>
      <c r="E145" s="126">
        <f>'9.mell.2.tábl.'!E144+'9.mell.3.tábl.'!E145+'9.mell.4-tábl.'!E144</f>
        <v>0</v>
      </c>
      <c r="F145" s="126">
        <f>'9.mell.2.tábl.'!F144+'9.mell.3.tábl.'!F145+'9.mell.4-tábl.'!F144</f>
        <v>0</v>
      </c>
      <c r="G145" s="331">
        <f>'9.mell.2.tábl.'!G144+'9.mell.3.tábl.'!G145+'9.mell.4-tábl.'!G144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>
        <f>'9.mell.2.tábl.'!C146+'9.mell.3.tábl.'!C147+'9.mell.4-tábl.'!C146</f>
        <v>0</v>
      </c>
      <c r="D147" s="126">
        <f>'9.mell.2.tábl.'!D146+'9.mell.3.tábl.'!D147+'9.mell.4-tábl.'!D146</f>
        <v>0</v>
      </c>
      <c r="E147" s="126">
        <f>'9.mell.2.tábl.'!E146+'9.mell.3.tábl.'!E147+'9.mell.4-tábl.'!E146</f>
        <v>0</v>
      </c>
      <c r="F147" s="126">
        <f>'9.mell.2.tábl.'!F146+'9.mell.3.tábl.'!F147+'9.mell.4-tábl.'!F146</f>
        <v>0</v>
      </c>
      <c r="G147" s="331">
        <f>'9.mell.2.tábl.'!G146+'9.mell.3.tábl.'!G147+'9.mell.4-tábl.'!G146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>
        <f>'9.mell.2.tábl.'!C147+'9.mell.3.tábl.'!C148+'9.mell.4-tábl.'!C147</f>
        <v>0</v>
      </c>
      <c r="D148" s="126">
        <f>'9.mell.2.tábl.'!D147+'9.mell.3.tábl.'!D148+'9.mell.4-tábl.'!D147</f>
        <v>0</v>
      </c>
      <c r="E148" s="126">
        <f>'9.mell.2.tábl.'!E147+'9.mell.3.tábl.'!E148+'9.mell.4-tábl.'!E147</f>
        <v>0</v>
      </c>
      <c r="F148" s="126">
        <f>'9.mell.2.tábl.'!F147+'9.mell.3.tábl.'!F148+'9.mell.4-tábl.'!F147</f>
        <v>0</v>
      </c>
      <c r="G148" s="331">
        <f>'9.mell.2.tábl.'!G147+'9.mell.3.tábl.'!G148+'9.mell.4-tábl.'!G147</f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>
        <f>'9.mell.2.tábl.'!C148+'9.mell.3.tábl.'!C149+'9.mell.4-tábl.'!C148</f>
        <v>0</v>
      </c>
      <c r="D149" s="126">
        <f>'9.mell.2.tábl.'!D148+'9.mell.3.tábl.'!D149+'9.mell.4-tábl.'!D148</f>
        <v>0</v>
      </c>
      <c r="E149" s="126">
        <f>'9.mell.2.tábl.'!E148+'9.mell.3.tábl.'!E149+'9.mell.4-tábl.'!E148</f>
        <v>0</v>
      </c>
      <c r="F149" s="126">
        <f>'9.mell.2.tábl.'!F148+'9.mell.3.tábl.'!F149+'9.mell.4-tábl.'!F148</f>
        <v>0</v>
      </c>
      <c r="G149" s="331">
        <f>'9.mell.2.tábl.'!G148+'9.mell.3.tábl.'!G149+'9.mell.4-tábl.'!G148</f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>
        <f>'9.mell.2.tábl.'!C149+'9.mell.3.tábl.'!C150+'9.mell.4-tábl.'!C149</f>
        <v>0</v>
      </c>
      <c r="D150" s="126">
        <f>'9.mell.2.tábl.'!D149+'9.mell.3.tábl.'!D150+'9.mell.4-tábl.'!D149</f>
        <v>0</v>
      </c>
      <c r="E150" s="126">
        <f>'9.mell.2.tábl.'!E149+'9.mell.3.tábl.'!E150+'9.mell.4-tábl.'!E149</f>
        <v>0</v>
      </c>
      <c r="F150" s="126">
        <f>'9.mell.2.tábl.'!F149+'9.mell.3.tábl.'!F150+'9.mell.4-tábl.'!F149</f>
        <v>0</v>
      </c>
      <c r="G150" s="331">
        <f>'9.mell.2.tábl.'!G149+'9.mell.3.tábl.'!G150+'9.mell.4-tábl.'!G149</f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6">
        <f>'9.mell.2.tábl.'!C150+'9.mell.3.tábl.'!C151+'9.mell.4-tábl.'!C150</f>
        <v>0</v>
      </c>
      <c r="D151" s="126">
        <f>'9.mell.2.tábl.'!D150+'9.mell.3.tábl.'!D151+'9.mell.4-tábl.'!D150</f>
        <v>0</v>
      </c>
      <c r="E151" s="126">
        <f>'9.mell.2.tábl.'!E150+'9.mell.3.tábl.'!E151+'9.mell.4-tábl.'!E150</f>
        <v>0</v>
      </c>
      <c r="F151" s="126">
        <f>'9.mell.2.tábl.'!F150+'9.mell.3.tábl.'!F151+'9.mell.4-tábl.'!F150</f>
        <v>0</v>
      </c>
      <c r="G151" s="332">
        <f>'9.mell.2.tábl.'!G150+'9.mell.3.tábl.'!G151+'9.mell.4-tábl.'!G150</f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94110556</v>
      </c>
      <c r="D154" s="257">
        <f>+D129+D133+D140+D146+D152+D153</f>
        <v>0</v>
      </c>
      <c r="E154" s="189"/>
      <c r="F154" s="189"/>
      <c r="G154" s="278">
        <f>+G129+G133+G140+G146+G152+G153</f>
        <v>94110556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748913908</v>
      </c>
      <c r="D155" s="257">
        <f>+D128+D154</f>
        <v>90181708</v>
      </c>
      <c r="E155" s="189">
        <f>+E128+E154</f>
        <v>0</v>
      </c>
      <c r="F155" s="189">
        <f>+F128+F154</f>
        <v>90181708</v>
      </c>
      <c r="G155" s="278">
        <f>+G128+G154</f>
        <v>839095616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340"/>
    </row>
    <row r="157" spans="1:7" ht="15" customHeight="1" thickBot="1" x14ac:dyDescent="0.25">
      <c r="A157" s="67" t="s">
        <v>371</v>
      </c>
      <c r="B157" s="68"/>
      <c r="C157" s="223">
        <f>'9.mell.2.tábl.'!C156+'9.mell.3.tábl.'!C157+'9.mell.4-tábl.'!C156</f>
        <v>27</v>
      </c>
      <c r="D157" s="223">
        <f>'9.mell.2.tábl.'!D156+'9.mell.3.tábl.'!D157+'9.mell.4-tábl.'!D156</f>
        <v>0</v>
      </c>
      <c r="E157" s="223">
        <f>'9.mell.2.tábl.'!E156+'9.mell.3.tábl.'!E157+'9.mell.4-tábl.'!E156</f>
        <v>0</v>
      </c>
      <c r="F157" s="223">
        <f>'9.mell.2.tábl.'!F156+'9.mell.3.tábl.'!F157+'9.mell.4-tábl.'!F156</f>
        <v>0</v>
      </c>
      <c r="G157" s="341">
        <f>'9.mell.2.tábl.'!G156+'9.mell.3.tábl.'!G157+'9.mell.4-tábl.'!G156</f>
        <v>27</v>
      </c>
    </row>
    <row r="158" spans="1:7" ht="14.25" customHeight="1" thickBot="1" x14ac:dyDescent="0.25">
      <c r="A158" s="67" t="s">
        <v>118</v>
      </c>
      <c r="B158" s="68"/>
      <c r="C158" s="223">
        <f>'9.mell.2.tábl.'!C157+'9.mell.3.tábl.'!C158+'9.mell.4-tábl.'!C157</f>
        <v>6</v>
      </c>
      <c r="D158" s="223">
        <f>'9.mell.2.tábl.'!D157+'9.mell.3.tábl.'!D158+'9.mell.4-tábl.'!D157</f>
        <v>4</v>
      </c>
      <c r="E158" s="223">
        <f>'9.mell.2.tábl.'!E157+'9.mell.3.tábl.'!E158+'9.mell.4-tábl.'!E157</f>
        <v>0</v>
      </c>
      <c r="F158" s="223">
        <f>'9.mell.2.tábl.'!F157+'9.mell.3.tábl.'!F158+'9.mell.4-tábl.'!F157</f>
        <v>4</v>
      </c>
      <c r="G158" s="341">
        <f>'9.mell.2.tábl.'!G157+'9.mell.3.tábl.'!G158+'9.mell.4-tábl.'!G157</f>
        <v>10</v>
      </c>
    </row>
  </sheetData>
  <sheetProtection formatCells="0"/>
  <mergeCells count="4">
    <mergeCell ref="A6:G6"/>
    <mergeCell ref="A92:G92"/>
    <mergeCell ref="B1:F1"/>
    <mergeCell ref="B2:F2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7"/>
  <sheetViews>
    <sheetView view="pageLayout" zoomScaleNormal="100" zoomScaleSheetLayoutView="2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v>61671420</v>
      </c>
      <c r="D8" s="127">
        <f>30079+116687+23337+23337+10204956+23337+23337+23338</f>
        <v>10468408</v>
      </c>
      <c r="E8" s="127"/>
      <c r="F8" s="168">
        <f t="shared" ref="F8:F13" si="0">D8+E8</f>
        <v>10468408</v>
      </c>
      <c r="G8" s="263">
        <f t="shared" ref="G8:G13" si="1">C8+F8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6">
        <v>56423330</v>
      </c>
      <c r="D9" s="126">
        <f>1133925+874300+224020-378000+226785+226785+194400+874300+262980+226785+226785+226785</f>
        <v>4319850</v>
      </c>
      <c r="E9" s="126"/>
      <c r="F9" s="168">
        <f t="shared" si="0"/>
        <v>4319850</v>
      </c>
      <c r="G9" s="263">
        <f t="shared" si="1"/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6">
        <v>65116932</v>
      </c>
      <c r="D10" s="126">
        <f>202240+161393+316197+249395+249395+249394+972000+160000+85500+230000+431200+249395-2172000-8763755+261440+194400+32000+17100+46000+86240+32000+17100+46000+86240+284000+245149+380000-63956+1426000+1034000+130720+8+1+32000+17100+46000+86240+32000+17100+46000+86240+32000+17100+46000+86240+194400+245152+206821+217709+244954-98000+863</f>
        <v>-1569285</v>
      </c>
      <c r="E10" s="126"/>
      <c r="F10" s="168">
        <f t="shared" si="0"/>
        <v>-1569285</v>
      </c>
      <c r="G10" s="263">
        <f t="shared" si="1"/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6">
        <v>2376900</v>
      </c>
      <c r="D11" s="126">
        <f>23972+24674+24675+24675+24675+24675+408500+24675+81700+81700+24256+81700+81700+81700+24256+24255+24255+24255</f>
        <v>1110298</v>
      </c>
      <c r="E11" s="126"/>
      <c r="F11" s="168">
        <f t="shared" si="0"/>
        <v>1110298</v>
      </c>
      <c r="G11" s="263">
        <f t="shared" si="1"/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26">
        <f>2589000+1447800</f>
        <v>4036800</v>
      </c>
      <c r="E12" s="126"/>
      <c r="F12" s="168">
        <f t="shared" si="0"/>
        <v>4036800</v>
      </c>
      <c r="G12" s="263">
        <f t="shared" si="1"/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26">
        <v>2341545</v>
      </c>
      <c r="E13" s="126"/>
      <c r="F13" s="168">
        <f t="shared" si="0"/>
        <v>2341545</v>
      </c>
      <c r="G13" s="263">
        <f t="shared" si="1"/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>
        <v>81199000</v>
      </c>
      <c r="D19" s="126">
        <f>3192000+588000+86000+40000+35000+16000-7104000+72000+33500+93300+43500+266000</f>
        <v>-2638700</v>
      </c>
      <c r="E19" s="126"/>
      <c r="F19" s="290">
        <f t="shared" si="2"/>
        <v>-2638700</v>
      </c>
      <c r="G19" s="264">
        <f t="shared" si="3"/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>
        <v>32055000</v>
      </c>
      <c r="D20" s="195"/>
      <c r="E20" s="128"/>
      <c r="F20" s="291">
        <f t="shared" si="2"/>
        <v>0</v>
      </c>
      <c r="G20" s="265">
        <f t="shared" si="3"/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>
        <f>31455000-2130000</f>
        <v>29325000</v>
      </c>
      <c r="E22" s="127"/>
      <c r="F22" s="168">
        <f t="shared" ref="F22:F27" si="4">D22+E22</f>
        <v>29325000</v>
      </c>
      <c r="G22" s="263">
        <f t="shared" ref="G22:G27" si="5">C22+F22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>
        <v>26294000</v>
      </c>
      <c r="D26" s="126">
        <f>9217000+688000+1059000+9896000</f>
        <v>20860000</v>
      </c>
      <c r="E26" s="126"/>
      <c r="F26" s="290">
        <f t="shared" si="4"/>
        <v>20860000</v>
      </c>
      <c r="G26" s="264">
        <f t="shared" si="5"/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>
        <v>24794000</v>
      </c>
      <c r="D27" s="128">
        <f>9216999+1059000</f>
        <v>10275999</v>
      </c>
      <c r="E27" s="128"/>
      <c r="F27" s="291">
        <f t="shared" si="4"/>
        <v>10275999</v>
      </c>
      <c r="G27" s="265">
        <f t="shared" si="5"/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75900000</v>
      </c>
      <c r="D28" s="131">
        <f>+D29+D30+D31+D33+D34+D35+D36+D32</f>
        <v>-6500000</v>
      </c>
      <c r="E28" s="131">
        <f>+E29+E30+E31+E33+E34+E35+E36+E32</f>
        <v>0</v>
      </c>
      <c r="F28" s="131">
        <f>+F29+F30+F31+F33+F34+F35+F36+F32</f>
        <v>-6500000</v>
      </c>
      <c r="G28" s="131">
        <f>+G29+G30+G31+G33+G34+G35+G36+G32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v>7500000</v>
      </c>
      <c r="D29" s="127"/>
      <c r="E29" s="127"/>
      <c r="F29" s="168">
        <f t="shared" ref="F29:F36" si="6">D29+E29</f>
        <v>0</v>
      </c>
      <c r="G29" s="263">
        <f t="shared" ref="G29:G36" si="7">C29+F29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6">
        <v>1000000</v>
      </c>
      <c r="D30" s="126"/>
      <c r="E30" s="126"/>
      <c r="F30" s="290">
        <f t="shared" si="6"/>
        <v>0</v>
      </c>
      <c r="G30" s="263">
        <f t="shared" si="7"/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6">
        <v>9000000</v>
      </c>
      <c r="D31" s="126"/>
      <c r="E31" s="126"/>
      <c r="F31" s="290">
        <f t="shared" si="6"/>
        <v>0</v>
      </c>
      <c r="G31" s="263">
        <f t="shared" si="7"/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6">
        <v>51000000</v>
      </c>
      <c r="D32" s="126"/>
      <c r="E32" s="126"/>
      <c r="F32" s="290"/>
      <c r="G32" s="263">
        <f t="shared" si="7"/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6">
        <v>500000</v>
      </c>
      <c r="D33" s="126"/>
      <c r="E33" s="126"/>
      <c r="F33" s="290">
        <f t="shared" si="6"/>
        <v>0</v>
      </c>
      <c r="G33" s="263">
        <f t="shared" si="7"/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6">
        <v>6500000</v>
      </c>
      <c r="D34" s="126">
        <v>-6500000</v>
      </c>
      <c r="E34" s="126"/>
      <c r="F34" s="290">
        <f t="shared" si="6"/>
        <v>-6500000</v>
      </c>
      <c r="G34" s="263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3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>
        <v>400000</v>
      </c>
      <c r="D36" s="128"/>
      <c r="E36" s="128"/>
      <c r="F36" s="291">
        <f t="shared" si="6"/>
        <v>0</v>
      </c>
      <c r="G36" s="263">
        <f t="shared" si="7"/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19478000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19478000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4335000</v>
      </c>
      <c r="D39" s="194"/>
      <c r="E39" s="126"/>
      <c r="F39" s="290">
        <f t="shared" si="8"/>
        <v>0</v>
      </c>
      <c r="G39" s="264">
        <f t="shared" si="9"/>
        <v>4335000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346000</v>
      </c>
      <c r="D40" s="194"/>
      <c r="E40" s="126"/>
      <c r="F40" s="290">
        <f t="shared" si="8"/>
        <v>0</v>
      </c>
      <c r="G40" s="264">
        <f t="shared" si="9"/>
        <v>346000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10824000</v>
      </c>
      <c r="D41" s="194"/>
      <c r="E41" s="126"/>
      <c r="F41" s="290">
        <f t="shared" si="8"/>
        <v>0</v>
      </c>
      <c r="G41" s="264">
        <f t="shared" si="9"/>
        <v>10824000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2888000</v>
      </c>
      <c r="D43" s="194"/>
      <c r="E43" s="126"/>
      <c r="F43" s="290">
        <f t="shared" si="8"/>
        <v>0</v>
      </c>
      <c r="G43" s="264">
        <f t="shared" si="9"/>
        <v>2888000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5000</v>
      </c>
      <c r="D45" s="194"/>
      <c r="E45" s="126"/>
      <c r="F45" s="290">
        <f t="shared" si="8"/>
        <v>0</v>
      </c>
      <c r="G45" s="264">
        <f t="shared" si="9"/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>
        <v>1080000</v>
      </c>
      <c r="D48" s="220"/>
      <c r="E48" s="130"/>
      <c r="F48" s="294">
        <f t="shared" si="8"/>
        <v>0</v>
      </c>
      <c r="G48" s="268">
        <f t="shared" si="9"/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>
        <v>4000000</v>
      </c>
      <c r="D51" s="219"/>
      <c r="E51" s="129"/>
      <c r="F51" s="288">
        <f>D51+E51</f>
        <v>0</v>
      </c>
      <c r="G51" s="267">
        <f>C51+F51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326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v>800000</v>
      </c>
      <c r="D63" s="219"/>
      <c r="E63" s="129"/>
      <c r="F63" s="288">
        <f>D63+E63</f>
        <v>0</v>
      </c>
      <c r="G63" s="267">
        <f>C63+F63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393259582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455013498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v>73000000</v>
      </c>
      <c r="D67" s="219"/>
      <c r="E67" s="129"/>
      <c r="F67" s="288">
        <f>D67+E67</f>
        <v>0</v>
      </c>
      <c r="G67" s="267">
        <f>C67+F67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265492326</v>
      </c>
      <c r="D76" s="129">
        <v>20743434</v>
      </c>
      <c r="E76" s="129"/>
      <c r="F76" s="288">
        <f>D76+E76</f>
        <v>20743434</v>
      </c>
      <c r="G76" s="267">
        <f>C76+F76</f>
        <v>286235760</v>
      </c>
    </row>
    <row r="77" spans="1:7" s="41" customFormat="1" ht="12" customHeight="1" thickBot="1" x14ac:dyDescent="0.25">
      <c r="A77" s="156" t="s">
        <v>227</v>
      </c>
      <c r="B77" s="326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>
        <v>7684358</v>
      </c>
      <c r="E79" s="129"/>
      <c r="F79" s="288">
        <f>D79+E79</f>
        <v>7684358</v>
      </c>
      <c r="G79" s="267">
        <f>C79+F79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731751908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821933616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365191352</v>
      </c>
      <c r="D92" s="270">
        <f>+D93+D94+D95+D96+D97+D110</f>
        <v>82007708</v>
      </c>
      <c r="E92" s="124">
        <f>+E93+E94+E95+E96+E97+E110</f>
        <v>-1000000</v>
      </c>
      <c r="F92" s="124">
        <f>+F93+F94+F95+F96+F97+F110</f>
        <v>81007708</v>
      </c>
      <c r="G92" s="274">
        <f>+G93+G94+G95+G96+G97+G110</f>
        <v>446199060</v>
      </c>
    </row>
    <row r="93" spans="1:7" ht="12" customHeight="1" x14ac:dyDescent="0.2">
      <c r="A93" s="162" t="s">
        <v>59</v>
      </c>
      <c r="B93" s="5" t="s">
        <v>34</v>
      </c>
      <c r="C93" s="184">
        <v>82200500</v>
      </c>
      <c r="D93" s="184">
        <f>2935000+500000+100000-996000-45000-30000+23000+12000+23000+23000+23000+23000+10000+10000+15000+160000+290000+266000+39000</f>
        <v>3381000</v>
      </c>
      <c r="E93" s="184">
        <v>-15000</v>
      </c>
      <c r="F93" s="289">
        <f>D93+E93</f>
        <v>3366000</v>
      </c>
      <c r="G93" s="275">
        <f t="shared" ref="G93:G112" si="12">C93+F93</f>
        <v>85566500</v>
      </c>
    </row>
    <row r="94" spans="1:7" ht="12" customHeight="1" x14ac:dyDescent="0.2">
      <c r="A94" s="155" t="s">
        <v>60</v>
      </c>
      <c r="B94" s="3" t="s">
        <v>103</v>
      </c>
      <c r="C94" s="126">
        <v>14557000</v>
      </c>
      <c r="D94" s="126">
        <f>257000+88000-23000-12000-23000-23000-23000-23000-10000+16000</f>
        <v>224000</v>
      </c>
      <c r="E94" s="126"/>
      <c r="F94" s="284">
        <f t="shared" ref="F94:F109" si="13">D94+E94</f>
        <v>224000</v>
      </c>
      <c r="G94" s="264">
        <f t="shared" si="12"/>
        <v>14781000</v>
      </c>
    </row>
    <row r="95" spans="1:7" ht="12" customHeight="1" x14ac:dyDescent="0.2">
      <c r="A95" s="155" t="s">
        <v>61</v>
      </c>
      <c r="B95" s="3" t="s">
        <v>78</v>
      </c>
      <c r="C95" s="128">
        <v>140668000</v>
      </c>
      <c r="D95" s="128">
        <f>-1000000+996000+45000+30000+12000+9000+400000+20000+108000+25000+99000+27000+64000+60000+370000+75000+300000+3810000+224000+60000+200000+54000+4000+419000+113000+250000+10000+6000+2000+100000+25000+400000+108000+17000+2000+16000</f>
        <v>7460000</v>
      </c>
      <c r="E95" s="128">
        <f>15000+1000000+11000+55000-1000000</f>
        <v>81000</v>
      </c>
      <c r="F95" s="290">
        <f t="shared" si="13"/>
        <v>7541000</v>
      </c>
      <c r="G95" s="265">
        <f t="shared" si="12"/>
        <v>148209000</v>
      </c>
    </row>
    <row r="96" spans="1:7" ht="12" customHeight="1" x14ac:dyDescent="0.2">
      <c r="A96" s="155" t="s">
        <v>62</v>
      </c>
      <c r="B96" s="6" t="s">
        <v>104</v>
      </c>
      <c r="C96" s="128">
        <v>5390000</v>
      </c>
      <c r="D96" s="128">
        <f>-60000-325200</f>
        <v>-385200</v>
      </c>
      <c r="E96" s="128"/>
      <c r="F96" s="290">
        <f t="shared" si="13"/>
        <v>-385200</v>
      </c>
      <c r="G96" s="265">
        <f t="shared" si="12"/>
        <v>5004800</v>
      </c>
    </row>
    <row r="97" spans="1:15" ht="12" customHeight="1" x14ac:dyDescent="0.2">
      <c r="A97" s="155" t="s">
        <v>70</v>
      </c>
      <c r="B97" s="14" t="s">
        <v>105</v>
      </c>
      <c r="C97" s="128">
        <v>121349000</v>
      </c>
      <c r="D97" s="128">
        <f>D104+D103+D109</f>
        <v>2902629</v>
      </c>
      <c r="E97" s="128">
        <f>E104+E109+E103</f>
        <v>0</v>
      </c>
      <c r="F97" s="290">
        <f t="shared" si="13"/>
        <v>2902629</v>
      </c>
      <c r="G97" s="265">
        <f t="shared" si="12"/>
        <v>124251629</v>
      </c>
    </row>
    <row r="98" spans="1:15" ht="12" customHeight="1" x14ac:dyDescent="0.2">
      <c r="A98" s="155" t="s">
        <v>63</v>
      </c>
      <c r="B98" s="3" t="s">
        <v>363</v>
      </c>
      <c r="C98" s="128">
        <v>705000</v>
      </c>
      <c r="D98" s="253"/>
      <c r="E98" s="128"/>
      <c r="F98" s="284">
        <f t="shared" si="13"/>
        <v>0</v>
      </c>
      <c r="G98" s="265">
        <f t="shared" si="12"/>
        <v>705000</v>
      </c>
    </row>
    <row r="99" spans="1:15" ht="12" customHeight="1" x14ac:dyDescent="0.2">
      <c r="A99" s="155" t="s">
        <v>64</v>
      </c>
      <c r="B99" s="48" t="s">
        <v>304</v>
      </c>
      <c r="C99" s="128"/>
      <c r="D99" s="253"/>
      <c r="E99" s="128"/>
      <c r="F99" s="290">
        <f t="shared" si="13"/>
        <v>0</v>
      </c>
      <c r="G99" s="265">
        <f t="shared" si="12"/>
        <v>0</v>
      </c>
    </row>
    <row r="100" spans="1:15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0">
        <f t="shared" si="13"/>
        <v>0</v>
      </c>
      <c r="G100" s="265">
        <f t="shared" si="12"/>
        <v>0</v>
      </c>
    </row>
    <row r="101" spans="1:15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84">
        <f t="shared" si="13"/>
        <v>0</v>
      </c>
      <c r="G101" s="265">
        <f t="shared" si="12"/>
        <v>0</v>
      </c>
    </row>
    <row r="102" spans="1:15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3"/>
        <v>0</v>
      </c>
      <c r="G102" s="265">
        <f t="shared" si="12"/>
        <v>0</v>
      </c>
    </row>
    <row r="103" spans="1:15" ht="22.5" x14ac:dyDescent="0.2">
      <c r="A103" s="155" t="s">
        <v>74</v>
      </c>
      <c r="B103" s="49" t="s">
        <v>239</v>
      </c>
      <c r="C103" s="128"/>
      <c r="D103" s="128">
        <f>126000-126000</f>
        <v>0</v>
      </c>
      <c r="E103" s="128"/>
      <c r="F103" s="291">
        <f t="shared" si="13"/>
        <v>0</v>
      </c>
      <c r="G103" s="265">
        <f t="shared" si="12"/>
        <v>0</v>
      </c>
      <c r="O103" s="344"/>
    </row>
    <row r="104" spans="1:15" ht="12" customHeight="1" x14ac:dyDescent="0.2">
      <c r="A104" s="155" t="s">
        <v>76</v>
      </c>
      <c r="B104" s="48" t="s">
        <v>240</v>
      </c>
      <c r="C104" s="128">
        <v>120644000</v>
      </c>
      <c r="D104" s="128">
        <f>360000+972000+1880625-9953995+194400+376125+194400+376125+144000+1511+2000+3728000-2000+126000+376125+376125+376125+194400-97137+300000+388800</f>
        <v>313629</v>
      </c>
      <c r="E104" s="128"/>
      <c r="F104" s="291">
        <f t="shared" si="13"/>
        <v>313629</v>
      </c>
      <c r="G104" s="265">
        <f t="shared" si="12"/>
        <v>120957629</v>
      </c>
    </row>
    <row r="105" spans="1:15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0">
        <f t="shared" si="13"/>
        <v>0</v>
      </c>
      <c r="G105" s="265">
        <f t="shared" si="12"/>
        <v>0</v>
      </c>
    </row>
    <row r="106" spans="1:15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0">
        <f t="shared" si="13"/>
        <v>0</v>
      </c>
      <c r="G106" s="265">
        <f t="shared" si="12"/>
        <v>0</v>
      </c>
    </row>
    <row r="107" spans="1:15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84">
        <f t="shared" si="13"/>
        <v>0</v>
      </c>
      <c r="G107" s="265">
        <f t="shared" si="12"/>
        <v>0</v>
      </c>
    </row>
    <row r="108" spans="1:15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0">
        <f t="shared" si="13"/>
        <v>0</v>
      </c>
      <c r="G108" s="265">
        <f t="shared" si="12"/>
        <v>0</v>
      </c>
    </row>
    <row r="109" spans="1:15" ht="12" customHeight="1" x14ac:dyDescent="0.2">
      <c r="A109" s="155" t="s">
        <v>302</v>
      </c>
      <c r="B109" s="49" t="s">
        <v>245</v>
      </c>
      <c r="C109" s="126"/>
      <c r="D109" s="126">
        <v>2589000</v>
      </c>
      <c r="E109" s="126"/>
      <c r="F109" s="168">
        <f t="shared" si="13"/>
        <v>2589000</v>
      </c>
      <c r="G109" s="264">
        <f t="shared" si="12"/>
        <v>2589000</v>
      </c>
    </row>
    <row r="110" spans="1:15" ht="12" customHeight="1" x14ac:dyDescent="0.2">
      <c r="A110" s="155" t="s">
        <v>306</v>
      </c>
      <c r="B110" s="6" t="s">
        <v>35</v>
      </c>
      <c r="C110" s="126">
        <v>1026852</v>
      </c>
      <c r="D110" s="126">
        <f>D111+D112</f>
        <v>68425279</v>
      </c>
      <c r="E110" s="126">
        <f>E111+E112</f>
        <v>-1066000</v>
      </c>
      <c r="F110" s="126">
        <f>F111+F112</f>
        <v>67359279</v>
      </c>
      <c r="G110" s="264">
        <f t="shared" si="12"/>
        <v>68386131</v>
      </c>
    </row>
    <row r="111" spans="1:15" ht="12" customHeight="1" x14ac:dyDescent="0.2">
      <c r="A111" s="156" t="s">
        <v>307</v>
      </c>
      <c r="B111" s="3" t="s">
        <v>364</v>
      </c>
      <c r="C111" s="128">
        <v>200000</v>
      </c>
      <c r="D111" s="128">
        <f>2341545+9217000+688000-234000-50000-100000-12000-9000-528000+1800000-25000-126000-64000-1220000-370000+1500000-1053000-375000+298000-3000000+256291+186067+340872+274070+274070+274069+685187-126000+274070+137037+137037-93000-1511-529000-150000-254000-4000-250000-400000-2000-10000-6000-2000-100000-25000-508000+245149+24256+3480956-31000-31000-63956-1000-185000-290000+2000+7684358+20743434-1000+8+1+137037+137037+137038+269408+231076+241964+269209-194500-252000-17000-2000-16000-39000-16000-4000-3000-2130000</f>
        <v>39383279</v>
      </c>
      <c r="E111" s="128">
        <f>-1000000-11000-55000</f>
        <v>-1066000</v>
      </c>
      <c r="F111" s="291">
        <f>D111+E111</f>
        <v>38317279</v>
      </c>
      <c r="G111" s="265">
        <f t="shared" si="12"/>
        <v>38517279</v>
      </c>
    </row>
    <row r="112" spans="1:15" ht="12" customHeight="1" thickBot="1" x14ac:dyDescent="0.25">
      <c r="A112" s="164" t="s">
        <v>308</v>
      </c>
      <c r="B112" s="51" t="s">
        <v>365</v>
      </c>
      <c r="C112" s="185">
        <v>826852</v>
      </c>
      <c r="D112" s="185">
        <f>3000000-3810000+1059000-532000+29325000</f>
        <v>29042000</v>
      </c>
      <c r="E112" s="185"/>
      <c r="F112" s="292">
        <f>D112+E112</f>
        <v>29042000</v>
      </c>
      <c r="G112" s="276">
        <f t="shared" si="12"/>
        <v>29868852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284381000</v>
      </c>
      <c r="D113" s="249">
        <f>+D114+D116+D118</f>
        <v>6923000</v>
      </c>
      <c r="E113" s="125">
        <f>+E114+E116+E118</f>
        <v>0</v>
      </c>
      <c r="F113" s="125">
        <f>+F114+F116+F118</f>
        <v>6923000</v>
      </c>
      <c r="G113" s="262">
        <f>+G114+G116+G118</f>
        <v>291304000</v>
      </c>
    </row>
    <row r="114" spans="1:7" ht="12" customHeight="1" x14ac:dyDescent="0.2">
      <c r="A114" s="154" t="s">
        <v>65</v>
      </c>
      <c r="B114" s="3" t="s">
        <v>121</v>
      </c>
      <c r="C114" s="127">
        <v>283381000</v>
      </c>
      <c r="D114" s="127">
        <f>-1000000-1000000-500000-500000-500000-1000000-1000000+960000+260000-1181000-319000+1053000-235000-63000+318000+150000+400000-720000-194000-1538000</f>
        <v>-6609000</v>
      </c>
      <c r="E114" s="127"/>
      <c r="F114" s="168">
        <f t="shared" ref="F114:F126" si="14">D114+E114</f>
        <v>-6609000</v>
      </c>
      <c r="G114" s="263">
        <f t="shared" ref="G114:G126" si="15">C114+F114</f>
        <v>276772000</v>
      </c>
    </row>
    <row r="115" spans="1:7" ht="12" customHeight="1" x14ac:dyDescent="0.2">
      <c r="A115" s="154" t="s">
        <v>66</v>
      </c>
      <c r="B115" s="7" t="s">
        <v>250</v>
      </c>
      <c r="C115" s="127">
        <v>265669000</v>
      </c>
      <c r="D115" s="127">
        <f>1053000+150000</f>
        <v>1203000</v>
      </c>
      <c r="E115" s="127"/>
      <c r="F115" s="168">
        <f t="shared" si="14"/>
        <v>1203000</v>
      </c>
      <c r="G115" s="263">
        <f t="shared" si="15"/>
        <v>266872000</v>
      </c>
    </row>
    <row r="116" spans="1:7" ht="12" customHeight="1" x14ac:dyDescent="0.2">
      <c r="A116" s="154" t="s">
        <v>67</v>
      </c>
      <c r="B116" s="7" t="s">
        <v>107</v>
      </c>
      <c r="C116" s="126"/>
      <c r="D116" s="126">
        <f>8215000+2210000+2397000+647000</f>
        <v>13469000</v>
      </c>
      <c r="E116" s="126"/>
      <c r="F116" s="290">
        <f t="shared" si="14"/>
        <v>13469000</v>
      </c>
      <c r="G116" s="264">
        <f t="shared" si="15"/>
        <v>13469000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>
        <v>1000000</v>
      </c>
      <c r="D118" s="252">
        <f>D121+D122</f>
        <v>63000</v>
      </c>
      <c r="E118" s="126">
        <f>E122+E121</f>
        <v>0</v>
      </c>
      <c r="F118" s="290">
        <f t="shared" si="14"/>
        <v>63000</v>
      </c>
      <c r="G118" s="264">
        <f t="shared" si="15"/>
        <v>1063000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>
        <v>1000000</v>
      </c>
      <c r="D121" s="252">
        <v>-1000000</v>
      </c>
      <c r="E121" s="126"/>
      <c r="F121" s="290">
        <f t="shared" si="14"/>
        <v>-1000000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>
        <f>31000+31000+1000+1000000</f>
        <v>1063000</v>
      </c>
      <c r="E122" s="126"/>
      <c r="F122" s="290">
        <f t="shared" si="14"/>
        <v>1063000</v>
      </c>
      <c r="G122" s="264">
        <f t="shared" si="15"/>
        <v>1063000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649572352</v>
      </c>
      <c r="D127" s="249">
        <f>+D92+D113</f>
        <v>88930708</v>
      </c>
      <c r="E127" s="125">
        <f>+E92+E113</f>
        <v>-1000000</v>
      </c>
      <c r="F127" s="125">
        <f>+F92+F113</f>
        <v>87930708</v>
      </c>
      <c r="G127" s="262">
        <f>+G92+G113</f>
        <v>737503060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4100000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4100000</v>
      </c>
    </row>
    <row r="129" spans="1:13" s="42" customFormat="1" ht="12" customHeight="1" x14ac:dyDescent="0.2">
      <c r="A129" s="154" t="s">
        <v>154</v>
      </c>
      <c r="B129" s="4" t="s">
        <v>369</v>
      </c>
      <c r="C129" s="126">
        <v>4100000</v>
      </c>
      <c r="D129" s="252"/>
      <c r="E129" s="126"/>
      <c r="F129" s="290">
        <f>D129+E129</f>
        <v>0</v>
      </c>
      <c r="G129" s="264">
        <f>C129+F129</f>
        <v>4100000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90010556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90010556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>
        <v>7423543</v>
      </c>
      <c r="D141" s="252"/>
      <c r="E141" s="126"/>
      <c r="F141" s="290">
        <f>D141+E141</f>
        <v>0</v>
      </c>
      <c r="G141" s="264">
        <f>C141+F141</f>
        <v>7423543</v>
      </c>
    </row>
    <row r="142" spans="1:13" ht="12" customHeight="1" x14ac:dyDescent="0.2">
      <c r="A142" s="154" t="s">
        <v>174</v>
      </c>
      <c r="B142" s="4" t="s">
        <v>373</v>
      </c>
      <c r="C142" s="126">
        <v>82587013</v>
      </c>
      <c r="D142" s="252"/>
      <c r="E142" s="126"/>
      <c r="F142" s="290">
        <f>D142+E142</f>
        <v>0</v>
      </c>
      <c r="G142" s="264">
        <f>C142+F142</f>
        <v>82587013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94110556</v>
      </c>
      <c r="D153" s="257">
        <f>+D128+D132+D139+D145+D151+D152</f>
        <v>0</v>
      </c>
      <c r="E153" s="189"/>
      <c r="F153" s="189"/>
      <c r="G153" s="278">
        <f>+G128+G132+G139+G145+G151+G152</f>
        <v>94110556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743682908</v>
      </c>
      <c r="D154" s="257">
        <f>+D127+D153</f>
        <v>88930708</v>
      </c>
      <c r="E154" s="189">
        <f>+E127+E153</f>
        <v>-1000000</v>
      </c>
      <c r="F154" s="189">
        <f>+F127+F153</f>
        <v>87930708</v>
      </c>
      <c r="G154" s="278">
        <f>+G127+G153</f>
        <v>831613616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>
        <v>27</v>
      </c>
      <c r="D156" s="273"/>
      <c r="E156" s="223"/>
      <c r="F156" s="311">
        <f>D156+E156</f>
        <v>0</v>
      </c>
      <c r="G156" s="312">
        <f>C156+F156</f>
        <v>27</v>
      </c>
    </row>
    <row r="157" spans="1:7" ht="14.25" customHeight="1" thickBot="1" x14ac:dyDescent="0.25">
      <c r="A157" s="67" t="s">
        <v>118</v>
      </c>
      <c r="B157" s="68"/>
      <c r="C157" s="223">
        <v>6</v>
      </c>
      <c r="D157" s="223">
        <v>4</v>
      </c>
      <c r="E157" s="223"/>
      <c r="F157" s="311">
        <f>D157+E157</f>
        <v>4</v>
      </c>
      <c r="G157" s="312">
        <f>C157+F157</f>
        <v>10</v>
      </c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2" orientation="portrait" r:id="rId1"/>
  <headerFooter alignWithMargins="0"/>
  <rowBreaks count="2" manualBreakCount="2">
    <brk id="65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>
      <selection sqref="A1:IV1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0</v>
      </c>
      <c r="D28" s="131">
        <f>+D29+D30+D32+D33+D34+D35+D36+D31</f>
        <v>0</v>
      </c>
      <c r="E28" s="131">
        <f>+E29+E30+E32+E33+E34+E35+E36+E31</f>
        <v>0</v>
      </c>
      <c r="F28" s="131">
        <f>+F29+F30+F32+F33+F34+F35+F36+F31</f>
        <v>0</v>
      </c>
      <c r="G28" s="131">
        <f>+G29+G30+G32+G33+G34+G35+G36+G31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17062000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17062000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11230000</v>
      </c>
      <c r="D39" s="194"/>
      <c r="E39" s="126"/>
      <c r="F39" s="290">
        <f t="shared" si="8"/>
        <v>0</v>
      </c>
      <c r="G39" s="264">
        <f t="shared" si="9"/>
        <v>11230000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10000</v>
      </c>
      <c r="D40" s="194"/>
      <c r="E40" s="126"/>
      <c r="F40" s="290">
        <f t="shared" si="8"/>
        <v>0</v>
      </c>
      <c r="G40" s="264">
        <f t="shared" si="9"/>
        <v>10000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1800000</v>
      </c>
      <c r="D41" s="194"/>
      <c r="E41" s="126"/>
      <c r="F41" s="290">
        <f t="shared" si="8"/>
        <v>0</v>
      </c>
      <c r="G41" s="264">
        <f t="shared" si="9"/>
        <v>1800000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3522000</v>
      </c>
      <c r="D43" s="194"/>
      <c r="E43" s="126"/>
      <c r="F43" s="290">
        <f t="shared" si="8"/>
        <v>0</v>
      </c>
      <c r="G43" s="264">
        <f t="shared" si="9"/>
        <v>3522000</v>
      </c>
    </row>
    <row r="44" spans="1:7" s="41" customFormat="1" ht="12" customHeight="1" x14ac:dyDescent="0.2">
      <c r="A44" s="155" t="s">
        <v>98</v>
      </c>
      <c r="B44" s="140" t="s">
        <v>169</v>
      </c>
      <c r="C44" s="126">
        <v>500000</v>
      </c>
      <c r="D44" s="194"/>
      <c r="E44" s="126"/>
      <c r="F44" s="290">
        <f t="shared" si="8"/>
        <v>0</v>
      </c>
      <c r="G44" s="264">
        <f t="shared" si="9"/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>
        <v>100000</v>
      </c>
      <c r="D58" s="194"/>
      <c r="E58" s="126"/>
      <c r="F58" s="290">
        <f>D58+E58</f>
        <v>0</v>
      </c>
      <c r="G58" s="264">
        <f>C58+F58</f>
        <v>100000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17162000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17162000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17162000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17162000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5231000</v>
      </c>
      <c r="D93" s="270">
        <f>+D94+D95+D96+D97+D98+D111</f>
        <v>-287000</v>
      </c>
      <c r="E93" s="124">
        <f>+E94+E95+E96+E97+E98+E111</f>
        <v>1000000</v>
      </c>
      <c r="F93" s="124">
        <f>+F94+F95+F96+F97+F98+F111</f>
        <v>713000</v>
      </c>
      <c r="G93" s="274">
        <f>+G94+G95+G96+G97+G98+G111</f>
        <v>5944000</v>
      </c>
    </row>
    <row r="94" spans="1:7" ht="12" customHeight="1" x14ac:dyDescent="0.2">
      <c r="A94" s="162" t="s">
        <v>59</v>
      </c>
      <c r="B94" s="5" t="s">
        <v>34</v>
      </c>
      <c r="C94" s="184">
        <v>1251000</v>
      </c>
      <c r="D94" s="184">
        <f>1000-500000+2000+9000</f>
        <v>-488000</v>
      </c>
      <c r="E94" s="184"/>
      <c r="F94" s="289">
        <f t="shared" ref="F94:F113" si="12">D94+E94</f>
        <v>-488000</v>
      </c>
      <c r="G94" s="275">
        <f t="shared" ref="G94:G113" si="13">C94+F94</f>
        <v>763000</v>
      </c>
    </row>
    <row r="95" spans="1:7" ht="12" customHeight="1" x14ac:dyDescent="0.2">
      <c r="A95" s="155" t="s">
        <v>60</v>
      </c>
      <c r="B95" s="3" t="s">
        <v>103</v>
      </c>
      <c r="C95" s="126">
        <v>307000</v>
      </c>
      <c r="D95" s="126">
        <f>-102000+4000+3000</f>
        <v>-95000</v>
      </c>
      <c r="E95" s="126"/>
      <c r="F95" s="290">
        <f t="shared" si="12"/>
        <v>-95000</v>
      </c>
      <c r="G95" s="264">
        <f t="shared" si="13"/>
        <v>212000</v>
      </c>
    </row>
    <row r="96" spans="1:7" ht="12" customHeight="1" x14ac:dyDescent="0.2">
      <c r="A96" s="155" t="s">
        <v>61</v>
      </c>
      <c r="B96" s="3" t="s">
        <v>78</v>
      </c>
      <c r="C96" s="128">
        <v>2123000</v>
      </c>
      <c r="D96" s="128">
        <f>-10000-838000-300000-50000-1000-318000+1216000+180000+377000-2000-7000-2000+1000</f>
        <v>246000</v>
      </c>
      <c r="E96" s="128">
        <v>1000000</v>
      </c>
      <c r="F96" s="291">
        <f t="shared" si="12"/>
        <v>1246000</v>
      </c>
      <c r="G96" s="265">
        <f t="shared" si="13"/>
        <v>3369000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>
        <v>1550000</v>
      </c>
      <c r="D98" s="128">
        <f>D110</f>
        <v>50000</v>
      </c>
      <c r="E98" s="128">
        <f>E110</f>
        <v>0</v>
      </c>
      <c r="F98" s="291">
        <f t="shared" si="12"/>
        <v>50000</v>
      </c>
      <c r="G98" s="265">
        <f t="shared" si="13"/>
        <v>1600000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0.25" customHeight="1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>
        <v>1100000</v>
      </c>
      <c r="D105" s="253"/>
      <c r="E105" s="128"/>
      <c r="F105" s="291">
        <f t="shared" si="12"/>
        <v>0</v>
      </c>
      <c r="G105" s="265">
        <f t="shared" si="13"/>
        <v>1100000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>
        <v>450000</v>
      </c>
      <c r="D110" s="126">
        <v>50000</v>
      </c>
      <c r="E110" s="126"/>
      <c r="F110" s="290">
        <f t="shared" si="12"/>
        <v>50000</v>
      </c>
      <c r="G110" s="264">
        <f t="shared" si="13"/>
        <v>500000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1538000</v>
      </c>
      <c r="E114" s="125">
        <f>+E115+E117+E119</f>
        <v>0</v>
      </c>
      <c r="F114" s="125">
        <f>+F115+F117+F119</f>
        <v>1538000</v>
      </c>
      <c r="G114" s="262">
        <f>+G115+G117+G119</f>
        <v>1538000</v>
      </c>
    </row>
    <row r="115" spans="1:7" ht="12" customHeight="1" x14ac:dyDescent="0.2">
      <c r="A115" s="154" t="s">
        <v>65</v>
      </c>
      <c r="B115" s="3" t="s">
        <v>121</v>
      </c>
      <c r="C115" s="127"/>
      <c r="D115" s="127">
        <v>1538000</v>
      </c>
      <c r="E115" s="127"/>
      <c r="F115" s="168">
        <f t="shared" ref="F115:F127" si="14">D115+E115</f>
        <v>1538000</v>
      </c>
      <c r="G115" s="263">
        <f t="shared" ref="G115:G127" si="15">C115+F115</f>
        <v>1538000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5231000</v>
      </c>
      <c r="D128" s="249">
        <f>+D93+D114</f>
        <v>1251000</v>
      </c>
      <c r="E128" s="125">
        <f>+E93+E114</f>
        <v>1000000</v>
      </c>
      <c r="F128" s="125">
        <f>+F93+F114</f>
        <v>2251000</v>
      </c>
      <c r="G128" s="262">
        <f>+G93+G114</f>
        <v>7482000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5231000</v>
      </c>
      <c r="D155" s="257">
        <f>+D128+D154</f>
        <v>1251000</v>
      </c>
      <c r="E155" s="189">
        <f>+E128+E154</f>
        <v>1000000</v>
      </c>
      <c r="F155" s="189">
        <f>+F128+F154</f>
        <v>2251000</v>
      </c>
      <c r="G155" s="278">
        <f>+G128+G154</f>
        <v>7482000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7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0</v>
      </c>
      <c r="D28" s="131">
        <f>+D29+D30+D31+D33+D34+D35+D36+D32</f>
        <v>0</v>
      </c>
      <c r="E28" s="131">
        <f>+E29+E30+E31+E33+E34+E35+E36+E32</f>
        <v>0</v>
      </c>
      <c r="F28" s="131">
        <f>+F29+F30+F31+F33+F34+F35+F36+F32</f>
        <v>0</v>
      </c>
      <c r="G28" s="131">
        <f>+G29+G30+G31+G33+G34+G35+G36+G32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/>
      <c r="G32" s="264"/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0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0</v>
      </c>
      <c r="D92" s="270">
        <f>+D93+D94+D95+D96+D97+D110</f>
        <v>0</v>
      </c>
      <c r="E92" s="124">
        <f>+E93+E94+E95+E96+E97+E110</f>
        <v>0</v>
      </c>
      <c r="F92" s="124">
        <f>+F93+F94+F95+F96+F97+F110</f>
        <v>0</v>
      </c>
      <c r="G92" s="274">
        <f>+G93+G94+G95+G96+G97+G110</f>
        <v>0</v>
      </c>
    </row>
    <row r="93" spans="1:7" ht="12" customHeight="1" x14ac:dyDescent="0.2">
      <c r="A93" s="162" t="s">
        <v>59</v>
      </c>
      <c r="B93" s="5" t="s">
        <v>34</v>
      </c>
      <c r="C93" s="184"/>
      <c r="D93" s="271"/>
      <c r="E93" s="184"/>
      <c r="F93" s="289">
        <f t="shared" ref="F93:F112" si="12">D93+E93</f>
        <v>0</v>
      </c>
      <c r="G93" s="275">
        <f t="shared" ref="G93:G112" si="13">C93+F93</f>
        <v>0</v>
      </c>
    </row>
    <row r="94" spans="1:7" ht="12" customHeight="1" x14ac:dyDescent="0.2">
      <c r="A94" s="155" t="s">
        <v>60</v>
      </c>
      <c r="B94" s="3" t="s">
        <v>103</v>
      </c>
      <c r="C94" s="126"/>
      <c r="D94" s="272"/>
      <c r="E94" s="126"/>
      <c r="F94" s="290">
        <f t="shared" si="12"/>
        <v>0</v>
      </c>
      <c r="G94" s="264">
        <f t="shared" si="13"/>
        <v>0</v>
      </c>
    </row>
    <row r="95" spans="1:7" ht="12" customHeight="1" x14ac:dyDescent="0.2">
      <c r="A95" s="155" t="s">
        <v>61</v>
      </c>
      <c r="B95" s="3" t="s">
        <v>78</v>
      </c>
      <c r="C95" s="128"/>
      <c r="D95" s="272"/>
      <c r="E95" s="128"/>
      <c r="F95" s="291">
        <f t="shared" si="12"/>
        <v>0</v>
      </c>
      <c r="G95" s="265">
        <f t="shared" si="13"/>
        <v>0</v>
      </c>
    </row>
    <row r="96" spans="1:7" ht="12" customHeight="1" x14ac:dyDescent="0.2">
      <c r="A96" s="155" t="s">
        <v>62</v>
      </c>
      <c r="B96" s="6" t="s">
        <v>104</v>
      </c>
      <c r="C96" s="128"/>
      <c r="D96" s="253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70</v>
      </c>
      <c r="B97" s="14" t="s">
        <v>105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63</v>
      </c>
      <c r="B98" s="3" t="s">
        <v>363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64</v>
      </c>
      <c r="B99" s="48" t="s">
        <v>304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22.5" x14ac:dyDescent="0.2">
      <c r="A103" s="155" t="s">
        <v>74</v>
      </c>
      <c r="B103" s="49" t="s">
        <v>239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12" customHeight="1" x14ac:dyDescent="0.2">
      <c r="A104" s="155" t="s">
        <v>76</v>
      </c>
      <c r="B104" s="48" t="s">
        <v>240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302</v>
      </c>
      <c r="B109" s="49" t="s">
        <v>245</v>
      </c>
      <c r="C109" s="126"/>
      <c r="D109" s="252"/>
      <c r="E109" s="126"/>
      <c r="F109" s="290">
        <f t="shared" si="12"/>
        <v>0</v>
      </c>
      <c r="G109" s="264">
        <f t="shared" si="13"/>
        <v>0</v>
      </c>
    </row>
    <row r="110" spans="1:7" ht="12" customHeight="1" x14ac:dyDescent="0.2">
      <c r="A110" s="155" t="s">
        <v>306</v>
      </c>
      <c r="B110" s="6" t="s">
        <v>35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6" t="s">
        <v>307</v>
      </c>
      <c r="B111" s="3" t="s">
        <v>364</v>
      </c>
      <c r="C111" s="128"/>
      <c r="D111" s="253"/>
      <c r="E111" s="128"/>
      <c r="F111" s="291">
        <f t="shared" si="12"/>
        <v>0</v>
      </c>
      <c r="G111" s="265">
        <f t="shared" si="13"/>
        <v>0</v>
      </c>
    </row>
    <row r="112" spans="1:7" ht="12" customHeight="1" thickBot="1" x14ac:dyDescent="0.25">
      <c r="A112" s="164" t="s">
        <v>308</v>
      </c>
      <c r="B112" s="51" t="s">
        <v>365</v>
      </c>
      <c r="C112" s="185"/>
      <c r="D112" s="254"/>
      <c r="E112" s="185"/>
      <c r="F112" s="292">
        <f t="shared" si="12"/>
        <v>0</v>
      </c>
      <c r="G112" s="276">
        <f t="shared" si="13"/>
        <v>0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0</v>
      </c>
      <c r="D113" s="249">
        <f>+D114+D116+D118</f>
        <v>0</v>
      </c>
      <c r="E113" s="125">
        <f>+E114+E116+E118</f>
        <v>0</v>
      </c>
      <c r="F113" s="125">
        <f>+F114+F116+F118</f>
        <v>0</v>
      </c>
      <c r="G113" s="262">
        <f>+G114+G116+G118</f>
        <v>0</v>
      </c>
    </row>
    <row r="114" spans="1:7" ht="12" customHeight="1" x14ac:dyDescent="0.2">
      <c r="A114" s="154" t="s">
        <v>65</v>
      </c>
      <c r="B114" s="3" t="s">
        <v>121</v>
      </c>
      <c r="C114" s="127"/>
      <c r="D114" s="250"/>
      <c r="E114" s="127"/>
      <c r="F114" s="168">
        <f t="shared" ref="F114:F126" si="14">D114+E114</f>
        <v>0</v>
      </c>
      <c r="G114" s="263">
        <f t="shared" ref="G114:G126" si="15">C114+F114</f>
        <v>0</v>
      </c>
    </row>
    <row r="115" spans="1:7" ht="12" customHeight="1" x14ac:dyDescent="0.2">
      <c r="A115" s="154" t="s">
        <v>66</v>
      </c>
      <c r="B115" s="7" t="s">
        <v>250</v>
      </c>
      <c r="C115" s="127"/>
      <c r="D115" s="250"/>
      <c r="E115" s="127"/>
      <c r="F115" s="168">
        <f t="shared" si="14"/>
        <v>0</v>
      </c>
      <c r="G115" s="263">
        <f t="shared" si="15"/>
        <v>0</v>
      </c>
    </row>
    <row r="116" spans="1:7" ht="12" customHeight="1" x14ac:dyDescent="0.2">
      <c r="A116" s="154" t="s">
        <v>67</v>
      </c>
      <c r="B116" s="7" t="s">
        <v>107</v>
      </c>
      <c r="C116" s="126"/>
      <c r="D116" s="252"/>
      <c r="E116" s="126"/>
      <c r="F116" s="290">
        <f t="shared" si="14"/>
        <v>0</v>
      </c>
      <c r="G116" s="264">
        <f t="shared" si="15"/>
        <v>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0</v>
      </c>
      <c r="D127" s="249">
        <f>+D92+D113</f>
        <v>0</v>
      </c>
      <c r="E127" s="125">
        <f>+E92+E113</f>
        <v>0</v>
      </c>
      <c r="F127" s="125">
        <f>+F92+F113</f>
        <v>0</v>
      </c>
      <c r="G127" s="262">
        <f>+G92+G113</f>
        <v>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0</v>
      </c>
    </row>
    <row r="129" spans="1:13" s="42" customFormat="1" ht="12" customHeight="1" x14ac:dyDescent="0.2">
      <c r="A129" s="154" t="s">
        <v>154</v>
      </c>
      <c r="B129" s="4" t="s">
        <v>369</v>
      </c>
      <c r="C129" s="126"/>
      <c r="D129" s="252"/>
      <c r="E129" s="126"/>
      <c r="F129" s="290">
        <f>D129+E129</f>
        <v>0</v>
      </c>
      <c r="G129" s="264">
        <f>C129+F129</f>
        <v>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0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0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174</v>
      </c>
      <c r="B142" s="4" t="s">
        <v>373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0</v>
      </c>
      <c r="D153" s="257">
        <f>+D128+D132+D139+D145+D151+D152</f>
        <v>0</v>
      </c>
      <c r="E153" s="189"/>
      <c r="F153" s="189"/>
      <c r="G153" s="278">
        <f>+G128+G132+G139+G145+G151+G152</f>
        <v>0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0</v>
      </c>
      <c r="D154" s="257">
        <f>+D127+D153</f>
        <v>0</v>
      </c>
      <c r="E154" s="189">
        <f>+E127+E153</f>
        <v>0</v>
      </c>
      <c r="F154" s="189">
        <f>+F127+F153</f>
        <v>0</v>
      </c>
      <c r="G154" s="278">
        <f>+G127+G153</f>
        <v>0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/>
      <c r="D156" s="273"/>
      <c r="E156" s="223"/>
      <c r="F156" s="311"/>
      <c r="G156" s="312"/>
    </row>
    <row r="157" spans="1:7" ht="14.25" customHeight="1" thickBot="1" x14ac:dyDescent="0.25">
      <c r="A157" s="67" t="s">
        <v>118</v>
      </c>
      <c r="B157" s="68"/>
      <c r="C157" s="223"/>
      <c r="D157" s="273"/>
      <c r="E157" s="223"/>
      <c r="F157" s="311"/>
      <c r="G157" s="312"/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61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'9.mell.6.tábl.'!C8+'9.mell.7-tábl.'!C8+'9.mell.8-tábl.'!C8</f>
        <v>0</v>
      </c>
      <c r="D8" s="127">
        <f>'9.mell.6.tábl.'!D8+'9.mell.7-tábl.'!D8+'9.mell.8-tábl.'!D8</f>
        <v>0</v>
      </c>
      <c r="E8" s="127">
        <f>'9.mell.6.tábl.'!E8+'9.mell.7-tábl.'!E8+'9.mell.8-tábl.'!E8</f>
        <v>0</v>
      </c>
      <c r="F8" s="127">
        <f>'9.mell.6.tábl.'!F8+'9.mell.7-tábl.'!F8+'9.mell.8-tábl.'!F8</f>
        <v>0</v>
      </c>
      <c r="G8" s="333">
        <f>'9.mell.6.tábl.'!G8+'9.mell.7-tábl.'!G8+'9.mell.8-tábl.'!G8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'9.mell.6.tábl.'!C9+'9.mell.7-tábl.'!C9+'9.mell.8-tábl.'!C9</f>
        <v>0</v>
      </c>
      <c r="D9" s="127">
        <f>'9.mell.6.tábl.'!D9+'9.mell.7-tábl.'!D9+'9.mell.8-tábl.'!D9</f>
        <v>0</v>
      </c>
      <c r="E9" s="127">
        <f>'9.mell.6.tábl.'!E9+'9.mell.7-tábl.'!E9+'9.mell.8-tábl.'!E9</f>
        <v>0</v>
      </c>
      <c r="F9" s="127">
        <f>'9.mell.6.tábl.'!F9+'9.mell.7-tábl.'!F9+'9.mell.8-tábl.'!F9</f>
        <v>0</v>
      </c>
      <c r="G9" s="333">
        <f>'9.mell.6.tábl.'!G9+'9.mell.7-tábl.'!G9+'9.mell.8-tábl.'!G9</f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'9.mell.6.tábl.'!C10+'9.mell.7-tábl.'!C10+'9.mell.8-tábl.'!C10</f>
        <v>0</v>
      </c>
      <c r="D10" s="127">
        <f>'9.mell.6.tábl.'!D10+'9.mell.7-tábl.'!D10+'9.mell.8-tábl.'!D10</f>
        <v>0</v>
      </c>
      <c r="E10" s="127">
        <f>'9.mell.6.tábl.'!E10+'9.mell.7-tábl.'!E10+'9.mell.8-tábl.'!E10</f>
        <v>0</v>
      </c>
      <c r="F10" s="127">
        <f>'9.mell.6.tábl.'!F10+'9.mell.7-tábl.'!F10+'9.mell.8-tábl.'!F10</f>
        <v>0</v>
      </c>
      <c r="G10" s="333">
        <f>'9.mell.6.tábl.'!G10+'9.mell.7-tábl.'!G10+'9.mell.8-tábl.'!G10</f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'9.mell.6.tábl.'!C11+'9.mell.7-tábl.'!C11+'9.mell.8-tábl.'!C11</f>
        <v>0</v>
      </c>
      <c r="D11" s="127">
        <f>'9.mell.6.tábl.'!D11+'9.mell.7-tábl.'!D11+'9.mell.8-tábl.'!D11</f>
        <v>0</v>
      </c>
      <c r="E11" s="127">
        <f>'9.mell.6.tábl.'!E11+'9.mell.7-tábl.'!E11+'9.mell.8-tábl.'!E11</f>
        <v>0</v>
      </c>
      <c r="F11" s="127">
        <f>'9.mell.6.tábl.'!F11+'9.mell.7-tábl.'!F11+'9.mell.8-tábl.'!F11</f>
        <v>0</v>
      </c>
      <c r="G11" s="333">
        <f>'9.mell.6.tábl.'!G11+'9.mell.7-tábl.'!G11+'9.mell.8-tábl.'!G11</f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'9.mell.6.tábl.'!C12+'9.mell.7-tábl.'!C12+'9.mell.8-tábl.'!C12</f>
        <v>0</v>
      </c>
      <c r="D12" s="127">
        <f>'9.mell.6.tábl.'!D12+'9.mell.7-tábl.'!D12+'9.mell.8-tábl.'!D12</f>
        <v>0</v>
      </c>
      <c r="E12" s="127">
        <f>'9.mell.6.tábl.'!E12+'9.mell.7-tábl.'!E12+'9.mell.8-tábl.'!E12</f>
        <v>0</v>
      </c>
      <c r="F12" s="127">
        <f>'9.mell.6.tábl.'!F12+'9.mell.7-tábl.'!F12+'9.mell.8-tábl.'!F12</f>
        <v>0</v>
      </c>
      <c r="G12" s="333">
        <f>'9.mell.6.tábl.'!G12+'9.mell.7-tábl.'!G12+'9.mell.8-tábl.'!G12</f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7">
        <f>'9.mell.6.tábl.'!C13+'9.mell.7-tábl.'!C13+'9.mell.8-tábl.'!C13</f>
        <v>0</v>
      </c>
      <c r="D13" s="127">
        <f>'9.mell.6.tábl.'!D13+'9.mell.7-tábl.'!D13+'9.mell.8-tábl.'!D13</f>
        <v>0</v>
      </c>
      <c r="E13" s="127">
        <f>'9.mell.6.tábl.'!E13+'9.mell.7-tábl.'!E13+'9.mell.8-tábl.'!E13</f>
        <v>0</v>
      </c>
      <c r="F13" s="127">
        <f>'9.mell.6.tábl.'!F13+'9.mell.7-tábl.'!F13+'9.mell.8-tábl.'!F13</f>
        <v>0</v>
      </c>
      <c r="G13" s="333">
        <f>'9.mell.6.tábl.'!G13+'9.mell.7-tábl.'!G13+'9.mell.8-tábl.'!G13</f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'9.mell.6.tábl.'!C15+'9.mell.7-tábl.'!C15+'9.mell.8-tábl.'!C15</f>
        <v>0</v>
      </c>
      <c r="D15" s="127">
        <f>'9.mell.6.tábl.'!D15+'9.mell.7-tábl.'!D15+'9.mell.8-tábl.'!D15</f>
        <v>0</v>
      </c>
      <c r="E15" s="127">
        <f>'9.mell.6.tábl.'!E15+'9.mell.7-tábl.'!E15+'9.mell.8-tábl.'!E15</f>
        <v>0</v>
      </c>
      <c r="F15" s="127">
        <f>'9.mell.6.tábl.'!F15+'9.mell.7-tábl.'!F15+'9.mell.8-tábl.'!F15</f>
        <v>0</v>
      </c>
      <c r="G15" s="333">
        <f>'9.mell.6.tábl.'!G15+'9.mell.7-tábl.'!G15+'9.mell.8-tábl.'!G15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'9.mell.6.tábl.'!C16+'9.mell.7-tábl.'!C16+'9.mell.8-tábl.'!C16</f>
        <v>0</v>
      </c>
      <c r="D16" s="127">
        <f>'9.mell.6.tábl.'!D16+'9.mell.7-tábl.'!D16+'9.mell.8-tábl.'!D16</f>
        <v>0</v>
      </c>
      <c r="E16" s="127">
        <f>'9.mell.6.tábl.'!E16+'9.mell.7-tábl.'!E16+'9.mell.8-tábl.'!E16</f>
        <v>0</v>
      </c>
      <c r="F16" s="127">
        <f>'9.mell.6.tábl.'!F16+'9.mell.7-tábl.'!F16+'9.mell.8-tábl.'!F16</f>
        <v>0</v>
      </c>
      <c r="G16" s="333">
        <f>'9.mell.6.tábl.'!G16+'9.mell.7-tábl.'!G16+'9.mell.8-tábl.'!G16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'9.mell.6.tábl.'!C17+'9.mell.7-tábl.'!C17+'9.mell.8-tábl.'!C17</f>
        <v>0</v>
      </c>
      <c r="D17" s="127">
        <f>'9.mell.6.tábl.'!D17+'9.mell.7-tábl.'!D17+'9.mell.8-tábl.'!D17</f>
        <v>0</v>
      </c>
      <c r="E17" s="127">
        <f>'9.mell.6.tábl.'!E17+'9.mell.7-tábl.'!E17+'9.mell.8-tábl.'!E17</f>
        <v>0</v>
      </c>
      <c r="F17" s="127">
        <f>'9.mell.6.tábl.'!F17+'9.mell.7-tábl.'!F17+'9.mell.8-tábl.'!F17</f>
        <v>0</v>
      </c>
      <c r="G17" s="333">
        <f>'9.mell.6.tábl.'!G17+'9.mell.7-tábl.'!G17+'9.mell.8-tábl.'!G17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'9.mell.6.tábl.'!C18+'9.mell.7-tábl.'!C18+'9.mell.8-tábl.'!C18</f>
        <v>0</v>
      </c>
      <c r="D18" s="127">
        <f>'9.mell.6.tábl.'!D18+'9.mell.7-tábl.'!D18+'9.mell.8-tábl.'!D18</f>
        <v>0</v>
      </c>
      <c r="E18" s="127">
        <f>'9.mell.6.tábl.'!E18+'9.mell.7-tábl.'!E18+'9.mell.8-tábl.'!E18</f>
        <v>0</v>
      </c>
      <c r="F18" s="127">
        <f>'9.mell.6.tábl.'!F18+'9.mell.7-tábl.'!F18+'9.mell.8-tábl.'!F18</f>
        <v>0</v>
      </c>
      <c r="G18" s="333">
        <f>'9.mell.6.tábl.'!G18+'9.mell.7-tábl.'!G18+'9.mell.8-tábl.'!G18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'9.mell.6.tábl.'!C19+'9.mell.7-tábl.'!C19+'9.mell.8-tábl.'!C19</f>
        <v>0</v>
      </c>
      <c r="D19" s="127"/>
      <c r="E19" s="127">
        <f>'9.mell.6.tábl.'!E19+'9.mell.7-tábl.'!E19+'9.mell.8-tábl.'!E19</f>
        <v>0</v>
      </c>
      <c r="F19" s="127">
        <f>'9.mell.6.tábl.'!F19+'9.mell.7-tábl.'!F19+'9.mell.8-tábl.'!F19</f>
        <v>0</v>
      </c>
      <c r="G19" s="333">
        <f>'9.mell.6.tábl.'!G19+'9.mell.7-tábl.'!G19+'9.mell.8-tábl.'!G19</f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7">
        <f>'9.mell.6.tábl.'!C20+'9.mell.7-tábl.'!C20+'9.mell.8-tábl.'!C20</f>
        <v>0</v>
      </c>
      <c r="D20" s="127">
        <f>'9.mell.6.tábl.'!D20+'9.mell.7-tábl.'!D20+'9.mell.8-tábl.'!D20</f>
        <v>0</v>
      </c>
      <c r="E20" s="127">
        <f>'9.mell.6.tábl.'!E20+'9.mell.7-tábl.'!E20+'9.mell.8-tábl.'!E20</f>
        <v>0</v>
      </c>
      <c r="F20" s="127">
        <f>'9.mell.6.tábl.'!F20+'9.mell.7-tábl.'!F20+'9.mell.8-tábl.'!F20</f>
        <v>0</v>
      </c>
      <c r="G20" s="333">
        <f>'9.mell.6.tábl.'!G20+'9.mell.7-tábl.'!G20+'9.mell.8-tábl.'!G20</f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'9.mell.6.tábl.'!C22+'9.mell.7-tábl.'!C22+'9.mell.8-tábl.'!C22</f>
        <v>0</v>
      </c>
      <c r="D22" s="127">
        <f>'9.mell.6.tábl.'!D22+'9.mell.7-tábl.'!D22+'9.mell.8-tábl.'!D22</f>
        <v>0</v>
      </c>
      <c r="E22" s="127">
        <f>'9.mell.6.tábl.'!E22+'9.mell.7-tábl.'!E22+'9.mell.8-tábl.'!E22</f>
        <v>0</v>
      </c>
      <c r="F22" s="127">
        <f>'9.mell.6.tábl.'!F22+'9.mell.7-tábl.'!F22+'9.mell.8-tábl.'!F22</f>
        <v>0</v>
      </c>
      <c r="G22" s="333">
        <f>'9.mell.6.tábl.'!G22+'9.mell.7-tábl.'!G22+'9.mell.8-tábl.'!G22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'9.mell.6.tábl.'!C23+'9.mell.7-tábl.'!C23+'9.mell.8-tábl.'!C23</f>
        <v>0</v>
      </c>
      <c r="D23" s="127">
        <f>'9.mell.6.tábl.'!D23+'9.mell.7-tábl.'!D23+'9.mell.8-tábl.'!D23</f>
        <v>0</v>
      </c>
      <c r="E23" s="127">
        <f>'9.mell.6.tábl.'!E23+'9.mell.7-tábl.'!E23+'9.mell.8-tábl.'!E23</f>
        <v>0</v>
      </c>
      <c r="F23" s="127">
        <f>'9.mell.6.tábl.'!F23+'9.mell.7-tábl.'!F23+'9.mell.8-tábl.'!F23</f>
        <v>0</v>
      </c>
      <c r="G23" s="333">
        <f>'9.mell.6.tábl.'!G23+'9.mell.7-tábl.'!G23+'9.mell.8-tábl.'!G23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'9.mell.6.tábl.'!C24+'9.mell.7-tábl.'!C24+'9.mell.8-tábl.'!C24</f>
        <v>0</v>
      </c>
      <c r="D24" s="127">
        <f>'9.mell.6.tábl.'!D24+'9.mell.7-tábl.'!D24+'9.mell.8-tábl.'!D24</f>
        <v>0</v>
      </c>
      <c r="E24" s="127">
        <f>'9.mell.6.tábl.'!E24+'9.mell.7-tábl.'!E24+'9.mell.8-tábl.'!E24</f>
        <v>0</v>
      </c>
      <c r="F24" s="127">
        <f>'9.mell.6.tábl.'!F24+'9.mell.7-tábl.'!F24+'9.mell.8-tábl.'!F24</f>
        <v>0</v>
      </c>
      <c r="G24" s="333">
        <f>'9.mell.6.tábl.'!G24+'9.mell.7-tábl.'!G24+'9.mell.8-tábl.'!G24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'9.mell.6.tábl.'!C25+'9.mell.7-tábl.'!C25+'9.mell.8-tábl.'!C25</f>
        <v>0</v>
      </c>
      <c r="D25" s="127">
        <f>'9.mell.6.tábl.'!D25+'9.mell.7-tábl.'!D25+'9.mell.8-tábl.'!D25</f>
        <v>0</v>
      </c>
      <c r="E25" s="127">
        <f>'9.mell.6.tábl.'!E25+'9.mell.7-tábl.'!E25+'9.mell.8-tábl.'!E25</f>
        <v>0</v>
      </c>
      <c r="F25" s="127">
        <f>'9.mell.6.tábl.'!F25+'9.mell.7-tábl.'!F25+'9.mell.8-tábl.'!F25</f>
        <v>0</v>
      </c>
      <c r="G25" s="331">
        <f>'9.mell.6.tábl.'!G25+'9.mell.7-tábl.'!G25+'9.mell.8-tábl.'!G25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'9.mell.6.tábl.'!C26+'9.mell.7-tábl.'!C26+'9.mell.8-tábl.'!C26</f>
        <v>0</v>
      </c>
      <c r="D26" s="127">
        <f>'9.mell.6.tábl.'!D26+'9.mell.7-tábl.'!D26+'9.mell.8-tábl.'!D26</f>
        <v>0</v>
      </c>
      <c r="E26" s="127">
        <f>'9.mell.6.tábl.'!E26+'9.mell.7-tábl.'!E26+'9.mell.8-tábl.'!E26</f>
        <v>0</v>
      </c>
      <c r="F26" s="127">
        <f>'9.mell.6.tábl.'!F26+'9.mell.7-tábl.'!F26+'9.mell.8-tábl.'!F26</f>
        <v>0</v>
      </c>
      <c r="G26" s="333">
        <f>'9.mell.6.tábl.'!G26+'9.mell.7-tábl.'!G26+'9.mell.8-tábl.'!G26</f>
        <v>0</v>
      </c>
    </row>
    <row r="27" spans="1:7" s="41" customFormat="1" ht="12" customHeight="1" thickBot="1" x14ac:dyDescent="0.25">
      <c r="A27" s="156" t="s">
        <v>92</v>
      </c>
      <c r="B27" s="141" t="s">
        <v>153</v>
      </c>
      <c r="C27" s="127">
        <f>'9.mell.6.tábl.'!C27+'9.mell.7-tábl.'!C27+'9.mell.8-tábl.'!C27</f>
        <v>0</v>
      </c>
      <c r="D27" s="127">
        <f>'9.mell.6.tábl.'!D27+'9.mell.7-tábl.'!D27+'9.mell.8-tábl.'!D27</f>
        <v>0</v>
      </c>
      <c r="E27" s="127">
        <f>'9.mell.6.tábl.'!E27+'9.mell.7-tábl.'!E27+'9.mell.8-tábl.'!E27</f>
        <v>0</v>
      </c>
      <c r="F27" s="127">
        <f>'9.mell.6.tábl.'!F27+'9.mell.7-tábl.'!F27+'9.mell.8-tábl.'!F27</f>
        <v>0</v>
      </c>
      <c r="G27" s="333">
        <f>'9.mell.6.tábl.'!G27+'9.mell.7-tábl.'!G27+'9.mell.8-tábl.'!G27</f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+C29+C31+C32+C33+C34+C35+C36</f>
        <v>0</v>
      </c>
      <c r="D28" s="131">
        <f>+D29+D31+D32+D33+D34+D35+D36</f>
        <v>0</v>
      </c>
      <c r="E28" s="131">
        <f>+E29+E31+E32+E33+E34+E35+E36</f>
        <v>0</v>
      </c>
      <c r="F28" s="131">
        <f>+F29+F31+F32+F33+F34+F35+F36</f>
        <v>0</v>
      </c>
      <c r="G28" s="266">
        <f>+G29+G31+G32+G33+G34+G35+G36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'9.mell.6.tábl.'!C29+'9.mell.7-tábl.'!C29+'9.mell.8-tábl.'!C29</f>
        <v>0</v>
      </c>
      <c r="D29" s="127">
        <f>'9.mell.6.tábl.'!D29+'9.mell.7-tábl.'!D29+'9.mell.8-tábl.'!D29</f>
        <v>0</v>
      </c>
      <c r="E29" s="127">
        <f>'9.mell.6.tábl.'!E29+'9.mell.7-tábl.'!E29+'9.mell.8-tábl.'!E29</f>
        <v>0</v>
      </c>
      <c r="F29" s="127">
        <f>'9.mell.6.tábl.'!F29+'9.mell.7-tábl.'!F29+'9.mell.8-tábl.'!F29</f>
        <v>0</v>
      </c>
      <c r="G29" s="333">
        <f>'9.mell.6.tábl.'!G29+'9.mell.7-tábl.'!G29+'9.mell.8-tábl.'!G29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'9.mell.6.tábl.'!C30+'9.mell.7-tábl.'!C30+'9.mell.8-tábl.'!C30</f>
        <v>0</v>
      </c>
      <c r="D30" s="127">
        <f>'9.mell.6.tábl.'!D30+'9.mell.7-tábl.'!D30+'9.mell.8-tábl.'!D30</f>
        <v>0</v>
      </c>
      <c r="E30" s="127">
        <f>'9.mell.6.tábl.'!E30+'9.mell.7-tábl.'!E30+'9.mell.8-tábl.'!E30</f>
        <v>0</v>
      </c>
      <c r="F30" s="127">
        <f>'9.mell.6.tábl.'!F30+'9.mell.7-tábl.'!F30+'9.mell.8-tábl.'!F30</f>
        <v>0</v>
      </c>
      <c r="G30" s="333">
        <f>'9.mell.6.tábl.'!G30+'9.mell.7-tábl.'!G30+'9.mell.8-tábl.'!G30</f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'9.mell.6.tábl.'!C31+'9.mell.7-tábl.'!C31+'9.mell.8-tábl.'!C31</f>
        <v>0</v>
      </c>
      <c r="D31" s="127">
        <f>'9.mell.6.tábl.'!D31+'9.mell.7-tábl.'!D31+'9.mell.8-tábl.'!D31</f>
        <v>0</v>
      </c>
      <c r="E31" s="127">
        <f>'9.mell.6.tábl.'!E31+'9.mell.7-tábl.'!E31+'9.mell.8-tábl.'!E31</f>
        <v>0</v>
      </c>
      <c r="F31" s="127">
        <f>'9.mell.6.tábl.'!F31+'9.mell.7-tábl.'!F31+'9.mell.8-tábl.'!F31</f>
        <v>0</v>
      </c>
      <c r="G31" s="333">
        <f>'9.mell.6.tábl.'!G31+'9.mell.7-tábl.'!G31+'9.mell.8-tábl.'!G31</f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'9.mell.6.tábl.'!C32+'9.mell.7-tábl.'!C32+'9.mell.8-tábl.'!C32</f>
        <v>0</v>
      </c>
      <c r="D32" s="127">
        <f>'9.mell.6.tábl.'!D32+'9.mell.7-tábl.'!D32+'9.mell.8-tábl.'!D32</f>
        <v>0</v>
      </c>
      <c r="E32" s="127">
        <f>'9.mell.6.tábl.'!E32+'9.mell.7-tábl.'!E32+'9.mell.8-tábl.'!E32</f>
        <v>0</v>
      </c>
      <c r="F32" s="127">
        <f>'9.mell.6.tábl.'!F32+'9.mell.7-tábl.'!F32+'9.mell.8-tábl.'!F32</f>
        <v>0</v>
      </c>
      <c r="G32" s="333">
        <f>'9.mell.6.tábl.'!G32+'9.mell.7-tábl.'!G32+'9.mell.8-tábl.'!G32</f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'9.mell.6.tábl.'!C33+'9.mell.7-tábl.'!C33+'9.mell.8-tábl.'!C33</f>
        <v>0</v>
      </c>
      <c r="D33" s="127">
        <f>'9.mell.6.tábl.'!D33+'9.mell.7-tábl.'!D33+'9.mell.8-tábl.'!D33</f>
        <v>0</v>
      </c>
      <c r="E33" s="127">
        <f>'9.mell.6.tábl.'!E33+'9.mell.7-tábl.'!E33+'9.mell.8-tábl.'!E33</f>
        <v>0</v>
      </c>
      <c r="F33" s="127">
        <f>'9.mell.6.tábl.'!F33+'9.mell.7-tábl.'!F33+'9.mell.8-tábl.'!F33</f>
        <v>0</v>
      </c>
      <c r="G33" s="333">
        <f>'9.mell.6.tábl.'!G33+'9.mell.7-tábl.'!G33+'9.mell.8-tábl.'!G33</f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'9.mell.6.tábl.'!C34+'9.mell.7-tábl.'!C34+'9.mell.8-tábl.'!C34</f>
        <v>0</v>
      </c>
      <c r="D34" s="127">
        <f>'9.mell.6.tábl.'!D34+'9.mell.7-tábl.'!D34+'9.mell.8-tábl.'!D34</f>
        <v>0</v>
      </c>
      <c r="E34" s="127">
        <f>'9.mell.6.tábl.'!E34+'9.mell.7-tábl.'!E34+'9.mell.8-tábl.'!E34</f>
        <v>0</v>
      </c>
      <c r="F34" s="127">
        <f>'9.mell.6.tábl.'!F34+'9.mell.7-tábl.'!F34+'9.mell.8-tábl.'!F34</f>
        <v>0</v>
      </c>
      <c r="G34" s="333">
        <f>'9.mell.6.tábl.'!G34+'9.mell.7-tábl.'!G34+'9.mell.8-tábl.'!G34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'9.mell.6.tábl.'!C35+'9.mell.7-tábl.'!C35+'9.mell.8-tábl.'!C35</f>
        <v>0</v>
      </c>
      <c r="D35" s="127">
        <f>'9.mell.6.tábl.'!D35+'9.mell.7-tábl.'!D35+'9.mell.8-tábl.'!D35</f>
        <v>0</v>
      </c>
      <c r="E35" s="127">
        <f>'9.mell.6.tábl.'!E35+'9.mell.7-tábl.'!E35+'9.mell.8-tábl.'!E35</f>
        <v>0</v>
      </c>
      <c r="F35" s="127">
        <f>'9.mell.6.tábl.'!F35+'9.mell.7-tábl.'!F35+'9.mell.8-tábl.'!F35</f>
        <v>0</v>
      </c>
      <c r="G35" s="333">
        <f>'9.mell.6.tábl.'!G35+'9.mell.7-tábl.'!G35+'9.mell.8-tábl.'!G35</f>
        <v>0</v>
      </c>
    </row>
    <row r="36" spans="1:7" s="41" customFormat="1" ht="12" customHeight="1" thickBot="1" x14ac:dyDescent="0.25">
      <c r="A36" s="156" t="s">
        <v>448</v>
      </c>
      <c r="B36" s="141" t="s">
        <v>160</v>
      </c>
      <c r="C36" s="127">
        <f>'9.mell.6.tábl.'!C36+'9.mell.7-tábl.'!C36+'9.mell.8-tábl.'!C36</f>
        <v>0</v>
      </c>
      <c r="D36" s="127">
        <f>'9.mell.6.tábl.'!D36+'9.mell.7-tábl.'!D36+'9.mell.8-tábl.'!D36</f>
        <v>0</v>
      </c>
      <c r="E36" s="127">
        <f>'9.mell.6.tábl.'!E36+'9.mell.7-tábl.'!E36+'9.mell.8-tábl.'!E36</f>
        <v>0</v>
      </c>
      <c r="F36" s="127">
        <f>'9.mell.6.tábl.'!F36+'9.mell.7-tábl.'!F36+'9.mell.8-tábl.'!F36</f>
        <v>0</v>
      </c>
      <c r="G36" s="333">
        <f>'9.mell.6.tábl.'!G36+'9.mell.7-tábl.'!G36+'9.mell.8-tábl.'!G36</f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'9.mell.6.tábl.'!C38+'9.mell.7-tábl.'!C38+'9.mell.8-tábl.'!C38</f>
        <v>0</v>
      </c>
      <c r="D38" s="127">
        <f>'9.mell.6.tábl.'!D38+'9.mell.7-tábl.'!D38+'9.mell.8-tábl.'!D38</f>
        <v>0</v>
      </c>
      <c r="E38" s="127">
        <f>'9.mell.6.tábl.'!E38+'9.mell.7-tábl.'!E38+'9.mell.8-tábl.'!E38</f>
        <v>0</v>
      </c>
      <c r="F38" s="127">
        <f>'9.mell.6.tábl.'!F38+'9.mell.7-tábl.'!F38+'9.mell.8-tábl.'!F38</f>
        <v>0</v>
      </c>
      <c r="G38" s="333">
        <f>'9.mell.6.tábl.'!G38+'9.mell.7-tábl.'!G38+'9.mell.8-tábl.'!G38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'9.mell.6.tábl.'!C39+'9.mell.7-tábl.'!C39+'9.mell.8-tábl.'!C39</f>
        <v>0</v>
      </c>
      <c r="D39" s="127">
        <f>'9.mell.6.tábl.'!D39+'9.mell.7-tábl.'!D39+'9.mell.8-tábl.'!D39</f>
        <v>0</v>
      </c>
      <c r="E39" s="127">
        <f>'9.mell.6.tábl.'!E39+'9.mell.7-tábl.'!E39+'9.mell.8-tábl.'!E39</f>
        <v>0</v>
      </c>
      <c r="F39" s="127">
        <f>'9.mell.6.tábl.'!F39+'9.mell.7-tábl.'!F39+'9.mell.8-tábl.'!F39</f>
        <v>0</v>
      </c>
      <c r="G39" s="333">
        <f>'9.mell.6.tábl.'!G39+'9.mell.7-tábl.'!G39+'9.mell.8-tábl.'!G39</f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'9.mell.6.tábl.'!C40+'9.mell.7-tábl.'!C40+'9.mell.8-tábl.'!C40</f>
        <v>0</v>
      </c>
      <c r="D40" s="127">
        <f>'9.mell.6.tábl.'!D40+'9.mell.7-tábl.'!D40+'9.mell.8-tábl.'!D40</f>
        <v>0</v>
      </c>
      <c r="E40" s="127">
        <f>'9.mell.6.tábl.'!E40+'9.mell.7-tábl.'!E40+'9.mell.8-tábl.'!E40</f>
        <v>0</v>
      </c>
      <c r="F40" s="127">
        <f>'9.mell.6.tábl.'!F40+'9.mell.7-tábl.'!F40+'9.mell.8-tábl.'!F40</f>
        <v>0</v>
      </c>
      <c r="G40" s="333">
        <f>'9.mell.6.tábl.'!G40+'9.mell.7-tábl.'!G40+'9.mell.8-tábl.'!G40</f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'9.mell.6.tábl.'!C41+'9.mell.7-tábl.'!C41+'9.mell.8-tábl.'!C41</f>
        <v>0</v>
      </c>
      <c r="D41" s="127">
        <f>'9.mell.6.tábl.'!D41+'9.mell.7-tábl.'!D41+'9.mell.8-tábl.'!D41</f>
        <v>0</v>
      </c>
      <c r="E41" s="127">
        <f>'9.mell.6.tábl.'!E41+'9.mell.7-tábl.'!E41+'9.mell.8-tábl.'!E41</f>
        <v>0</v>
      </c>
      <c r="F41" s="127">
        <f>'9.mell.6.tábl.'!F41+'9.mell.7-tábl.'!F41+'9.mell.8-tábl.'!F41</f>
        <v>0</v>
      </c>
      <c r="G41" s="333">
        <f>'9.mell.6.tábl.'!G41+'9.mell.7-tábl.'!G41+'9.mell.8-tábl.'!G41</f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'9.mell.6.tábl.'!C42+'9.mell.7-tábl.'!C42+'9.mell.8-tábl.'!C42</f>
        <v>0</v>
      </c>
      <c r="D42" s="127">
        <f>'9.mell.6.tábl.'!D42+'9.mell.7-tábl.'!D42+'9.mell.8-tábl.'!D42</f>
        <v>0</v>
      </c>
      <c r="E42" s="127">
        <f>'9.mell.6.tábl.'!E42+'9.mell.7-tábl.'!E42+'9.mell.8-tábl.'!E42</f>
        <v>0</v>
      </c>
      <c r="F42" s="127">
        <f>'9.mell.6.tábl.'!F42+'9.mell.7-tábl.'!F42+'9.mell.8-tábl.'!F42</f>
        <v>0</v>
      </c>
      <c r="G42" s="333">
        <f>'9.mell.6.tábl.'!G42+'9.mell.7-tábl.'!G42+'9.mell.8-tábl.'!G42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'9.mell.6.tábl.'!C43+'9.mell.7-tábl.'!C43+'9.mell.8-tábl.'!C43</f>
        <v>0</v>
      </c>
      <c r="D43" s="127">
        <f>'9.mell.6.tábl.'!D43+'9.mell.7-tábl.'!D43+'9.mell.8-tábl.'!D43</f>
        <v>0</v>
      </c>
      <c r="E43" s="127">
        <f>'9.mell.6.tábl.'!E43+'9.mell.7-tábl.'!E43+'9.mell.8-tábl.'!E43</f>
        <v>0</v>
      </c>
      <c r="F43" s="127">
        <f>'9.mell.6.tábl.'!F43+'9.mell.7-tábl.'!F43+'9.mell.8-tábl.'!F43</f>
        <v>0</v>
      </c>
      <c r="G43" s="331">
        <f>'9.mell.6.tábl.'!G43+'9.mell.7-tábl.'!G43+'9.mell.8-tábl.'!G43</f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'9.mell.6.tábl.'!C44+'9.mell.7-tábl.'!C44+'9.mell.8-tábl.'!C44</f>
        <v>0</v>
      </c>
      <c r="D44" s="127">
        <f>'9.mell.6.tábl.'!D44+'9.mell.7-tábl.'!D44+'9.mell.8-tábl.'!D44</f>
        <v>0</v>
      </c>
      <c r="E44" s="127">
        <f>'9.mell.6.tábl.'!E44+'9.mell.7-tábl.'!E44+'9.mell.8-tábl.'!E44</f>
        <v>0</v>
      </c>
      <c r="F44" s="127">
        <f>'9.mell.6.tábl.'!F44+'9.mell.7-tábl.'!F44+'9.mell.8-tábl.'!F44</f>
        <v>0</v>
      </c>
      <c r="G44" s="333">
        <f>'9.mell.6.tábl.'!G44+'9.mell.7-tábl.'!G44+'9.mell.8-tábl.'!G44</f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'9.mell.6.tábl.'!C45+'9.mell.7-tábl.'!C45+'9.mell.8-tábl.'!C45</f>
        <v>1000</v>
      </c>
      <c r="D45" s="127">
        <f>'9.mell.6.tábl.'!D45+'9.mell.7-tábl.'!D45+'9.mell.8-tábl.'!D45</f>
        <v>0</v>
      </c>
      <c r="E45" s="127">
        <f>'9.mell.6.tábl.'!E45+'9.mell.7-tábl.'!E45+'9.mell.8-tábl.'!E45</f>
        <v>0</v>
      </c>
      <c r="F45" s="127">
        <f>'9.mell.6.tábl.'!F45+'9.mell.7-tábl.'!F45+'9.mell.8-tábl.'!F45</f>
        <v>0</v>
      </c>
      <c r="G45" s="333">
        <f>'9.mell.6.tábl.'!G45+'9.mell.7-tábl.'!G45+'9.mell.8-tábl.'!G45</f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'9.mell.6.tábl.'!C46+'9.mell.7-tábl.'!C46+'9.mell.8-tábl.'!C46</f>
        <v>0</v>
      </c>
      <c r="D46" s="127">
        <f>'9.mell.6.tábl.'!D46+'9.mell.7-tábl.'!D46+'9.mell.8-tábl.'!D46</f>
        <v>0</v>
      </c>
      <c r="E46" s="127">
        <f>'9.mell.6.tábl.'!E46+'9.mell.7-tábl.'!E46+'9.mell.8-tábl.'!E46</f>
        <v>0</v>
      </c>
      <c r="F46" s="127">
        <f>'9.mell.6.tábl.'!F46+'9.mell.7-tábl.'!F46+'9.mell.8-tábl.'!F46</f>
        <v>0</v>
      </c>
      <c r="G46" s="333">
        <f>'9.mell.6.tábl.'!G46+'9.mell.7-tábl.'!G46+'9.mell.8-tábl.'!G46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'9.mell.6.tábl.'!C47+'9.mell.7-tábl.'!C47+'9.mell.8-tábl.'!C47</f>
        <v>0</v>
      </c>
      <c r="D47" s="127">
        <f>'9.mell.6.tábl.'!D47+'9.mell.7-tábl.'!D47+'9.mell.8-tábl.'!D47</f>
        <v>0</v>
      </c>
      <c r="E47" s="127">
        <f>'9.mell.6.tábl.'!E47+'9.mell.7-tábl.'!E47+'9.mell.8-tábl.'!E47</f>
        <v>0</v>
      </c>
      <c r="F47" s="127">
        <f>'9.mell.6.tábl.'!F47+'9.mell.7-tábl.'!F47+'9.mell.8-tábl.'!F47</f>
        <v>0</v>
      </c>
      <c r="G47" s="333">
        <f>'9.mell.6.tábl.'!G47+'9.mell.7-tábl.'!G47+'9.mell.8-tábl.'!G47</f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27">
        <f>'9.mell.6.tábl.'!C48+'9.mell.7-tábl.'!C48+'9.mell.8-tábl.'!C48</f>
        <v>1000</v>
      </c>
      <c r="D48" s="127">
        <f>'9.mell.6.tábl.'!D48+'9.mell.7-tábl.'!D48+'9.mell.8-tábl.'!D48</f>
        <v>0</v>
      </c>
      <c r="E48" s="127">
        <f>'9.mell.6.tábl.'!E48+'9.mell.7-tábl.'!E48+'9.mell.8-tábl.'!E48</f>
        <v>0</v>
      </c>
      <c r="F48" s="127">
        <f>'9.mell.6.tábl.'!F48+'9.mell.7-tábl.'!F48+'9.mell.8-tábl.'!F48</f>
        <v>0</v>
      </c>
      <c r="G48" s="333">
        <f>'9.mell.6.tábl.'!G48+'9.mell.7-tábl.'!G48+'9.mell.8-tábl.'!G48</f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'9.mell.6.tábl.'!C50+'9.mell.7-tábl.'!C50+'9.mell.8-tábl.'!C50</f>
        <v>0</v>
      </c>
      <c r="D50" s="169">
        <f>'9.mell.6.tábl.'!D50+'9.mell.7-tábl.'!D50+'9.mell.8-tábl.'!D50</f>
        <v>0</v>
      </c>
      <c r="E50" s="169">
        <f>'9.mell.6.tábl.'!E50+'9.mell.7-tábl.'!E50+'9.mell.8-tábl.'!E50</f>
        <v>0</v>
      </c>
      <c r="F50" s="169">
        <f>'9.mell.6.tábl.'!F50+'9.mell.7-tábl.'!F50+'9.mell.8-tábl.'!F50</f>
        <v>0</v>
      </c>
      <c r="G50" s="339">
        <f>'9.mell.6.tábl.'!G50+'9.mell.7-tábl.'!G50+'9.mell.8-tábl.'!G50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'9.mell.6.tábl.'!C51+'9.mell.7-tábl.'!C51+'9.mell.8-tábl.'!C51</f>
        <v>0</v>
      </c>
      <c r="D51" s="169">
        <f>'9.mell.6.tábl.'!D51+'9.mell.7-tábl.'!D51+'9.mell.8-tábl.'!D51</f>
        <v>0</v>
      </c>
      <c r="E51" s="169">
        <f>'9.mell.6.tábl.'!E51+'9.mell.7-tábl.'!E51+'9.mell.8-tábl.'!E51</f>
        <v>0</v>
      </c>
      <c r="F51" s="169">
        <f>'9.mell.6.tábl.'!F51+'9.mell.7-tábl.'!F51+'9.mell.8-tábl.'!F51</f>
        <v>0</v>
      </c>
      <c r="G51" s="339">
        <f>'9.mell.6.tábl.'!G51+'9.mell.7-tábl.'!G51+'9.mell.8-tábl.'!G51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'9.mell.6.tábl.'!C52+'9.mell.7-tábl.'!C52+'9.mell.8-tábl.'!C52</f>
        <v>0</v>
      </c>
      <c r="D52" s="169">
        <f>'9.mell.6.tábl.'!D52+'9.mell.7-tábl.'!D52+'9.mell.8-tábl.'!D52</f>
        <v>0</v>
      </c>
      <c r="E52" s="169">
        <f>'9.mell.6.tábl.'!E52+'9.mell.7-tábl.'!E52+'9.mell.8-tábl.'!E52</f>
        <v>0</v>
      </c>
      <c r="F52" s="169">
        <f>'9.mell.6.tábl.'!F52+'9.mell.7-tábl.'!F52+'9.mell.8-tábl.'!F52</f>
        <v>0</v>
      </c>
      <c r="G52" s="339">
        <f>'9.mell.6.tábl.'!G52+'9.mell.7-tábl.'!G52+'9.mell.8-tábl.'!G52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'9.mell.6.tábl.'!C53+'9.mell.7-tábl.'!C53+'9.mell.8-tábl.'!C53</f>
        <v>0</v>
      </c>
      <c r="D53" s="169">
        <f>'9.mell.6.tábl.'!D53+'9.mell.7-tábl.'!D53+'9.mell.8-tábl.'!D53</f>
        <v>0</v>
      </c>
      <c r="E53" s="169">
        <f>'9.mell.6.tábl.'!E53+'9.mell.7-tábl.'!E53+'9.mell.8-tábl.'!E53</f>
        <v>0</v>
      </c>
      <c r="F53" s="169">
        <f>'9.mell.6.tábl.'!F53+'9.mell.7-tábl.'!F53+'9.mell.8-tábl.'!F53</f>
        <v>0</v>
      </c>
      <c r="G53" s="339">
        <f>'9.mell.6.tábl.'!G53+'9.mell.7-tábl.'!G53+'9.mell.8-tábl.'!G53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69">
        <f>'9.mell.6.tábl.'!C54+'9.mell.7-tábl.'!C54+'9.mell.8-tábl.'!C54</f>
        <v>0</v>
      </c>
      <c r="D54" s="169">
        <f>'9.mell.6.tábl.'!D54+'9.mell.7-tábl.'!D54+'9.mell.8-tábl.'!D54</f>
        <v>0</v>
      </c>
      <c r="E54" s="169">
        <f>'9.mell.6.tábl.'!E54+'9.mell.7-tábl.'!E54+'9.mell.8-tábl.'!E54</f>
        <v>0</v>
      </c>
      <c r="F54" s="169">
        <f>'9.mell.6.tábl.'!F54+'9.mell.7-tábl.'!F54+'9.mell.8-tábl.'!F54</f>
        <v>0</v>
      </c>
      <c r="G54" s="339">
        <f>'9.mell.6.tábl.'!G54+'9.mell.7-tábl.'!G54+'9.mell.8-tábl.'!G54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'9.mell.6.tábl.'!C56+'9.mell.7-tábl.'!C56+'9.mell.8-tábl.'!C56</f>
        <v>0</v>
      </c>
      <c r="D56" s="127">
        <f>'9.mell.6.tábl.'!D56+'9.mell.7-tábl.'!D56+'9.mell.8-tábl.'!D56</f>
        <v>0</v>
      </c>
      <c r="E56" s="127">
        <f>'9.mell.6.tábl.'!E56+'9.mell.7-tábl.'!E56+'9.mell.8-tábl.'!E56</f>
        <v>0</v>
      </c>
      <c r="F56" s="127">
        <f>'9.mell.6.tábl.'!F56+'9.mell.7-tábl.'!F56+'9.mell.8-tábl.'!F56</f>
        <v>0</v>
      </c>
      <c r="G56" s="333">
        <f>'9.mell.6.tábl.'!G56+'9.mell.7-tábl.'!G56+'9.mell.8-tábl.'!G56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'9.mell.6.tábl.'!C57+'9.mell.7-tábl.'!C57+'9.mell.8-tábl.'!C57</f>
        <v>0</v>
      </c>
      <c r="D57" s="127">
        <f>'9.mell.6.tábl.'!D57+'9.mell.7-tábl.'!D57+'9.mell.8-tábl.'!D57</f>
        <v>0</v>
      </c>
      <c r="E57" s="127">
        <f>'9.mell.6.tábl.'!E57+'9.mell.7-tábl.'!E57+'9.mell.8-tábl.'!E57</f>
        <v>0</v>
      </c>
      <c r="F57" s="127">
        <f>'9.mell.6.tábl.'!F57+'9.mell.7-tábl.'!F57+'9.mell.8-tábl.'!F57</f>
        <v>0</v>
      </c>
      <c r="G57" s="333">
        <f>'9.mell.6.tábl.'!G57+'9.mell.7-tábl.'!G57+'9.mell.8-tábl.'!G57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'9.mell.6.tábl.'!C58+'9.mell.7-tábl.'!C58+'9.mell.8-tábl.'!C58</f>
        <v>0</v>
      </c>
      <c r="D58" s="127">
        <f>'9.mell.6.tábl.'!D58+'9.mell.7-tábl.'!D58+'9.mell.8-tábl.'!D58</f>
        <v>0</v>
      </c>
      <c r="E58" s="127">
        <f>'9.mell.6.tábl.'!E58+'9.mell.7-tábl.'!E58+'9.mell.8-tábl.'!E58</f>
        <v>0</v>
      </c>
      <c r="F58" s="127">
        <f>'9.mell.6.tábl.'!F58+'9.mell.7-tábl.'!F58+'9.mell.8-tábl.'!F58</f>
        <v>0</v>
      </c>
      <c r="G58" s="333">
        <f>'9.mell.6.tábl.'!G58+'9.mell.7-tábl.'!G58+'9.mell.8-tábl.'!G58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'9.mell.6.tábl.'!C59+'9.mell.7-tábl.'!C59+'9.mell.8-tábl.'!C59</f>
        <v>0</v>
      </c>
      <c r="D59" s="127">
        <f>'9.mell.6.tábl.'!D59+'9.mell.7-tábl.'!D59+'9.mell.8-tábl.'!D59</f>
        <v>0</v>
      </c>
      <c r="E59" s="127">
        <f>'9.mell.6.tábl.'!E59+'9.mell.7-tábl.'!E59+'9.mell.8-tábl.'!E59</f>
        <v>0</v>
      </c>
      <c r="F59" s="127">
        <f>'9.mell.6.tábl.'!F59+'9.mell.7-tábl.'!F59+'9.mell.8-tábl.'!F59</f>
        <v>0</v>
      </c>
      <c r="G59" s="333">
        <f>'9.mell.6.tábl.'!G59+'9.mell.7-tábl.'!G59+'9.mell.8-tábl.'!G59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'9.mell.6.tábl.'!C61+'9.mell.7-tábl.'!C61+'9.mell.8-tábl.'!C61</f>
        <v>0</v>
      </c>
      <c r="D61" s="129">
        <f>'9.mell.6.tábl.'!D61+'9.mell.7-tábl.'!D61+'9.mell.8-tábl.'!D61</f>
        <v>0</v>
      </c>
      <c r="E61" s="129">
        <f>'9.mell.6.tábl.'!E61+'9.mell.7-tábl.'!E61+'9.mell.8-tábl.'!E61</f>
        <v>0</v>
      </c>
      <c r="F61" s="129">
        <f>'9.mell.6.tábl.'!F61+'9.mell.7-tábl.'!F61+'9.mell.8-tábl.'!F61</f>
        <v>0</v>
      </c>
      <c r="G61" s="342">
        <f>'9.mell.6.tábl.'!G61+'9.mell.7-tábl.'!G61+'9.mell.8-tábl.'!G61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'9.mell.6.tábl.'!C62+'9.mell.7-tábl.'!C62+'9.mell.8-tábl.'!C62</f>
        <v>0</v>
      </c>
      <c r="D62" s="129">
        <f>'9.mell.6.tábl.'!D62+'9.mell.7-tábl.'!D62+'9.mell.8-tábl.'!D62</f>
        <v>0</v>
      </c>
      <c r="E62" s="129">
        <f>'9.mell.6.tábl.'!E62+'9.mell.7-tábl.'!E62+'9.mell.8-tábl.'!E62</f>
        <v>0</v>
      </c>
      <c r="F62" s="129">
        <f>'9.mell.6.tábl.'!F62+'9.mell.7-tábl.'!F62+'9.mell.8-tábl.'!F62</f>
        <v>0</v>
      </c>
      <c r="G62" s="342">
        <f>'9.mell.6.tábl.'!G62+'9.mell.7-tábl.'!G62+'9.mell.8-tábl.'!G62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'9.mell.6.tábl.'!C63+'9.mell.7-tábl.'!C63+'9.mell.8-tábl.'!C63</f>
        <v>0</v>
      </c>
      <c r="D63" s="129">
        <f>'9.mell.6.tábl.'!D63+'9.mell.7-tábl.'!D63+'9.mell.8-tábl.'!D63</f>
        <v>0</v>
      </c>
      <c r="E63" s="129">
        <f>'9.mell.6.tábl.'!E63+'9.mell.7-tábl.'!E63+'9.mell.8-tábl.'!E63</f>
        <v>0</v>
      </c>
      <c r="F63" s="129">
        <f>'9.mell.6.tábl.'!F63+'9.mell.7-tábl.'!F63+'9.mell.8-tábl.'!F63</f>
        <v>0</v>
      </c>
      <c r="G63" s="342">
        <f>'9.mell.6.tábl.'!G63+'9.mell.7-tábl.'!G63+'9.mell.8-tábl.'!G63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'9.mell.6.tábl.'!C64+'9.mell.7-tábl.'!C64+'9.mell.8-tábl.'!C64</f>
        <v>0</v>
      </c>
      <c r="D64" s="129">
        <f>'9.mell.6.tábl.'!D64+'9.mell.7-tábl.'!D64+'9.mell.8-tábl.'!D64</f>
        <v>0</v>
      </c>
      <c r="E64" s="129">
        <f>'9.mell.6.tábl.'!E64+'9.mell.7-tábl.'!E64+'9.mell.8-tábl.'!E64</f>
        <v>0</v>
      </c>
      <c r="F64" s="129">
        <f>'9.mell.6.tábl.'!F64+'9.mell.7-tábl.'!F64+'9.mell.8-tábl.'!F64</f>
        <v>0</v>
      </c>
      <c r="G64" s="342">
        <f>'9.mell.6.tábl.'!G64+'9.mell.7-tábl.'!G64+'9.mell.8-tábl.'!G64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'9.mell.6.tábl.'!C67+'9.mell.7-tábl.'!C67+'9.mell.8-tábl.'!C67</f>
        <v>0</v>
      </c>
      <c r="D67" s="129">
        <f>'9.mell.6.tábl.'!D67+'9.mell.7-tábl.'!D67+'9.mell.8-tábl.'!D67</f>
        <v>0</v>
      </c>
      <c r="E67" s="129">
        <f>'9.mell.6.tábl.'!E67+'9.mell.7-tábl.'!E67+'9.mell.8-tábl.'!E67</f>
        <v>0</v>
      </c>
      <c r="F67" s="129">
        <f>'9.mell.6.tábl.'!F67+'9.mell.7-tábl.'!F67+'9.mell.8-tábl.'!F67</f>
        <v>0</v>
      </c>
      <c r="G67" s="343">
        <f>'9.mell.6.tábl.'!G67+'9.mell.7-tábl.'!G67+'9.mell.8-tábl.'!G67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'9.mell.6.tábl.'!C68+'9.mell.7-tábl.'!C68+'9.mell.8-tábl.'!C68</f>
        <v>0</v>
      </c>
      <c r="D68" s="129">
        <f>'9.mell.6.tábl.'!D68+'9.mell.7-tábl.'!D68+'9.mell.8-tábl.'!D68</f>
        <v>0</v>
      </c>
      <c r="E68" s="129">
        <f>'9.mell.6.tábl.'!E68+'9.mell.7-tábl.'!E68+'9.mell.8-tábl.'!E68</f>
        <v>0</v>
      </c>
      <c r="F68" s="129">
        <f>'9.mell.6.tábl.'!F68+'9.mell.7-tábl.'!F68+'9.mell.8-tábl.'!F68</f>
        <v>0</v>
      </c>
      <c r="G68" s="342">
        <f>'9.mell.6.tábl.'!G68+'9.mell.7-tábl.'!G68+'9.mell.8-tábl.'!G68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>
        <f>'9.mell.6.tábl.'!C69+'9.mell.7-tábl.'!C69+'9.mell.8-tábl.'!C69</f>
        <v>0</v>
      </c>
      <c r="D69" s="261">
        <f>'9.mell.6.tábl.'!D69+'9.mell.7-tábl.'!D69+'9.mell.8-tábl.'!D69</f>
        <v>0</v>
      </c>
      <c r="E69" s="261">
        <f>'9.mell.6.tábl.'!E69+'9.mell.7-tábl.'!E69+'9.mell.8-tábl.'!E69</f>
        <v>0</v>
      </c>
      <c r="F69" s="261">
        <f>'9.mell.6.tábl.'!F69+'9.mell.7-tábl.'!F69+'9.mell.8-tábl.'!F69</f>
        <v>0</v>
      </c>
      <c r="G69" s="381">
        <f>'9.mell.6.tábl.'!G69+'9.mell.7-tábl.'!G69+'9.mell.8-tábl.'!G69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'9.mell.6.tábl.'!C71+'9.mell.7-tábl.'!C71+'9.mell.8-tábl.'!C71</f>
        <v>0</v>
      </c>
      <c r="D71" s="129">
        <f>'9.mell.6.tábl.'!D71+'9.mell.7-tábl.'!D71+'9.mell.8-tábl.'!D71</f>
        <v>0</v>
      </c>
      <c r="E71" s="129">
        <f>'9.mell.6.tábl.'!E71+'9.mell.7-tábl.'!E71+'9.mell.8-tábl.'!E71</f>
        <v>0</v>
      </c>
      <c r="F71" s="129">
        <f>'9.mell.6.tábl.'!F71+'9.mell.7-tábl.'!F71+'9.mell.8-tábl.'!F71</f>
        <v>0</v>
      </c>
      <c r="G71" s="342">
        <f>'9.mell.6.tábl.'!G71+'9.mell.7-tábl.'!G71+'9.mell.8-tábl.'!G71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'9.mell.6.tábl.'!C72+'9.mell.7-tábl.'!C72+'9.mell.8-tábl.'!C72</f>
        <v>0</v>
      </c>
      <c r="D72" s="129">
        <f>'9.mell.6.tábl.'!D72+'9.mell.7-tábl.'!D72+'9.mell.8-tábl.'!D72</f>
        <v>0</v>
      </c>
      <c r="E72" s="129">
        <f>'9.mell.6.tábl.'!E72+'9.mell.7-tábl.'!E72+'9.mell.8-tábl.'!E72</f>
        <v>0</v>
      </c>
      <c r="F72" s="129">
        <f>'9.mell.6.tábl.'!F72+'9.mell.7-tábl.'!F72+'9.mell.8-tábl.'!F72</f>
        <v>0</v>
      </c>
      <c r="G72" s="342">
        <f>'9.mell.6.tábl.'!G72+'9.mell.7-tábl.'!G72+'9.mell.8-tábl.'!G72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'9.mell.6.tábl.'!C73+'9.mell.7-tábl.'!C73+'9.mell.8-tábl.'!C73</f>
        <v>0</v>
      </c>
      <c r="D73" s="129">
        <f>'9.mell.6.tábl.'!D73+'9.mell.7-tábl.'!D73+'9.mell.8-tábl.'!D73</f>
        <v>0</v>
      </c>
      <c r="E73" s="129">
        <f>'9.mell.6.tábl.'!E73+'9.mell.7-tábl.'!E73+'9.mell.8-tábl.'!E73</f>
        <v>0</v>
      </c>
      <c r="F73" s="129">
        <f>'9.mell.6.tábl.'!F73+'9.mell.7-tábl.'!F73+'9.mell.8-tábl.'!F73</f>
        <v>0</v>
      </c>
      <c r="G73" s="342">
        <f>'9.mell.6.tábl.'!G73+'9.mell.7-tábl.'!G73+'9.mell.8-tábl.'!G73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'9.mell.6.tábl.'!C74+'9.mell.7-tábl.'!C74+'9.mell.8-tábl.'!C74</f>
        <v>0</v>
      </c>
      <c r="D74" s="129">
        <f>'9.mell.6.tábl.'!D74+'9.mell.7-tábl.'!D74+'9.mell.8-tábl.'!D74</f>
        <v>0</v>
      </c>
      <c r="E74" s="129">
        <f>'9.mell.6.tábl.'!E74+'9.mell.7-tábl.'!E74+'9.mell.8-tábl.'!E74</f>
        <v>0</v>
      </c>
      <c r="F74" s="129">
        <f>'9.mell.6.tábl.'!F74+'9.mell.7-tábl.'!F74+'9.mell.8-tábl.'!F74</f>
        <v>0</v>
      </c>
      <c r="G74" s="342">
        <f>'9.mell.6.tábl.'!G74+'9.mell.7-tábl.'!G74+'9.mell.8-tábl.'!G74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262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'9.mell.6.tábl.'!C76+'9.mell.7-tábl.'!C76+'9.mell.8-tábl.'!C76</f>
        <v>3528987</v>
      </c>
      <c r="D76" s="129">
        <f>'9.mell.6.tábl.'!D76+'9.mell.7-tábl.'!D76+'9.mell.8-tábl.'!D76</f>
        <v>-975615</v>
      </c>
      <c r="E76" s="129">
        <f>'9.mell.6.tábl.'!E76+'9.mell.7-tábl.'!E76+'9.mell.8-tábl.'!E76</f>
        <v>0</v>
      </c>
      <c r="F76" s="129">
        <f>'9.mell.6.tábl.'!F76+'9.mell.7-tábl.'!F76+'9.mell.8-tábl.'!F76</f>
        <v>-975615</v>
      </c>
      <c r="G76" s="342">
        <f>'9.mell.6.tábl.'!G76+'9.mell.7-tábl.'!G76+'9.mell.8-tábl.'!G76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>
        <f>'9.mell.6.tábl.'!C77+'9.mell.7-tábl.'!C77+'9.mell.8-tábl.'!C77</f>
        <v>0</v>
      </c>
      <c r="D77" s="129">
        <f>'9.mell.6.tábl.'!D77+'9.mell.7-tábl.'!D77+'9.mell.8-tábl.'!D77</f>
        <v>0</v>
      </c>
      <c r="E77" s="129">
        <f>'9.mell.6.tábl.'!E77+'9.mell.7-tábl.'!E77+'9.mell.8-tábl.'!E77</f>
        <v>0</v>
      </c>
      <c r="F77" s="129">
        <f>'9.mell.6.tábl.'!F77+'9.mell.7-tábl.'!F77+'9.mell.8-tábl.'!F77</f>
        <v>0</v>
      </c>
      <c r="G77" s="342">
        <f>'9.mell.6.tábl.'!G77+'9.mell.7-tábl.'!G77+'9.mell.8-tábl.'!G77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129">
        <f>'9.mell.6.tábl.'!C78+'9.mell.7-tábl.'!C78+'9.mell.8-tábl.'!C78</f>
        <v>82587013</v>
      </c>
      <c r="D78" s="129">
        <f>'9.mell.6.tábl.'!D78+'9.mell.7-tábl.'!D78+'9.mell.8-tábl.'!D78</f>
        <v>0</v>
      </c>
      <c r="E78" s="129">
        <f>'9.mell.6.tábl.'!E78+'9.mell.7-tábl.'!E78+'9.mell.8-tábl.'!E78</f>
        <v>0</v>
      </c>
      <c r="F78" s="129">
        <f>'9.mell.6.tábl.'!F78+'9.mell.7-tábl.'!F78+'9.mell.8-tábl.'!F78</f>
        <v>0</v>
      </c>
      <c r="G78" s="342">
        <f>'9.mell.6.tábl.'!G78+'9.mell.7-tábl.'!G78+'9.mell.8-tábl.'!G78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>
        <f>'9.mell.6.tábl.'!C80+'9.mell.7-tábl.'!C80+'9.mell.8-tábl.'!C80</f>
        <v>0</v>
      </c>
      <c r="D80" s="129">
        <f>'9.mell.6.tábl.'!D80+'9.mell.7-tábl.'!D80+'9.mell.8-tábl.'!D80</f>
        <v>0</v>
      </c>
      <c r="E80" s="129">
        <f>'9.mell.6.tábl.'!E80+'9.mell.7-tábl.'!E80+'9.mell.8-tábl.'!E80</f>
        <v>0</v>
      </c>
      <c r="F80" s="129">
        <f>'9.mell.6.tábl.'!F80+'9.mell.7-tábl.'!F80+'9.mell.8-tábl.'!F80</f>
        <v>0</v>
      </c>
      <c r="G80" s="342">
        <f>'9.mell.6.tábl.'!G80+'9.mell.7-tábl.'!G80+'9.mell.8-tábl.'!G80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>
        <f>'9.mell.6.tábl.'!C81+'9.mell.7-tábl.'!C81+'9.mell.8-tábl.'!C81</f>
        <v>0</v>
      </c>
      <c r="D81" s="129">
        <f>'9.mell.6.tábl.'!D81+'9.mell.7-tábl.'!D81+'9.mell.8-tábl.'!D81</f>
        <v>0</v>
      </c>
      <c r="E81" s="129">
        <f>'9.mell.6.tábl.'!E81+'9.mell.7-tábl.'!E81+'9.mell.8-tábl.'!E81</f>
        <v>0</v>
      </c>
      <c r="F81" s="129">
        <f>'9.mell.6.tábl.'!F81+'9.mell.7-tábl.'!F81+'9.mell.8-tábl.'!F81</f>
        <v>0</v>
      </c>
      <c r="G81" s="342">
        <f>'9.mell.6.tábl.'!G81+'9.mell.7-tábl.'!G81+'9.mell.8-tábl.'!G81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>
        <f>'9.mell.6.tábl.'!C82+'9.mell.7-tábl.'!C82+'9.mell.8-tábl.'!C82</f>
        <v>0</v>
      </c>
      <c r="D82" s="129">
        <f>'9.mell.6.tábl.'!D82+'9.mell.7-tábl.'!D82+'9.mell.8-tábl.'!D82</f>
        <v>0</v>
      </c>
      <c r="E82" s="129">
        <f>'9.mell.6.tábl.'!E82+'9.mell.7-tábl.'!E82+'9.mell.8-tábl.'!E82</f>
        <v>0</v>
      </c>
      <c r="F82" s="129">
        <f>'9.mell.6.tábl.'!F82+'9.mell.7-tábl.'!F82+'9.mell.8-tábl.'!F82</f>
        <v>0</v>
      </c>
      <c r="G82" s="342">
        <f>'9.mell.6.tábl.'!G82+'9.mell.7-tábl.'!G82+'9.mell.8-tábl.'!G82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>
        <f>'9.mell.6.tábl.'!C84+'9.mell.7-tábl.'!C84+'9.mell.8-tábl.'!C84</f>
        <v>0</v>
      </c>
      <c r="D84" s="129">
        <f>'9.mell.6.tábl.'!D84+'9.mell.7-tábl.'!D84+'9.mell.8-tábl.'!D84</f>
        <v>0</v>
      </c>
      <c r="E84" s="129">
        <f>'9.mell.6.tábl.'!E84+'9.mell.7-tábl.'!E84+'9.mell.8-tábl.'!E84</f>
        <v>0</v>
      </c>
      <c r="F84" s="129">
        <f>'9.mell.6.tábl.'!F84+'9.mell.7-tábl.'!F84+'9.mell.8-tábl.'!F84</f>
        <v>0</v>
      </c>
      <c r="G84" s="342">
        <f>'9.mell.6.tábl.'!G84+'9.mell.7-tábl.'!G84+'9.mell.8-tábl.'!G84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>
        <f>'9.mell.6.tábl.'!C85+'9.mell.7-tábl.'!C85+'9.mell.8-tábl.'!C85</f>
        <v>0</v>
      </c>
      <c r="D85" s="129">
        <f>'9.mell.6.tábl.'!D85+'9.mell.7-tábl.'!D85+'9.mell.8-tábl.'!D85</f>
        <v>0</v>
      </c>
      <c r="E85" s="129">
        <f>'9.mell.6.tábl.'!E85+'9.mell.7-tábl.'!E85+'9.mell.8-tábl.'!E85</f>
        <v>0</v>
      </c>
      <c r="F85" s="129">
        <f>'9.mell.6.tábl.'!F85+'9.mell.7-tábl.'!F85+'9.mell.8-tábl.'!F85</f>
        <v>0</v>
      </c>
      <c r="G85" s="342">
        <f>'9.mell.6.tábl.'!G85+'9.mell.7-tábl.'!G85+'9.mell.8-tábl.'!G85</f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>
        <f>'9.mell.6.tábl.'!C86+'9.mell.7-tábl.'!C86+'9.mell.8-tábl.'!C86</f>
        <v>0</v>
      </c>
      <c r="D86" s="129">
        <f>'9.mell.6.tábl.'!D86+'9.mell.7-tábl.'!D86+'9.mell.8-tábl.'!D86</f>
        <v>0</v>
      </c>
      <c r="E86" s="129">
        <f>'9.mell.6.tábl.'!E86+'9.mell.7-tábl.'!E86+'9.mell.8-tábl.'!E86</f>
        <v>0</v>
      </c>
      <c r="F86" s="129">
        <f>'9.mell.6.tábl.'!F86+'9.mell.7-tábl.'!F86+'9.mell.8-tábl.'!F86</f>
        <v>0</v>
      </c>
      <c r="G86" s="342">
        <f>'9.mell.6.tábl.'!G86+'9.mell.7-tábl.'!G86+'9.mell.8-tábl.'!G86</f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>
        <f>'9.mell.6.tábl.'!C87+'9.mell.7-tábl.'!C87+'9.mell.8-tábl.'!C87</f>
        <v>0</v>
      </c>
      <c r="D87" s="129">
        <f>'9.mell.6.tábl.'!D87+'9.mell.7-tábl.'!D87+'9.mell.8-tábl.'!D87</f>
        <v>0</v>
      </c>
      <c r="E87" s="129">
        <f>'9.mell.6.tábl.'!E87+'9.mell.7-tábl.'!E87+'9.mell.8-tábl.'!E87</f>
        <v>0</v>
      </c>
      <c r="F87" s="129">
        <f>'9.mell.6.tábl.'!F87+'9.mell.7-tábl.'!F87+'9.mell.8-tábl.'!F87</f>
        <v>0</v>
      </c>
      <c r="G87" s="342">
        <f>'9.mell.6.tábl.'!G87+'9.mell.7-tábl.'!G87+'9.mell.8-tábl.'!G87</f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>D89+E89</f>
        <v>0</v>
      </c>
      <c r="G89" s="262">
        <f>C89+F89</f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85774000</v>
      </c>
      <c r="D93" s="270">
        <f>+D94+D95+D96+D97+D98+D111</f>
        <v>-1103885</v>
      </c>
      <c r="E93" s="124">
        <f>+E94+E95+E96+E97+E98+E111</f>
        <v>0</v>
      </c>
      <c r="F93" s="124">
        <f>+F94+F95+F96+F97+F98+F111</f>
        <v>-1103885</v>
      </c>
      <c r="G93" s="274">
        <f>+G94+G95+G96+G97+G98+G111</f>
        <v>84670115</v>
      </c>
    </row>
    <row r="94" spans="1:7" ht="12" customHeight="1" x14ac:dyDescent="0.2">
      <c r="A94" s="162" t="s">
        <v>59</v>
      </c>
      <c r="B94" s="5" t="s">
        <v>34</v>
      </c>
      <c r="C94" s="348">
        <f>'9.mell.6.tábl.'!C94+'9.mell.7-tábl.'!C94+'9.mell.8-tábl.'!C94</f>
        <v>64102000</v>
      </c>
      <c r="D94" s="184">
        <f>'9.mell.6.tábl.'!D94+'9.mell.7-tábl.'!D94+'9.mell.8-tábl.'!D94</f>
        <v>308000</v>
      </c>
      <c r="E94" s="184">
        <f>'9.mell.6.tábl.'!E94+'9.mell.7-tábl.'!E94+'9.mell.8-tábl.'!E94</f>
        <v>0</v>
      </c>
      <c r="F94" s="184">
        <f>'9.mell.6.tábl.'!F94+'9.mell.7-tábl.'!F94+'9.mell.8-tábl.'!F94</f>
        <v>308000</v>
      </c>
      <c r="G94" s="330">
        <f>'9.mell.6.tábl.'!G94+'9.mell.7-tábl.'!G94+'9.mell.8-tábl.'!G94</f>
        <v>64410000</v>
      </c>
    </row>
    <row r="95" spans="1:7" ht="12" customHeight="1" x14ac:dyDescent="0.2">
      <c r="A95" s="155" t="s">
        <v>60</v>
      </c>
      <c r="B95" s="3" t="s">
        <v>103</v>
      </c>
      <c r="C95" s="194">
        <f>'9.mell.6.tábl.'!C95+'9.mell.7-tábl.'!C95+'9.mell.8-tábl.'!C95</f>
        <v>11581000</v>
      </c>
      <c r="D95" s="126">
        <f>'9.mell.6.tábl.'!D95+'9.mell.7-tábl.'!D95+'9.mell.8-tábl.'!D95</f>
        <v>-1108000</v>
      </c>
      <c r="E95" s="126">
        <f>'9.mell.6.tábl.'!E95+'9.mell.7-tábl.'!E95+'9.mell.8-tábl.'!E95</f>
        <v>0</v>
      </c>
      <c r="F95" s="126">
        <f>'9.mell.6.tábl.'!F95+'9.mell.7-tábl.'!F95+'9.mell.8-tábl.'!F95</f>
        <v>-1108000</v>
      </c>
      <c r="G95" s="331">
        <f>'9.mell.6.tábl.'!G95+'9.mell.7-tábl.'!G95+'9.mell.8-tábl.'!G95</f>
        <v>10473000</v>
      </c>
    </row>
    <row r="96" spans="1:7" ht="12" customHeight="1" x14ac:dyDescent="0.2">
      <c r="A96" s="155" t="s">
        <v>61</v>
      </c>
      <c r="B96" s="3" t="s">
        <v>78</v>
      </c>
      <c r="C96" s="194">
        <f>'9.mell.6.tábl.'!C96+'9.mell.7-tábl.'!C96+'9.mell.8-tábl.'!C96</f>
        <v>10091000</v>
      </c>
      <c r="D96" s="126">
        <f>'9.mell.6.tábl.'!D96+'9.mell.7-tábl.'!D96+'9.mell.8-tábl.'!D96</f>
        <v>-303885</v>
      </c>
      <c r="E96" s="126">
        <f>'9.mell.6.tábl.'!E96+'9.mell.7-tábl.'!E96+'9.mell.8-tábl.'!E96</f>
        <v>0</v>
      </c>
      <c r="F96" s="126">
        <f>'9.mell.6.tábl.'!F96+'9.mell.7-tábl.'!F96+'9.mell.8-tábl.'!F96</f>
        <v>-303885</v>
      </c>
      <c r="G96" s="331">
        <f>'9.mell.6.tábl.'!G96+'9.mell.7-tábl.'!G96+'9.mell.8-tábl.'!G96</f>
        <v>9787115</v>
      </c>
    </row>
    <row r="97" spans="1:7" ht="12" customHeight="1" x14ac:dyDescent="0.2">
      <c r="A97" s="155" t="s">
        <v>62</v>
      </c>
      <c r="B97" s="3" t="s">
        <v>104</v>
      </c>
      <c r="C97" s="194">
        <f>'9.mell.6.tábl.'!C97+'9.mell.7-tábl.'!C97+'9.mell.8-tábl.'!C97</f>
        <v>0</v>
      </c>
      <c r="D97" s="126">
        <f>'9.mell.6.tábl.'!D97+'9.mell.7-tábl.'!D97+'9.mell.8-tábl.'!D97</f>
        <v>0</v>
      </c>
      <c r="E97" s="126">
        <f>'9.mell.6.tábl.'!E97+'9.mell.7-tábl.'!E97+'9.mell.8-tábl.'!E97</f>
        <v>0</v>
      </c>
      <c r="F97" s="126">
        <f>'9.mell.6.tábl.'!F97+'9.mell.7-tábl.'!F97+'9.mell.8-tábl.'!F97</f>
        <v>0</v>
      </c>
      <c r="G97" s="331">
        <f>'9.mell.6.tábl.'!G97+'9.mell.7-tábl.'!G97+'9.mell.8-tábl.'!G97</f>
        <v>0</v>
      </c>
    </row>
    <row r="98" spans="1:7" ht="12" customHeight="1" x14ac:dyDescent="0.2">
      <c r="A98" s="155" t="s">
        <v>70</v>
      </c>
      <c r="B98" s="2" t="s">
        <v>105</v>
      </c>
      <c r="C98" s="194">
        <f>'9.mell.6.tábl.'!C98+'9.mell.7-tábl.'!C98+'9.mell.8-tábl.'!C98</f>
        <v>0</v>
      </c>
      <c r="D98" s="126">
        <f>'9.mell.6.tábl.'!D98+'9.mell.7-tábl.'!D98+'9.mell.8-tábl.'!D98</f>
        <v>0</v>
      </c>
      <c r="E98" s="126">
        <f>'9.mell.6.tábl.'!E98+'9.mell.7-tábl.'!E98+'9.mell.8-tábl.'!E98</f>
        <v>0</v>
      </c>
      <c r="F98" s="126">
        <f>'9.mell.6.tábl.'!F98+'9.mell.7-tábl.'!F98+'9.mell.8-tábl.'!F98</f>
        <v>0</v>
      </c>
      <c r="G98" s="331">
        <f>'9.mell.6.tábl.'!G98+'9.mell.7-tábl.'!G98+'9.mell.8-tábl.'!G98</f>
        <v>0</v>
      </c>
    </row>
    <row r="99" spans="1:7" ht="12" customHeight="1" x14ac:dyDescent="0.2">
      <c r="A99" s="155" t="s">
        <v>63</v>
      </c>
      <c r="B99" s="3" t="s">
        <v>363</v>
      </c>
      <c r="C99" s="194">
        <f>'9.mell.6.tábl.'!C99+'9.mell.7-tábl.'!C99+'9.mell.8-tábl.'!C99</f>
        <v>0</v>
      </c>
      <c r="D99" s="126">
        <f>'9.mell.6.tábl.'!D99+'9.mell.7-tábl.'!D99+'9.mell.8-tábl.'!D99</f>
        <v>0</v>
      </c>
      <c r="E99" s="126">
        <f>'9.mell.6.tábl.'!E99+'9.mell.7-tábl.'!E99+'9.mell.8-tábl.'!E99</f>
        <v>0</v>
      </c>
      <c r="F99" s="126">
        <f>'9.mell.6.tábl.'!F99+'9.mell.7-tábl.'!F99+'9.mell.8-tábl.'!F99</f>
        <v>0</v>
      </c>
      <c r="G99" s="331">
        <f>'9.mell.6.tábl.'!G99+'9.mell.7-tábl.'!G99+'9.mell.8-tábl.'!G99</f>
        <v>0</v>
      </c>
    </row>
    <row r="100" spans="1:7" ht="12" customHeight="1" x14ac:dyDescent="0.2">
      <c r="A100" s="155" t="s">
        <v>64</v>
      </c>
      <c r="B100" s="48" t="s">
        <v>304</v>
      </c>
      <c r="C100" s="194">
        <f>'9.mell.6.tábl.'!C100+'9.mell.7-tábl.'!C100+'9.mell.8-tábl.'!C100</f>
        <v>0</v>
      </c>
      <c r="D100" s="126">
        <f>'9.mell.6.tábl.'!D100+'9.mell.7-tábl.'!D100+'9.mell.8-tábl.'!D100</f>
        <v>0</v>
      </c>
      <c r="E100" s="126">
        <f>'9.mell.6.tábl.'!E100+'9.mell.7-tábl.'!E100+'9.mell.8-tábl.'!E100</f>
        <v>0</v>
      </c>
      <c r="F100" s="126">
        <f>'9.mell.6.tábl.'!F100+'9.mell.7-tábl.'!F100+'9.mell.8-tábl.'!F100</f>
        <v>0</v>
      </c>
      <c r="G100" s="331">
        <f>'9.mell.6.tábl.'!G100+'9.mell.7-tábl.'!G100+'9.mell.8-tábl.'!G100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'9.mell.6.tábl.'!C101+'9.mell.7-tábl.'!C101+'9.mell.8-tábl.'!C101</f>
        <v>0</v>
      </c>
      <c r="D101" s="126">
        <f>'9.mell.6.tábl.'!D101+'9.mell.7-tábl.'!D101+'9.mell.8-tábl.'!D101</f>
        <v>0</v>
      </c>
      <c r="E101" s="126">
        <f>'9.mell.6.tábl.'!E101+'9.mell.7-tábl.'!E101+'9.mell.8-tábl.'!E101</f>
        <v>0</v>
      </c>
      <c r="F101" s="126">
        <f>'9.mell.6.tábl.'!F101+'9.mell.7-tábl.'!F101+'9.mell.8-tábl.'!F101</f>
        <v>0</v>
      </c>
      <c r="G101" s="331">
        <f>'9.mell.6.tábl.'!G101+'9.mell.7-tábl.'!G101+'9.mell.8-tábl.'!G101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'9.mell.6.tábl.'!C102+'9.mell.7-tábl.'!C102+'9.mell.8-tábl.'!C102</f>
        <v>0</v>
      </c>
      <c r="D102" s="126">
        <f>'9.mell.6.tábl.'!D102+'9.mell.7-tábl.'!D102+'9.mell.8-tábl.'!D102</f>
        <v>0</v>
      </c>
      <c r="E102" s="126">
        <f>'9.mell.6.tábl.'!E102+'9.mell.7-tábl.'!E102+'9.mell.8-tábl.'!E102</f>
        <v>0</v>
      </c>
      <c r="F102" s="126">
        <f>'9.mell.6.tábl.'!F102+'9.mell.7-tábl.'!F102+'9.mell.8-tábl.'!F102</f>
        <v>0</v>
      </c>
      <c r="G102" s="331">
        <f>'9.mell.6.tábl.'!G102+'9.mell.7-tábl.'!G102+'9.mell.8-tábl.'!G102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'9.mell.6.tábl.'!C103+'9.mell.7-tábl.'!C103+'9.mell.8-tábl.'!C103</f>
        <v>0</v>
      </c>
      <c r="D103" s="126">
        <f>'9.mell.6.tábl.'!D103+'9.mell.7-tábl.'!D103+'9.mell.8-tábl.'!D103</f>
        <v>0</v>
      </c>
      <c r="E103" s="126">
        <f>'9.mell.6.tábl.'!E103+'9.mell.7-tábl.'!E103+'9.mell.8-tábl.'!E103</f>
        <v>0</v>
      </c>
      <c r="F103" s="126">
        <f>'9.mell.6.tábl.'!F103+'9.mell.7-tábl.'!F103+'9.mell.8-tábl.'!F103</f>
        <v>0</v>
      </c>
      <c r="G103" s="331">
        <f>'9.mell.6.tábl.'!G103+'9.mell.7-tábl.'!G103+'9.mell.8-tábl.'!G103</f>
        <v>0</v>
      </c>
    </row>
    <row r="104" spans="1:7" ht="22.5" x14ac:dyDescent="0.2">
      <c r="A104" s="155" t="s">
        <v>74</v>
      </c>
      <c r="B104" s="49" t="s">
        <v>239</v>
      </c>
      <c r="C104" s="194">
        <f>'9.mell.6.tábl.'!C104+'9.mell.7-tábl.'!C104+'9.mell.8-tábl.'!C104</f>
        <v>0</v>
      </c>
      <c r="D104" s="126">
        <f>'9.mell.6.tábl.'!D104+'9.mell.7-tábl.'!D104+'9.mell.8-tábl.'!D104</f>
        <v>0</v>
      </c>
      <c r="E104" s="126">
        <f>'9.mell.6.tábl.'!E104+'9.mell.7-tábl.'!E104+'9.mell.8-tábl.'!E104</f>
        <v>0</v>
      </c>
      <c r="F104" s="126">
        <f>'9.mell.6.tábl.'!F104+'9.mell.7-tábl.'!F104+'9.mell.8-tábl.'!F104</f>
        <v>0</v>
      </c>
      <c r="G104" s="331">
        <f>'9.mell.6.tábl.'!G104+'9.mell.7-tábl.'!G104+'9.mell.8-tábl.'!G104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'9.mell.6.tábl.'!C105+'9.mell.7-tábl.'!C105+'9.mell.8-tábl.'!C105</f>
        <v>0</v>
      </c>
      <c r="D105" s="126">
        <f>'9.mell.6.tábl.'!D105+'9.mell.7-tábl.'!D105+'9.mell.8-tábl.'!D105</f>
        <v>0</v>
      </c>
      <c r="E105" s="126">
        <f>'9.mell.6.tábl.'!E105+'9.mell.7-tábl.'!E105+'9.mell.8-tábl.'!E105</f>
        <v>0</v>
      </c>
      <c r="F105" s="126">
        <f>'9.mell.6.tábl.'!F105+'9.mell.7-tábl.'!F105+'9.mell.8-tábl.'!F105</f>
        <v>0</v>
      </c>
      <c r="G105" s="331">
        <f>'9.mell.6.tábl.'!G105+'9.mell.7-tábl.'!G105+'9.mell.8-tábl.'!G105</f>
        <v>0</v>
      </c>
    </row>
    <row r="106" spans="1:7" ht="12" customHeight="1" x14ac:dyDescent="0.2">
      <c r="A106" s="155" t="s">
        <v>106</v>
      </c>
      <c r="B106" s="48" t="s">
        <v>241</v>
      </c>
      <c r="C106" s="194">
        <f>'9.mell.6.tábl.'!C106+'9.mell.7-tábl.'!C106+'9.mell.8-tábl.'!C106</f>
        <v>0</v>
      </c>
      <c r="D106" s="126">
        <f>'9.mell.6.tábl.'!D106+'9.mell.7-tábl.'!D106+'9.mell.8-tábl.'!D106</f>
        <v>0</v>
      </c>
      <c r="E106" s="126">
        <f>'9.mell.6.tábl.'!E106+'9.mell.7-tábl.'!E106+'9.mell.8-tábl.'!E106</f>
        <v>0</v>
      </c>
      <c r="F106" s="126">
        <f>'9.mell.6.tábl.'!F106+'9.mell.7-tábl.'!F106+'9.mell.8-tábl.'!F106</f>
        <v>0</v>
      </c>
      <c r="G106" s="331">
        <f>'9.mell.6.tábl.'!G106+'9.mell.7-tábl.'!G106+'9.mell.8-tábl.'!G106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'9.mell.6.tábl.'!C107+'9.mell.7-tábl.'!C107+'9.mell.8-tábl.'!C107</f>
        <v>0</v>
      </c>
      <c r="D107" s="126">
        <f>'9.mell.6.tábl.'!D107+'9.mell.7-tábl.'!D107+'9.mell.8-tábl.'!D107</f>
        <v>0</v>
      </c>
      <c r="E107" s="126">
        <f>'9.mell.6.tábl.'!E107+'9.mell.7-tábl.'!E107+'9.mell.8-tábl.'!E107</f>
        <v>0</v>
      </c>
      <c r="F107" s="126">
        <f>'9.mell.6.tábl.'!F107+'9.mell.7-tábl.'!F107+'9.mell.8-tábl.'!F107</f>
        <v>0</v>
      </c>
      <c r="G107" s="331">
        <f>'9.mell.6.tábl.'!G107+'9.mell.7-tábl.'!G107+'9.mell.8-tábl.'!G107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'9.mell.6.tábl.'!C108+'9.mell.7-tábl.'!C108+'9.mell.8-tábl.'!C108</f>
        <v>0</v>
      </c>
      <c r="D108" s="126">
        <f>'9.mell.6.tábl.'!D108+'9.mell.7-tábl.'!D108+'9.mell.8-tábl.'!D108</f>
        <v>0</v>
      </c>
      <c r="E108" s="126">
        <f>'9.mell.6.tábl.'!E108+'9.mell.7-tábl.'!E108+'9.mell.8-tábl.'!E108</f>
        <v>0</v>
      </c>
      <c r="F108" s="126">
        <f>'9.mell.6.tábl.'!F108+'9.mell.7-tábl.'!F108+'9.mell.8-tábl.'!F108</f>
        <v>0</v>
      </c>
      <c r="G108" s="331">
        <f>'9.mell.6.tábl.'!G108+'9.mell.7-tábl.'!G108+'9.mell.8-tábl.'!G108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'9.mell.6.tábl.'!C109+'9.mell.7-tábl.'!C109+'9.mell.8-tábl.'!C109</f>
        <v>0</v>
      </c>
      <c r="D109" s="126">
        <f>'9.mell.6.tábl.'!D109+'9.mell.7-tábl.'!D109+'9.mell.8-tábl.'!D109</f>
        <v>0</v>
      </c>
      <c r="E109" s="126">
        <f>'9.mell.6.tábl.'!E109+'9.mell.7-tábl.'!E109+'9.mell.8-tábl.'!E109</f>
        <v>0</v>
      </c>
      <c r="F109" s="126">
        <f>'9.mell.6.tábl.'!F109+'9.mell.7-tábl.'!F109+'9.mell.8-tábl.'!F109</f>
        <v>0</v>
      </c>
      <c r="G109" s="331">
        <f>'9.mell.6.tábl.'!G109+'9.mell.7-tábl.'!G109+'9.mell.8-tábl.'!G109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'9.mell.6.tábl.'!C110+'9.mell.7-tábl.'!C110+'9.mell.8-tábl.'!C110</f>
        <v>0</v>
      </c>
      <c r="D110" s="126">
        <f>'9.mell.6.tábl.'!D110+'9.mell.7-tábl.'!D110+'9.mell.8-tábl.'!D110</f>
        <v>0</v>
      </c>
      <c r="E110" s="126">
        <f>'9.mell.6.tábl.'!E110+'9.mell.7-tábl.'!E110+'9.mell.8-tábl.'!E110</f>
        <v>0</v>
      </c>
      <c r="F110" s="126">
        <f>'9.mell.6.tábl.'!F110+'9.mell.7-tábl.'!F110+'9.mell.8-tábl.'!F110</f>
        <v>0</v>
      </c>
      <c r="G110" s="331">
        <f>'9.mell.6.tábl.'!G110+'9.mell.7-tábl.'!G110+'9.mell.8-tábl.'!G110</f>
        <v>0</v>
      </c>
    </row>
    <row r="111" spans="1:7" ht="12" customHeight="1" x14ac:dyDescent="0.2">
      <c r="A111" s="155" t="s">
        <v>306</v>
      </c>
      <c r="B111" s="3" t="s">
        <v>35</v>
      </c>
      <c r="C111" s="194">
        <f>'9.mell.6.tábl.'!C111+'9.mell.7-tábl.'!C111+'9.mell.8-tábl.'!C111</f>
        <v>0</v>
      </c>
      <c r="D111" s="126">
        <f>'9.mell.6.tábl.'!D111+'9.mell.7-tábl.'!D111+'9.mell.8-tábl.'!D111</f>
        <v>0</v>
      </c>
      <c r="E111" s="126">
        <f>'9.mell.6.tábl.'!E111+'9.mell.7-tábl.'!E111+'9.mell.8-tábl.'!E111</f>
        <v>0</v>
      </c>
      <c r="F111" s="126">
        <f>'9.mell.6.tábl.'!F111+'9.mell.7-tábl.'!F111+'9.mell.8-tábl.'!F111</f>
        <v>0</v>
      </c>
      <c r="G111" s="331">
        <f>'9.mell.6.tábl.'!G111+'9.mell.7-tábl.'!G111+'9.mell.8-tábl.'!G111</f>
        <v>0</v>
      </c>
    </row>
    <row r="112" spans="1:7" ht="12" customHeight="1" x14ac:dyDescent="0.2">
      <c r="A112" s="156" t="s">
        <v>307</v>
      </c>
      <c r="B112" s="3" t="s">
        <v>364</v>
      </c>
      <c r="C112" s="194">
        <f>'9.mell.6.tábl.'!C112+'9.mell.7-tábl.'!C112+'9.mell.8-tábl.'!C112</f>
        <v>0</v>
      </c>
      <c r="D112" s="126">
        <f>'9.mell.6.tábl.'!D112+'9.mell.7-tábl.'!D112+'9.mell.8-tábl.'!D112</f>
        <v>0</v>
      </c>
      <c r="E112" s="126">
        <f>'9.mell.6.tábl.'!E112+'9.mell.7-tábl.'!E112+'9.mell.8-tábl.'!E112</f>
        <v>0</v>
      </c>
      <c r="F112" s="126">
        <f>'9.mell.6.tábl.'!F112+'9.mell.7-tábl.'!F112+'9.mell.8-tábl.'!F112</f>
        <v>0</v>
      </c>
      <c r="G112" s="331">
        <f>'9.mell.6.tábl.'!G112+'9.mell.7-tábl.'!G112+'9.mell.8-tábl.'!G112</f>
        <v>0</v>
      </c>
    </row>
    <row r="113" spans="1:7" ht="12" customHeight="1" thickBot="1" x14ac:dyDescent="0.25">
      <c r="A113" s="164" t="s">
        <v>308</v>
      </c>
      <c r="B113" s="51" t="s">
        <v>365</v>
      </c>
      <c r="C113" s="349">
        <f>'9.mell.6.tábl.'!C113+'9.mell.7-tábl.'!C113+'9.mell.8-tábl.'!C113</f>
        <v>0</v>
      </c>
      <c r="D113" s="185">
        <f>'9.mell.6.tábl.'!D113+'9.mell.7-tábl.'!D113+'9.mell.8-tábl.'!D113</f>
        <v>0</v>
      </c>
      <c r="E113" s="185">
        <f>'9.mell.6.tábl.'!E113+'9.mell.7-tábl.'!E113+'9.mell.8-tábl.'!E113</f>
        <v>0</v>
      </c>
      <c r="F113" s="185">
        <f>'9.mell.6.tábl.'!F113+'9.mell.7-tábl.'!F113+'9.mell.8-tábl.'!F113</f>
        <v>0</v>
      </c>
      <c r="G113" s="332">
        <f>'9.mell.6.tábl.'!G113+'9.mell.7-tábl.'!G113+'9.mell.8-tábl.'!G113</f>
        <v>0</v>
      </c>
    </row>
    <row r="114" spans="1:7" ht="12" customHeight="1" thickBot="1" x14ac:dyDescent="0.25">
      <c r="A114" s="21" t="s">
        <v>6</v>
      </c>
      <c r="B114" s="19" t="s">
        <v>246</v>
      </c>
      <c r="C114" s="186">
        <f>+C115+C117+C119</f>
        <v>344000</v>
      </c>
      <c r="D114" s="346">
        <f>+D115+D117+D119</f>
        <v>128270</v>
      </c>
      <c r="E114" s="186">
        <f>+E115+E117+E119</f>
        <v>0</v>
      </c>
      <c r="F114" s="186">
        <f>+F115+F117+F119</f>
        <v>128270</v>
      </c>
      <c r="G114" s="347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f>'9.mell.6.tábl.'!C115+'9.mell.7-tábl.'!C115+'9.mell.8-tábl.'!C115</f>
        <v>344000</v>
      </c>
      <c r="D115" s="127">
        <f>'9.mell.6.tábl.'!D115+'9.mell.7-tábl.'!D115+'9.mell.8-tábl.'!D115</f>
        <v>128270</v>
      </c>
      <c r="E115" s="127">
        <f>'9.mell.6.tábl.'!E115+'9.mell.7-tábl.'!E115+'9.mell.8-tábl.'!E115</f>
        <v>0</v>
      </c>
      <c r="F115" s="127">
        <f>'9.mell.6.tábl.'!F115+'9.mell.7-tábl.'!F115+'9.mell.8-tábl.'!F115</f>
        <v>128270</v>
      </c>
      <c r="G115" s="333">
        <f>'9.mell.6.tábl.'!G115+'9.mell.7-tábl.'!G115+'9.mell.8-tábl.'!G115</f>
        <v>472270</v>
      </c>
    </row>
    <row r="116" spans="1:7" ht="12" customHeight="1" x14ac:dyDescent="0.2">
      <c r="A116" s="154" t="s">
        <v>66</v>
      </c>
      <c r="B116" s="7" t="s">
        <v>250</v>
      </c>
      <c r="C116" s="127">
        <f>'9.mell.6.tábl.'!C116+'9.mell.7-tábl.'!C116+'9.mell.8-tábl.'!C116</f>
        <v>0</v>
      </c>
      <c r="D116" s="127">
        <f>'9.mell.6.tábl.'!D116+'9.mell.7-tábl.'!D116+'9.mell.8-tábl.'!D116</f>
        <v>0</v>
      </c>
      <c r="E116" s="127">
        <f>'9.mell.6.tábl.'!E116+'9.mell.7-tábl.'!E116+'9.mell.8-tábl.'!E116</f>
        <v>0</v>
      </c>
      <c r="F116" s="127">
        <f>'9.mell.6.tábl.'!F116+'9.mell.7-tábl.'!F116+'9.mell.8-tábl.'!F116</f>
        <v>0</v>
      </c>
      <c r="G116" s="331">
        <f>'9.mell.6.tábl.'!G116+'9.mell.7-tábl.'!G116+'9.mell.8-tábl.'!G116</f>
        <v>0</v>
      </c>
    </row>
    <row r="117" spans="1:7" ht="12" customHeight="1" x14ac:dyDescent="0.2">
      <c r="A117" s="154" t="s">
        <v>67</v>
      </c>
      <c r="B117" s="7" t="s">
        <v>107</v>
      </c>
      <c r="C117" s="127">
        <f>'9.mell.6.tábl.'!C117+'9.mell.7-tábl.'!C117+'9.mell.8-tábl.'!C117</f>
        <v>0</v>
      </c>
      <c r="D117" s="127">
        <f>'9.mell.6.tábl.'!D117+'9.mell.7-tábl.'!D117+'9.mell.8-tábl.'!D117</f>
        <v>0</v>
      </c>
      <c r="E117" s="127">
        <f>'9.mell.6.tábl.'!E117+'9.mell.7-tábl.'!E117+'9.mell.8-tábl.'!E117</f>
        <v>0</v>
      </c>
      <c r="F117" s="127">
        <f>'9.mell.6.tábl.'!F117+'9.mell.7-tábl.'!F117+'9.mell.8-tábl.'!F117</f>
        <v>0</v>
      </c>
      <c r="G117" s="333">
        <f>'9.mell.6.tábl.'!G117+'9.mell.7-tábl.'!G117+'9.mell.8-tábl.'!G117</f>
        <v>0</v>
      </c>
    </row>
    <row r="118" spans="1:7" ht="12" customHeight="1" x14ac:dyDescent="0.2">
      <c r="A118" s="154" t="s">
        <v>68</v>
      </c>
      <c r="B118" s="7" t="s">
        <v>251</v>
      </c>
      <c r="C118" s="127">
        <f>'9.mell.6.tábl.'!C118+'9.mell.7-tábl.'!C118+'9.mell.8-tábl.'!C118</f>
        <v>0</v>
      </c>
      <c r="D118" s="127">
        <f>'9.mell.6.tábl.'!D118+'9.mell.7-tábl.'!D118+'9.mell.8-tábl.'!D118</f>
        <v>0</v>
      </c>
      <c r="E118" s="127">
        <f>'9.mell.6.tábl.'!E118+'9.mell.7-tábl.'!E118+'9.mell.8-tábl.'!E118</f>
        <v>0</v>
      </c>
      <c r="F118" s="127">
        <f>'9.mell.6.tábl.'!F118+'9.mell.7-tábl.'!F118+'9.mell.8-tábl.'!F118</f>
        <v>0</v>
      </c>
      <c r="G118" s="333">
        <f>'9.mell.6.tábl.'!G118+'9.mell.7-tábl.'!G118+'9.mell.8-tábl.'!G118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'9.mell.6.tábl.'!C119+'9.mell.7-tábl.'!C119+'9.mell.8-tábl.'!C119</f>
        <v>0</v>
      </c>
      <c r="D119" s="127">
        <f>'9.mell.6.tábl.'!D119+'9.mell.7-tábl.'!D119+'9.mell.8-tábl.'!D119</f>
        <v>0</v>
      </c>
      <c r="E119" s="127">
        <f>'9.mell.6.tábl.'!E119+'9.mell.7-tábl.'!E119+'9.mell.8-tábl.'!E119</f>
        <v>0</v>
      </c>
      <c r="F119" s="127">
        <f>'9.mell.6.tábl.'!F119+'9.mell.7-tábl.'!F119+'9.mell.8-tábl.'!F119</f>
        <v>0</v>
      </c>
      <c r="G119" s="333">
        <f>'9.mell.6.tábl.'!G119+'9.mell.7-tábl.'!G119+'9.mell.8-tábl.'!G119</f>
        <v>0</v>
      </c>
    </row>
    <row r="120" spans="1:7" ht="12" customHeight="1" x14ac:dyDescent="0.2">
      <c r="A120" s="154" t="s">
        <v>75</v>
      </c>
      <c r="B120" s="72" t="s">
        <v>294</v>
      </c>
      <c r="C120" s="127">
        <f>'9.mell.6.tábl.'!C120+'9.mell.7-tábl.'!C120+'9.mell.8-tábl.'!C120</f>
        <v>0</v>
      </c>
      <c r="D120" s="127">
        <f>'9.mell.6.tábl.'!D120+'9.mell.7-tábl.'!D120+'9.mell.8-tábl.'!D120</f>
        <v>0</v>
      </c>
      <c r="E120" s="127">
        <f>'9.mell.6.tábl.'!E120+'9.mell.7-tábl.'!E120+'9.mell.8-tábl.'!E120</f>
        <v>0</v>
      </c>
      <c r="F120" s="127">
        <f>'9.mell.6.tábl.'!F120+'9.mell.7-tábl.'!F120+'9.mell.8-tábl.'!F120</f>
        <v>0</v>
      </c>
      <c r="G120" s="333">
        <f>'9.mell.6.tábl.'!G120+'9.mell.7-tábl.'!G120+'9.mell.8-tábl.'!G120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'9.mell.6.tábl.'!C121+'9.mell.7-tábl.'!C121+'9.mell.8-tábl.'!C121</f>
        <v>0</v>
      </c>
      <c r="D121" s="127">
        <f>'9.mell.6.tábl.'!D121+'9.mell.7-tábl.'!D121+'9.mell.8-tábl.'!D121</f>
        <v>0</v>
      </c>
      <c r="E121" s="127">
        <f>'9.mell.6.tábl.'!E121+'9.mell.7-tábl.'!E121+'9.mell.8-tábl.'!E121</f>
        <v>0</v>
      </c>
      <c r="F121" s="127">
        <f>'9.mell.6.tábl.'!F121+'9.mell.7-tábl.'!F121+'9.mell.8-tábl.'!F121</f>
        <v>0</v>
      </c>
      <c r="G121" s="333">
        <f>'9.mell.6.tábl.'!G121+'9.mell.7-tábl.'!G121+'9.mell.8-tábl.'!G121</f>
        <v>0</v>
      </c>
    </row>
    <row r="122" spans="1:7" ht="22.5" x14ac:dyDescent="0.2">
      <c r="A122" s="154" t="s">
        <v>108</v>
      </c>
      <c r="B122" s="49" t="s">
        <v>239</v>
      </c>
      <c r="C122" s="127">
        <f>'9.mell.6.tábl.'!C122+'9.mell.7-tábl.'!C122+'9.mell.8-tábl.'!C122</f>
        <v>0</v>
      </c>
      <c r="D122" s="127">
        <f>'9.mell.6.tábl.'!D122+'9.mell.7-tábl.'!D122+'9.mell.8-tábl.'!D122</f>
        <v>0</v>
      </c>
      <c r="E122" s="127">
        <f>'9.mell.6.tábl.'!E122+'9.mell.7-tábl.'!E122+'9.mell.8-tábl.'!E122</f>
        <v>0</v>
      </c>
      <c r="F122" s="127">
        <f>'9.mell.6.tábl.'!F122+'9.mell.7-tábl.'!F122+'9.mell.8-tábl.'!F122</f>
        <v>0</v>
      </c>
      <c r="G122" s="333">
        <f>'9.mell.6.tábl.'!G122+'9.mell.7-tábl.'!G122+'9.mell.8-tábl.'!G122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'9.mell.6.tábl.'!C123+'9.mell.7-tábl.'!C123+'9.mell.8-tábl.'!C123</f>
        <v>0</v>
      </c>
      <c r="D123" s="127">
        <f>'9.mell.6.tábl.'!D123+'9.mell.7-tábl.'!D123+'9.mell.8-tábl.'!D123</f>
        <v>0</v>
      </c>
      <c r="E123" s="127">
        <f>'9.mell.6.tábl.'!E123+'9.mell.7-tábl.'!E123+'9.mell.8-tábl.'!E123</f>
        <v>0</v>
      </c>
      <c r="F123" s="127">
        <f>'9.mell.6.tábl.'!F123+'9.mell.7-tábl.'!F123+'9.mell.8-tábl.'!F123</f>
        <v>0</v>
      </c>
      <c r="G123" s="333">
        <f>'9.mell.6.tábl.'!G123+'9.mell.7-tábl.'!G123+'9.mell.8-tábl.'!G123</f>
        <v>0</v>
      </c>
    </row>
    <row r="124" spans="1:7" ht="12" customHeight="1" x14ac:dyDescent="0.2">
      <c r="A124" s="154" t="s">
        <v>110</v>
      </c>
      <c r="B124" s="49" t="s">
        <v>254</v>
      </c>
      <c r="C124" s="127">
        <f>'9.mell.6.tábl.'!C124+'9.mell.7-tábl.'!C124+'9.mell.8-tábl.'!C124</f>
        <v>0</v>
      </c>
      <c r="D124" s="127">
        <f>'9.mell.6.tábl.'!D124+'9.mell.7-tábl.'!D124+'9.mell.8-tábl.'!D124</f>
        <v>0</v>
      </c>
      <c r="E124" s="127">
        <f>'9.mell.6.tábl.'!E124+'9.mell.7-tábl.'!E124+'9.mell.8-tábl.'!E124</f>
        <v>0</v>
      </c>
      <c r="F124" s="127">
        <f>'9.mell.6.tábl.'!F124+'9.mell.7-tábl.'!F124+'9.mell.8-tábl.'!F124</f>
        <v>0</v>
      </c>
      <c r="G124" s="333">
        <f>'9.mell.6.tábl.'!G124+'9.mell.7-tábl.'!G124+'9.mell.8-tábl.'!G124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'9.mell.6.tábl.'!C125+'9.mell.7-tábl.'!C125+'9.mell.8-tábl.'!C125</f>
        <v>0</v>
      </c>
      <c r="D125" s="127">
        <f>'9.mell.6.tábl.'!D125+'9.mell.7-tábl.'!D125+'9.mell.8-tábl.'!D125</f>
        <v>0</v>
      </c>
      <c r="E125" s="127">
        <f>'9.mell.6.tábl.'!E125+'9.mell.7-tábl.'!E125+'9.mell.8-tábl.'!E125</f>
        <v>0</v>
      </c>
      <c r="F125" s="127">
        <f>'9.mell.6.tábl.'!F125+'9.mell.7-tábl.'!F125+'9.mell.8-tábl.'!F125</f>
        <v>0</v>
      </c>
      <c r="G125" s="333">
        <f>'9.mell.6.tábl.'!G125+'9.mell.7-tábl.'!G125+'9.mell.8-tábl.'!G125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'9.mell.6.tábl.'!C126+'9.mell.7-tábl.'!C126+'9.mell.8-tábl.'!C126</f>
        <v>0</v>
      </c>
      <c r="D126" s="127">
        <f>'9.mell.6.tábl.'!D126+'9.mell.7-tábl.'!D126+'9.mell.8-tábl.'!D126</f>
        <v>0</v>
      </c>
      <c r="E126" s="127">
        <f>'9.mell.6.tábl.'!E126+'9.mell.7-tábl.'!E126+'9.mell.8-tábl.'!E126</f>
        <v>0</v>
      </c>
      <c r="F126" s="127">
        <f>'9.mell.6.tábl.'!F126+'9.mell.7-tábl.'!F126+'9.mell.8-tábl.'!F126</f>
        <v>0</v>
      </c>
      <c r="G126" s="333">
        <f>'9.mell.6.tábl.'!G126+'9.mell.7-tábl.'!G126+'9.mell.8-tábl.'!G126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'9.mell.6.tábl.'!C127+'9.mell.7-tábl.'!C127+'9.mell.8-tábl.'!C127</f>
        <v>0</v>
      </c>
      <c r="D127" s="127">
        <f>'9.mell.6.tábl.'!D127+'9.mell.7-tábl.'!D127+'9.mell.8-tábl.'!D127</f>
        <v>0</v>
      </c>
      <c r="E127" s="127">
        <f>'9.mell.6.tábl.'!E127+'9.mell.7-tábl.'!E127+'9.mell.8-tábl.'!E127</f>
        <v>0</v>
      </c>
      <c r="F127" s="127">
        <f>'9.mell.6.tábl.'!F127+'9.mell.7-tábl.'!F127+'9.mell.8-tábl.'!F127</f>
        <v>0</v>
      </c>
      <c r="G127" s="333">
        <f>'9.mell.6.tábl.'!G127+'9.mell.7-tábl.'!G127+'9.mell.8-tábl.'!G127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86118000</v>
      </c>
      <c r="D128" s="249">
        <f>+D93+D114</f>
        <v>-975615</v>
      </c>
      <c r="E128" s="125">
        <f>+E93+E114</f>
        <v>0</v>
      </c>
      <c r="F128" s="125">
        <f>+F93+F114</f>
        <v>-975615</v>
      </c>
      <c r="G128" s="262">
        <f>+G93+G114</f>
        <v>85142385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'9.mell.6.tábl.'!C130+'9.mell.7-tábl.'!C130+'9.mell.8-tábl.'!C130</f>
        <v>0</v>
      </c>
      <c r="D130" s="126">
        <f>'9.mell.6.tábl.'!D130+'9.mell.7-tábl.'!D130+'9.mell.8-tábl.'!D130</f>
        <v>0</v>
      </c>
      <c r="E130" s="126">
        <f>'9.mell.6.tábl.'!E130+'9.mell.7-tábl.'!E130+'9.mell.8-tábl.'!E130</f>
        <v>0</v>
      </c>
      <c r="F130" s="126">
        <f>'9.mell.6.tábl.'!F130+'9.mell.7-tábl.'!F130+'9.mell.8-tábl.'!F130</f>
        <v>0</v>
      </c>
      <c r="G130" s="331">
        <f>'9.mell.6.tábl.'!G130+'9.mell.7-tábl.'!G130+'9.mell.8-tábl.'!G130</f>
        <v>0</v>
      </c>
    </row>
    <row r="131" spans="1:13" ht="12" customHeight="1" x14ac:dyDescent="0.2">
      <c r="A131" s="154" t="s">
        <v>155</v>
      </c>
      <c r="B131" s="4" t="s">
        <v>320</v>
      </c>
      <c r="C131" s="126">
        <f>'9.mell.6.tábl.'!C131+'9.mell.7-tábl.'!C131+'9.mell.8-tábl.'!C131</f>
        <v>0</v>
      </c>
      <c r="D131" s="126">
        <f>'9.mell.6.tábl.'!D131+'9.mell.7-tábl.'!D131+'9.mell.8-tábl.'!D131</f>
        <v>0</v>
      </c>
      <c r="E131" s="126">
        <f>'9.mell.6.tábl.'!E131+'9.mell.7-tábl.'!E131+'9.mell.8-tábl.'!E131</f>
        <v>0</v>
      </c>
      <c r="F131" s="126">
        <f>'9.mell.6.tábl.'!F131+'9.mell.7-tábl.'!F131+'9.mell.8-tábl.'!F131</f>
        <v>0</v>
      </c>
      <c r="G131" s="331">
        <f>'9.mell.6.tábl.'!G131+'9.mell.7-tábl.'!G131+'9.mell.8-tábl.'!G131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'9.mell.6.tábl.'!C132+'9.mell.7-tábl.'!C132+'9.mell.8-tábl.'!C132</f>
        <v>0</v>
      </c>
      <c r="D132" s="126">
        <f>'9.mell.6.tábl.'!D132+'9.mell.7-tábl.'!D132+'9.mell.8-tábl.'!D132</f>
        <v>0</v>
      </c>
      <c r="E132" s="126">
        <f>'9.mell.6.tábl.'!E132+'9.mell.7-tábl.'!E132+'9.mell.8-tábl.'!E132</f>
        <v>0</v>
      </c>
      <c r="F132" s="126">
        <f>'9.mell.6.tábl.'!F132+'9.mell.7-tábl.'!F132+'9.mell.8-tábl.'!F132</f>
        <v>0</v>
      </c>
      <c r="G132" s="331">
        <f>'9.mell.6.tábl.'!G132+'9.mell.7-tábl.'!G132+'9.mell.8-tábl.'!G132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'9.mell.6.tábl.'!C134+'9.mell.7-tábl.'!C134+'9.mell.8-tábl.'!C134</f>
        <v>0</v>
      </c>
      <c r="D134" s="126">
        <f>'9.mell.6.tábl.'!D134+'9.mell.7-tábl.'!D134+'9.mell.8-tábl.'!D134</f>
        <v>0</v>
      </c>
      <c r="E134" s="126">
        <f>'9.mell.6.tábl.'!E134+'9.mell.7-tábl.'!E134+'9.mell.8-tábl.'!E134</f>
        <v>0</v>
      </c>
      <c r="F134" s="126">
        <f>'9.mell.6.tábl.'!F134+'9.mell.7-tábl.'!F134+'9.mell.8-tábl.'!F134</f>
        <v>0</v>
      </c>
      <c r="G134" s="331">
        <f>'9.mell.6.tábl.'!G134+'9.mell.7-tábl.'!G134+'9.mell.8-tábl.'!G134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'9.mell.6.tábl.'!C135+'9.mell.7-tábl.'!C135+'9.mell.8-tábl.'!C135</f>
        <v>0</v>
      </c>
      <c r="D135" s="126">
        <f>'9.mell.6.tábl.'!D135+'9.mell.7-tábl.'!D135+'9.mell.8-tábl.'!D135</f>
        <v>0</v>
      </c>
      <c r="E135" s="126">
        <f>'9.mell.6.tábl.'!E135+'9.mell.7-tábl.'!E135+'9.mell.8-tábl.'!E135</f>
        <v>0</v>
      </c>
      <c r="F135" s="126">
        <f>'9.mell.6.tábl.'!F135+'9.mell.7-tábl.'!F135+'9.mell.8-tábl.'!F135</f>
        <v>0</v>
      </c>
      <c r="G135" s="331">
        <f>'9.mell.6.tábl.'!G135+'9.mell.7-tábl.'!G135+'9.mell.8-tábl.'!G135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'9.mell.6.tábl.'!C136+'9.mell.7-tábl.'!C136+'9.mell.8-tábl.'!C136</f>
        <v>0</v>
      </c>
      <c r="D136" s="126">
        <f>'9.mell.6.tábl.'!D136+'9.mell.7-tábl.'!D136+'9.mell.8-tábl.'!D136</f>
        <v>0</v>
      </c>
      <c r="E136" s="126">
        <f>'9.mell.6.tábl.'!E136+'9.mell.7-tábl.'!E136+'9.mell.8-tábl.'!E136</f>
        <v>0</v>
      </c>
      <c r="F136" s="126">
        <f>'9.mell.6.tábl.'!F136+'9.mell.7-tábl.'!F136+'9.mell.8-tábl.'!F136</f>
        <v>0</v>
      </c>
      <c r="G136" s="331">
        <f>'9.mell.6.tábl.'!G136+'9.mell.7-tábl.'!G136+'9.mell.8-tábl.'!G136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'9.mell.6.tábl.'!C137+'9.mell.7-tábl.'!C137+'9.mell.8-tábl.'!C137</f>
        <v>0</v>
      </c>
      <c r="D137" s="126">
        <f>'9.mell.6.tábl.'!D137+'9.mell.7-tábl.'!D137+'9.mell.8-tábl.'!D137</f>
        <v>0</v>
      </c>
      <c r="E137" s="126">
        <f>'9.mell.6.tábl.'!E137+'9.mell.7-tábl.'!E137+'9.mell.8-tábl.'!E137</f>
        <v>0</v>
      </c>
      <c r="F137" s="126">
        <f>'9.mell.6.tábl.'!F137+'9.mell.7-tábl.'!F137+'9.mell.8-tábl.'!F137</f>
        <v>0</v>
      </c>
      <c r="G137" s="331">
        <f>'9.mell.6.tábl.'!G137+'9.mell.7-tábl.'!G137+'9.mell.8-tábl.'!G137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'9.mell.6.tábl.'!C138+'9.mell.7-tábl.'!C138+'9.mell.8-tábl.'!C138</f>
        <v>0</v>
      </c>
      <c r="D138" s="126">
        <f>'9.mell.6.tábl.'!D138+'9.mell.7-tábl.'!D138+'9.mell.8-tábl.'!D138</f>
        <v>0</v>
      </c>
      <c r="E138" s="126">
        <f>'9.mell.6.tábl.'!E138+'9.mell.7-tábl.'!E138+'9.mell.8-tábl.'!E138</f>
        <v>0</v>
      </c>
      <c r="F138" s="126">
        <f>'9.mell.6.tábl.'!F138+'9.mell.7-tábl.'!F138+'9.mell.8-tábl.'!F138</f>
        <v>0</v>
      </c>
      <c r="G138" s="331">
        <f>'9.mell.6.tábl.'!G138+'9.mell.7-tábl.'!G138+'9.mell.8-tábl.'!G138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'9.mell.6.tábl.'!C139+'9.mell.7-tábl.'!C139+'9.mell.8-tábl.'!C139</f>
        <v>0</v>
      </c>
      <c r="D139" s="126">
        <f>'9.mell.6.tábl.'!D139+'9.mell.7-tábl.'!D139+'9.mell.8-tábl.'!D139</f>
        <v>0</v>
      </c>
      <c r="E139" s="126">
        <f>'9.mell.6.tábl.'!E139+'9.mell.7-tábl.'!E139+'9.mell.8-tábl.'!E139</f>
        <v>0</v>
      </c>
      <c r="F139" s="126">
        <f>'9.mell.6.tábl.'!F139+'9.mell.7-tábl.'!F139+'9.mell.8-tábl.'!F139</f>
        <v>0</v>
      </c>
      <c r="G139" s="331">
        <f>'9.mell.6.tábl.'!G139+'9.mell.7-tábl.'!G139+'9.mell.8-tábl.'!G139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>
        <f>'9.mell.6.tábl.'!C141+'9.mell.7-tábl.'!C141+'9.mell.8-tábl.'!C141</f>
        <v>0</v>
      </c>
      <c r="D141" s="126">
        <f>'9.mell.6.tábl.'!D141+'9.mell.7-tábl.'!D141+'9.mell.8-tábl.'!D141</f>
        <v>0</v>
      </c>
      <c r="E141" s="126">
        <f>'9.mell.6.tábl.'!E141+'9.mell.7-tábl.'!E141+'9.mell.8-tábl.'!E141</f>
        <v>0</v>
      </c>
      <c r="F141" s="126">
        <f>'9.mell.6.tábl.'!F141+'9.mell.7-tábl.'!F141+'9.mell.8-tábl.'!F141</f>
        <v>0</v>
      </c>
      <c r="G141" s="331">
        <f>'9.mell.6.tábl.'!G141+'9.mell.7-tábl.'!G141+'9.mell.8-tábl.'!G141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'9.mell.6.tábl.'!C142+'9.mell.7-tábl.'!C142+'9.mell.8-tábl.'!C142</f>
        <v>0</v>
      </c>
      <c r="D142" s="126">
        <f>'9.mell.6.tábl.'!D142+'9.mell.7-tábl.'!D142+'9.mell.8-tábl.'!D142</f>
        <v>0</v>
      </c>
      <c r="E142" s="126">
        <f>'9.mell.6.tábl.'!E142+'9.mell.7-tábl.'!E142+'9.mell.8-tábl.'!E142</f>
        <v>0</v>
      </c>
      <c r="F142" s="126">
        <f>'9.mell.6.tábl.'!F142+'9.mell.7-tábl.'!F142+'9.mell.8-tábl.'!F142</f>
        <v>0</v>
      </c>
      <c r="G142" s="331">
        <f>'9.mell.6.tábl.'!G142+'9.mell.7-tábl.'!G142+'9.mell.8-tábl.'!G142</f>
        <v>0</v>
      </c>
    </row>
    <row r="143" spans="1:13" ht="12" customHeight="1" x14ac:dyDescent="0.2">
      <c r="A143" s="154" t="s">
        <v>174</v>
      </c>
      <c r="B143" s="4" t="s">
        <v>373</v>
      </c>
      <c r="C143" s="126">
        <f>'9.mell.6.tábl.'!C143+'9.mell.7-tábl.'!C143+'9.mell.8-tábl.'!C143</f>
        <v>0</v>
      </c>
      <c r="D143" s="126">
        <f>'9.mell.6.tábl.'!D143+'9.mell.7-tábl.'!D143+'9.mell.8-tábl.'!D143</f>
        <v>0</v>
      </c>
      <c r="E143" s="126">
        <f>'9.mell.6.tábl.'!E143+'9.mell.7-tábl.'!E143+'9.mell.8-tábl.'!E143</f>
        <v>0</v>
      </c>
      <c r="F143" s="126">
        <f>'9.mell.6.tábl.'!F143+'9.mell.7-tábl.'!F143+'9.mell.8-tábl.'!F143</f>
        <v>0</v>
      </c>
      <c r="G143" s="331">
        <f>'9.mell.6.tábl.'!G143+'9.mell.7-tábl.'!G143+'9.mell.8-tábl.'!G143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'9.mell.6.tábl.'!C144+'9.mell.7-tábl.'!C144+'9.mell.8-tábl.'!C144</f>
        <v>0</v>
      </c>
      <c r="D144" s="126">
        <f>'9.mell.6.tábl.'!D144+'9.mell.7-tábl.'!D144+'9.mell.8-tábl.'!D144</f>
        <v>0</v>
      </c>
      <c r="E144" s="126">
        <f>'9.mell.6.tábl.'!E144+'9.mell.7-tábl.'!E144+'9.mell.8-tábl.'!E144</f>
        <v>0</v>
      </c>
      <c r="F144" s="126">
        <f>'9.mell.6.tábl.'!F144+'9.mell.7-tábl.'!F144+'9.mell.8-tábl.'!F144</f>
        <v>0</v>
      </c>
      <c r="G144" s="331">
        <f>'9.mell.6.tábl.'!G144+'9.mell.7-tábl.'!G144+'9.mell.8-tábl.'!G144</f>
        <v>0</v>
      </c>
    </row>
    <row r="145" spans="1:9" s="42" customFormat="1" ht="12" customHeight="1" thickBot="1" x14ac:dyDescent="0.25">
      <c r="A145" s="163" t="s">
        <v>176</v>
      </c>
      <c r="B145" s="2" t="s">
        <v>276</v>
      </c>
      <c r="C145" s="126">
        <f>'9.mell.6.tábl.'!C145+'9.mell.7-tábl.'!C145+'9.mell.8-tábl.'!C145</f>
        <v>0</v>
      </c>
      <c r="D145" s="126">
        <f>'9.mell.6.tábl.'!D145+'9.mell.7-tábl.'!D145+'9.mell.8-tábl.'!D145</f>
        <v>0</v>
      </c>
      <c r="E145" s="126">
        <f>'9.mell.6.tábl.'!E145+'9.mell.7-tábl.'!E145+'9.mell.8-tábl.'!E145</f>
        <v>0</v>
      </c>
      <c r="F145" s="126">
        <f>'9.mell.6.tábl.'!F145+'9.mell.7-tábl.'!F145+'9.mell.8-tábl.'!F145</f>
        <v>0</v>
      </c>
      <c r="G145" s="331">
        <f>'9.mell.6.tábl.'!G145+'9.mell.7-tábl.'!G145+'9.mell.8-tábl.'!G145</f>
        <v>0</v>
      </c>
    </row>
    <row r="146" spans="1:9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9" s="42" customFormat="1" ht="12" customHeight="1" x14ac:dyDescent="0.2">
      <c r="A147" s="154" t="s">
        <v>57</v>
      </c>
      <c r="B147" s="4" t="s">
        <v>323</v>
      </c>
      <c r="C147" s="126">
        <f>'9.mell.6.tábl.'!C147+'9.mell.7-tábl.'!C147+'9.mell.8-tábl.'!C147</f>
        <v>0</v>
      </c>
      <c r="D147" s="126">
        <f>'9.mell.6.tábl.'!D147+'9.mell.7-tábl.'!D147+'9.mell.8-tábl.'!D147</f>
        <v>0</v>
      </c>
      <c r="E147" s="126">
        <f>'9.mell.6.tábl.'!E147+'9.mell.7-tábl.'!E147+'9.mell.8-tábl.'!E147</f>
        <v>0</v>
      </c>
      <c r="F147" s="126">
        <f>'9.mell.6.tábl.'!F147+'9.mell.7-tábl.'!F147+'9.mell.8-tábl.'!F147</f>
        <v>0</v>
      </c>
      <c r="G147" s="331">
        <f>'9.mell.6.tábl.'!G147+'9.mell.7-tábl.'!G147+'9.mell.8-tábl.'!G147</f>
        <v>0</v>
      </c>
    </row>
    <row r="148" spans="1:9" s="42" customFormat="1" ht="12" customHeight="1" x14ac:dyDescent="0.2">
      <c r="A148" s="154" t="s">
        <v>58</v>
      </c>
      <c r="B148" s="4" t="s">
        <v>330</v>
      </c>
      <c r="C148" s="126">
        <f>'9.mell.6.tábl.'!C148+'9.mell.7-tábl.'!C148+'9.mell.8-tábl.'!C148</f>
        <v>0</v>
      </c>
      <c r="D148" s="126">
        <f>'9.mell.6.tábl.'!D148+'9.mell.7-tábl.'!D148+'9.mell.8-tábl.'!D148</f>
        <v>0</v>
      </c>
      <c r="E148" s="126">
        <f>'9.mell.6.tábl.'!E148+'9.mell.7-tábl.'!E148+'9.mell.8-tábl.'!E148</f>
        <v>0</v>
      </c>
      <c r="F148" s="126">
        <f>'9.mell.6.tábl.'!F148+'9.mell.7-tábl.'!F148+'9.mell.8-tábl.'!F148</f>
        <v>0</v>
      </c>
      <c r="G148" s="331">
        <f>'9.mell.6.tábl.'!G148+'9.mell.7-tábl.'!G148+'9.mell.8-tábl.'!G148</f>
        <v>0</v>
      </c>
    </row>
    <row r="149" spans="1:9" s="42" customFormat="1" ht="12" customHeight="1" x14ac:dyDescent="0.2">
      <c r="A149" s="154" t="s">
        <v>186</v>
      </c>
      <c r="B149" s="4" t="s">
        <v>325</v>
      </c>
      <c r="C149" s="126">
        <f>'9.mell.6.tábl.'!C149+'9.mell.7-tábl.'!C149+'9.mell.8-tábl.'!C149</f>
        <v>0</v>
      </c>
      <c r="D149" s="126">
        <f>'9.mell.6.tábl.'!D149+'9.mell.7-tábl.'!D149+'9.mell.8-tábl.'!D149</f>
        <v>0</v>
      </c>
      <c r="E149" s="126">
        <f>'9.mell.6.tábl.'!E149+'9.mell.7-tábl.'!E149+'9.mell.8-tábl.'!E149</f>
        <v>0</v>
      </c>
      <c r="F149" s="126">
        <f>'9.mell.6.tábl.'!F149+'9.mell.7-tábl.'!F149+'9.mell.8-tábl.'!F149</f>
        <v>0</v>
      </c>
      <c r="G149" s="331">
        <f>'9.mell.6.tábl.'!G149+'9.mell.7-tábl.'!G149+'9.mell.8-tábl.'!G149</f>
        <v>0</v>
      </c>
    </row>
    <row r="150" spans="1:9" s="42" customFormat="1" ht="12" customHeight="1" x14ac:dyDescent="0.2">
      <c r="A150" s="154" t="s">
        <v>187</v>
      </c>
      <c r="B150" s="4" t="s">
        <v>370</v>
      </c>
      <c r="C150" s="126">
        <f>'9.mell.6.tábl.'!C150+'9.mell.7-tábl.'!C150+'9.mell.8-tábl.'!C150</f>
        <v>0</v>
      </c>
      <c r="D150" s="126">
        <f>'9.mell.6.tábl.'!D150+'9.mell.7-tábl.'!D150+'9.mell.8-tábl.'!D150</f>
        <v>0</v>
      </c>
      <c r="E150" s="126">
        <f>'9.mell.6.tábl.'!E150+'9.mell.7-tábl.'!E150+'9.mell.8-tábl.'!E150</f>
        <v>0</v>
      </c>
      <c r="F150" s="126">
        <f>'9.mell.6.tábl.'!F150+'9.mell.7-tábl.'!F150+'9.mell.8-tábl.'!F150</f>
        <v>0</v>
      </c>
      <c r="G150" s="331">
        <f>'9.mell.6.tábl.'!G150+'9.mell.7-tábl.'!G150+'9.mell.8-tábl.'!G150</f>
        <v>0</v>
      </c>
    </row>
    <row r="151" spans="1:9" ht="12.75" customHeight="1" thickBot="1" x14ac:dyDescent="0.25">
      <c r="A151" s="163" t="s">
        <v>329</v>
      </c>
      <c r="B151" s="2" t="s">
        <v>332</v>
      </c>
      <c r="C151" s="126">
        <f>'9.mell.6.tábl.'!C151+'9.mell.7-tábl.'!C151+'9.mell.8-tábl.'!C151</f>
        <v>0</v>
      </c>
      <c r="D151" s="126">
        <f>'9.mell.6.tábl.'!D151+'9.mell.7-tábl.'!D151+'9.mell.8-tábl.'!D151</f>
        <v>0</v>
      </c>
      <c r="E151" s="126">
        <f>'9.mell.6.tábl.'!E151+'9.mell.7-tábl.'!E151+'9.mell.8-tábl.'!E151</f>
        <v>0</v>
      </c>
      <c r="F151" s="126">
        <f>'9.mell.6.tábl.'!F151+'9.mell.7-tábl.'!F151+'9.mell.8-tábl.'!F151</f>
        <v>0</v>
      </c>
      <c r="G151" s="331">
        <f>'9.mell.6.tábl.'!G151+'9.mell.7-tábl.'!G151+'9.mell.8-tábl.'!G151</f>
        <v>0</v>
      </c>
    </row>
    <row r="152" spans="1:9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9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9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9" ht="15" customHeight="1" thickBot="1" x14ac:dyDescent="0.25">
      <c r="A155" s="165" t="s">
        <v>15</v>
      </c>
      <c r="B155" s="112" t="s">
        <v>335</v>
      </c>
      <c r="C155" s="189">
        <f>+C128+C154</f>
        <v>86118000</v>
      </c>
      <c r="D155" s="257">
        <f>+D128+D154</f>
        <v>-975615</v>
      </c>
      <c r="E155" s="189">
        <f>+E128+E154</f>
        <v>0</v>
      </c>
      <c r="F155" s="189">
        <f>+F128+F154</f>
        <v>-975615</v>
      </c>
      <c r="G155" s="278">
        <f>+G128+G154</f>
        <v>85142385</v>
      </c>
    </row>
    <row r="156" spans="1:9" ht="13.5" thickBot="1" x14ac:dyDescent="0.25">
      <c r="A156" s="115"/>
      <c r="B156" s="116"/>
      <c r="C156" s="117"/>
      <c r="D156" s="117"/>
      <c r="E156" s="280"/>
      <c r="F156" s="280"/>
      <c r="G156" s="279"/>
      <c r="H156" s="393"/>
      <c r="I156" s="344"/>
    </row>
    <row r="157" spans="1:9" ht="15" customHeight="1" thickBot="1" x14ac:dyDescent="0.25">
      <c r="A157" s="67" t="s">
        <v>371</v>
      </c>
      <c r="B157" s="68"/>
      <c r="C157" s="223">
        <f>'9.mell.6.tábl.'!C157+'9.mell.7-tábl.'!C157+'9.mell.8-tábl.'!C157</f>
        <v>13</v>
      </c>
      <c r="D157" s="223">
        <f>'9.mell.6.tábl.'!D157+'9.mell.7-tábl.'!D157+'9.mell.8-tábl.'!D157</f>
        <v>0</v>
      </c>
      <c r="E157" s="392">
        <f>'9.mell.6.tábl.'!E157+'9.mell.7-tábl.'!E157+'9.mell.8-tábl.'!E157</f>
        <v>0</v>
      </c>
      <c r="F157" s="392">
        <f>'9.mell.6.tábl.'!F157+'9.mell.7-tábl.'!F157+'9.mell.8-tábl.'!F157</f>
        <v>0</v>
      </c>
      <c r="G157" s="341">
        <f>'9.mell.6.tábl.'!G157+'9.mell.7-tábl.'!G157+'9.mell.8-tábl.'!G157</f>
        <v>13</v>
      </c>
    </row>
    <row r="158" spans="1:9" ht="14.25" customHeight="1" thickBot="1" x14ac:dyDescent="0.25">
      <c r="A158" s="67" t="s">
        <v>118</v>
      </c>
      <c r="B158" s="68"/>
      <c r="C158" s="223">
        <f>'9.mell.6.tábl.'!C158+'9.mell.7-tábl.'!C158+'9.mell.8-tábl.'!C158</f>
        <v>0</v>
      </c>
      <c r="D158" s="223">
        <f>'9.mell.6.tábl.'!D158+'9.mell.7-tábl.'!D158+'9.mell.8-tábl.'!D158</f>
        <v>0</v>
      </c>
      <c r="E158" s="223">
        <f>'9.mell.6.tábl.'!E158+'9.mell.7-tábl.'!E158+'9.mell.8-tábl.'!E158</f>
        <v>0</v>
      </c>
      <c r="F158" s="223">
        <f>'9.mell.6.tábl.'!F158+'9.mell.7-tábl.'!F158+'9.mell.8-tábl.'!F158</f>
        <v>0</v>
      </c>
      <c r="G158" s="341">
        <f>'9.mell.6.tábl.'!G158+'9.mell.7-tábl.'!G158+'9.mell.8-tábl.'!G158</f>
        <v>0</v>
      </c>
    </row>
    <row r="159" spans="1:9" x14ac:dyDescent="0.2">
      <c r="G159" s="345"/>
    </row>
    <row r="160" spans="1:9" x14ac:dyDescent="0.2">
      <c r="G160" s="344"/>
    </row>
    <row r="161" spans="7:8" x14ac:dyDescent="0.2">
      <c r="G161" s="344"/>
      <c r="H161" s="344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6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1"/>
  <sheetViews>
    <sheetView view="pageLayout" zoomScaleNormal="100" zoomScaleSheetLayoutView="178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8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658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302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'1.mell.2.tábl.'!C7+'1.mell.3.tábl.'!C7+'1.mell.4.tábl.'!C7</f>
        <v>61671420</v>
      </c>
      <c r="D7" s="127">
        <f>'1.mell.2.tábl.'!D7+'1.mell.3.tábl.'!D7+'1.mell.4.tábl.'!D7</f>
        <v>10468408</v>
      </c>
      <c r="E7" s="127">
        <f>'1.mell.2.tábl.'!E7+'1.mell.3.tábl.'!E7+'1.mell.4.tábl.'!E7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'1.mell.2.tábl.'!C8+'1.mell.3.tábl.'!C8+'1.mell.4.tábl.'!C8</f>
        <v>56423330</v>
      </c>
      <c r="D8" s="127">
        <f>'1.mell.2.tábl.'!D8+'1.mell.3.tábl.'!D8+'1.mell.4.tábl.'!D8</f>
        <v>4319850</v>
      </c>
      <c r="E8" s="127">
        <f>'1.mell.2.tábl.'!E8+'1.mell.3.tábl.'!E8+'1.mell.4.tábl.'!E8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'1.mell.2.tábl.'!C9+'1.mell.3.tábl.'!C9+'1.mell.4.tábl.'!C9</f>
        <v>65116932</v>
      </c>
      <c r="D9" s="127">
        <f>'1.mell.2.tábl.'!D9+'1.mell.3.tábl.'!D9+'1.mell.4.tábl.'!D9</f>
        <v>-1569285</v>
      </c>
      <c r="E9" s="127">
        <f>'1.mell.2.tábl.'!E9+'1.mell.3.tábl.'!E9+'1.mell.4.tábl.'!E9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'1.mell.2.tábl.'!C10+'1.mell.3.tábl.'!C10+'1.mell.4.tábl.'!C10</f>
        <v>2376900</v>
      </c>
      <c r="D10" s="127">
        <f>'1.mell.2.tábl.'!D10+'1.mell.3.tábl.'!D10+'1.mell.4.tábl.'!D10</f>
        <v>1110298</v>
      </c>
      <c r="E10" s="127">
        <f>'1.mell.2.tábl.'!E10+'1.mell.3.tábl.'!E10+'1.mell.4.tábl.'!E10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'1.mell.2.tábl.'!C11+'1.mell.3.tábl.'!C11+'1.mell.4.tábl.'!C11</f>
        <v>0</v>
      </c>
      <c r="D11" s="127">
        <f>'1.mell.2.tábl.'!D11+'1.mell.3.tábl.'!D11+'1.mell.4.tábl.'!D11</f>
        <v>4036800</v>
      </c>
      <c r="E11" s="127">
        <f>'1.mell.2.tábl.'!E11+'1.mell.3.tábl.'!E11+'1.mell.4.tábl.'!E11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'1.mell.2.tábl.'!C12+'1.mell.3.tábl.'!C12+'1.mell.4.tábl.'!C12</f>
        <v>0</v>
      </c>
      <c r="D12" s="127">
        <f>'1.mell.2.tábl.'!D12+'1.mell.3.tábl.'!D12+'1.mell.4.tábl.'!D12</f>
        <v>2341545</v>
      </c>
      <c r="E12" s="127">
        <f>'1.mell.2.tábl.'!E12+'1.mell.3.tábl.'!E12+'1.mell.4.tábl.'!E12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'1.mell.2.tábl.'!C14+'1.mell.3.tábl.'!C14+'1.mell.4.tábl.'!C14</f>
        <v>0</v>
      </c>
      <c r="D14" s="127">
        <f>'1.mell.2.tábl.'!D14+'1.mell.3.tábl.'!D14+'1.mell.4.tábl.'!D14</f>
        <v>0</v>
      </c>
      <c r="E14" s="127">
        <f>'1.mell.2.tábl.'!E14+'1.mell.3.tábl.'!E14+'1.mell.4.tábl.'!E14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'1.mell.2.tábl.'!C15+'1.mell.3.tábl.'!C15+'1.mell.4.tábl.'!C15</f>
        <v>0</v>
      </c>
      <c r="D15" s="127">
        <f>'1.mell.2.tábl.'!D15+'1.mell.3.tábl.'!D15+'1.mell.4.tábl.'!D15</f>
        <v>0</v>
      </c>
      <c r="E15" s="127">
        <f>'1.mell.2.tábl.'!E15+'1.mell.3.tábl.'!E15+'1.mell.4.tábl.'!E15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'1.mell.2.tábl.'!C16+'1.mell.3.tábl.'!C16+'1.mell.4.tábl.'!C16</f>
        <v>0</v>
      </c>
      <c r="D16" s="127">
        <f>'1.mell.2.tábl.'!D16+'1.mell.3.tábl.'!D16+'1.mell.4.tábl.'!D16</f>
        <v>0</v>
      </c>
      <c r="E16" s="127">
        <f>'1.mell.2.tábl.'!E16+'1.mell.3.tábl.'!E16+'1.mell.4.tábl.'!E16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'1.mell.2.tábl.'!C17+'1.mell.3.tábl.'!C17+'1.mell.4.tábl.'!C17</f>
        <v>0</v>
      </c>
      <c r="D17" s="127">
        <f>'1.mell.2.tábl.'!D17+'1.mell.3.tábl.'!D17+'1.mell.4.tábl.'!D17</f>
        <v>0</v>
      </c>
      <c r="E17" s="127">
        <f>'1.mell.2.tábl.'!E17+'1.mell.3.tábl.'!E17+'1.mell.4.tábl.'!E17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'1.mell.2.tábl.'!C18+'1.mell.3.tábl.'!C18+'1.mell.4.tábl.'!C18</f>
        <v>81199000</v>
      </c>
      <c r="D18" s="127">
        <f>'1.mell.2.tábl.'!D18+'1.mell.3.tábl.'!D18+'1.mell.4.tábl.'!D18</f>
        <v>-2638700</v>
      </c>
      <c r="E18" s="127">
        <f>'1.mell.2.tábl.'!E18+'1.mell.3.tábl.'!E18+'1.mell.4.tábl.'!E18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'1.mell.2.tábl.'!C19+'1.mell.3.tábl.'!C19+'1.mell.4.tábl.'!C19</f>
        <v>32055000</v>
      </c>
      <c r="D19" s="127">
        <f>'1.mell.2.tábl.'!D19+'1.mell.3.tábl.'!D19+'1.mell.4.tábl.'!D19</f>
        <v>0</v>
      </c>
      <c r="E19" s="127">
        <f>'1.mell.2.tábl.'!E19+'1.mell.3.tábl.'!E19+'1.mell.4.tábl.'!E19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'1.mell.2.tábl.'!C21+'1.mell.3.tábl.'!C21+'1.mell.4.tábl.'!C21</f>
        <v>0</v>
      </c>
      <c r="D21" s="127">
        <f>'1.mell.2.tábl.'!D21+'1.mell.3.tábl.'!D21+'1.mell.4.tábl.'!D21</f>
        <v>29325000</v>
      </c>
      <c r="E21" s="127">
        <f>'1.mell.2.tábl.'!E21+'1.mell.3.tábl.'!E21+'1.mell.4.tábl.'!E21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'1.mell.2.tábl.'!C22+'1.mell.3.tábl.'!C22+'1.mell.4.tábl.'!C22</f>
        <v>0</v>
      </c>
      <c r="D22" s="127">
        <f>'1.mell.2.tábl.'!D22+'1.mell.3.tábl.'!D22+'1.mell.4.tábl.'!D22</f>
        <v>0</v>
      </c>
      <c r="E22" s="127">
        <f>'1.mell.2.tábl.'!E22+'1.mell.3.tábl.'!E22+'1.mell.4.tábl.'!E22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'1.mell.2.tábl.'!C23+'1.mell.3.tábl.'!C23+'1.mell.4.tábl.'!C23</f>
        <v>0</v>
      </c>
      <c r="D23" s="127">
        <f>'1.mell.2.tábl.'!D23+'1.mell.3.tábl.'!D23+'1.mell.4.tábl.'!D23</f>
        <v>0</v>
      </c>
      <c r="E23" s="127">
        <f>'1.mell.2.tábl.'!E23+'1.mell.3.tábl.'!E23+'1.mell.4.tábl.'!E23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'1.mell.2.tábl.'!C24+'1.mell.3.tábl.'!C24+'1.mell.4.tábl.'!C24</f>
        <v>0</v>
      </c>
      <c r="D24" s="127">
        <f>'1.mell.2.tábl.'!D24+'1.mell.3.tábl.'!D24+'1.mell.4.tábl.'!D24</f>
        <v>0</v>
      </c>
      <c r="E24" s="127">
        <f>'1.mell.2.tábl.'!E24+'1.mell.3.tábl.'!E24+'1.mell.4.tábl.'!E24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'1.mell.2.tábl.'!C25+'1.mell.3.tábl.'!C25+'1.mell.4.tábl.'!C25</f>
        <v>26294000</v>
      </c>
      <c r="D25" s="127">
        <f>'1.mell.2.tábl.'!D25+'1.mell.3.tábl.'!D25+'1.mell.4.tábl.'!D25</f>
        <v>20860000</v>
      </c>
      <c r="E25" s="127">
        <f>'1.mell.2.tábl.'!E25+'1.mell.3.tábl.'!E25+'1.mell.4.tábl.'!E25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'1.mell.2.tábl.'!C26+'1.mell.3.tábl.'!C26+'1.mell.4.tábl.'!C26</f>
        <v>24794000</v>
      </c>
      <c r="D26" s="127">
        <f>'1.mell.2.tábl.'!D26+'1.mell.3.tábl.'!D26+'1.mell.4.tábl.'!D26</f>
        <v>10275999</v>
      </c>
      <c r="E26" s="127">
        <f>'1.mell.2.tábl.'!E26+'1.mell.3.tábl.'!E26+'1.mell.4.tábl.'!E26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+C28+C29+C31+C32+C33+C34+C35+C30</f>
        <v>75900000</v>
      </c>
      <c r="D27" s="131">
        <f>+D28+D29+D31+D32+D33+D34+D35+D30</f>
        <v>-6500000</v>
      </c>
      <c r="E27" s="131">
        <f>+E28+E29+E31+E32+E33+E34+E35+E30</f>
        <v>0</v>
      </c>
      <c r="F27" s="131">
        <f>+F28+F29+F31+F32+F33+F34+F35+F30</f>
        <v>-6500000</v>
      </c>
      <c r="G27" s="131">
        <f>+G28+G29+G31+G32+G33+G34+G35+G30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'1.mell.2.tábl.'!C28+'1.mell.3.tábl.'!C28+'1.mell.4.tábl.'!C28</f>
        <v>7500000</v>
      </c>
      <c r="D28" s="168">
        <f>'1.mell.2.tábl.'!D28+'1.mell.3.tábl.'!D28+'1.mell.4.tábl.'!D28</f>
        <v>0</v>
      </c>
      <c r="E28" s="168">
        <f>'1.mell.2.tábl.'!E28+'1.mell.3.tábl.'!E28+'1.mell.4.tábl.'!E28</f>
        <v>0</v>
      </c>
      <c r="F28" s="168">
        <f t="shared" si="1"/>
        <v>0</v>
      </c>
      <c r="G28" s="167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'1.mell.2.tábl.'!C29+'1.mell.3.tábl.'!C29+'1.mell.4.tábl.'!C29</f>
        <v>1000000</v>
      </c>
      <c r="D29" s="168">
        <f>'1.mell.2.tábl.'!D29+'1.mell.3.tábl.'!D29+'1.mell.4.tábl.'!D29</f>
        <v>0</v>
      </c>
      <c r="E29" s="168">
        <f>'1.mell.2.tábl.'!E29+'1.mell.3.tábl.'!E29+'1.mell.4.tábl.'!E29</f>
        <v>0</v>
      </c>
      <c r="F29" s="168">
        <f t="shared" si="1"/>
        <v>0</v>
      </c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'1.mell.2.tábl.'!C30+'1.mell.3.tábl.'!C30+'1.mell.4.tábl.'!C30</f>
        <v>9000000</v>
      </c>
      <c r="D30" s="168">
        <f>'1.mell.2.tábl.'!D30+'1.mell.3.tábl.'!D30+'1.mell.4.tábl.'!D30</f>
        <v>0</v>
      </c>
      <c r="E30" s="168">
        <f>'1.mell.2.tábl.'!E30+'1.mell.3.tábl.'!E30+'1.mell.4.tábl.'!E30</f>
        <v>0</v>
      </c>
      <c r="F30" s="168"/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'1.mell.2.tábl.'!C31+'1.mell.3.tábl.'!C31+'1.mell.4.tábl.'!C31</f>
        <v>51000000</v>
      </c>
      <c r="D31" s="168">
        <f>'1.mell.2.tábl.'!D31+'1.mell.3.tábl.'!D31+'1.mell.4.tábl.'!D31</f>
        <v>0</v>
      </c>
      <c r="E31" s="168">
        <f>'1.mell.2.tábl.'!E31+'1.mell.3.tábl.'!E31+'1.mell.4.tábl.'!E31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'1.mell.2.tábl.'!C32+'1.mell.3.tábl.'!C32+'1.mell.4.tábl.'!C32</f>
        <v>500000</v>
      </c>
      <c r="D32" s="168">
        <f>'1.mell.2.tábl.'!D32+'1.mell.3.tábl.'!D32+'1.mell.4.tábl.'!D32</f>
        <v>0</v>
      </c>
      <c r="E32" s="168">
        <f>'1.mell.2.tábl.'!E32+'1.mell.3.tábl.'!E32+'1.mell.4.tábl.'!E32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'1.mell.2.tábl.'!C33+'1.mell.3.tábl.'!C33+'1.mell.4.tábl.'!C33</f>
        <v>6500000</v>
      </c>
      <c r="D33" s="168">
        <f>'1.mell.2.tábl.'!D33+'1.mell.3.tábl.'!D33+'1.mell.4.tábl.'!D33</f>
        <v>-6500000</v>
      </c>
      <c r="E33" s="168">
        <f>'1.mell.2.tábl.'!E33+'1.mell.3.tábl.'!E33+'1.mell.4.tábl.'!E33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'1.mell.2.tábl.'!C34+'1.mell.3.tábl.'!C34+'1.mell.4.tábl.'!C34</f>
        <v>0</v>
      </c>
      <c r="D34" s="168">
        <f>'1.mell.2.tábl.'!D34+'1.mell.3.tábl.'!D34+'1.mell.4.tábl.'!D34</f>
        <v>0</v>
      </c>
      <c r="E34" s="168">
        <f>'1.mell.2.tábl.'!E34+'1.mell.3.tábl.'!E34+'1.mell.4.tábl.'!E34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'1.mell.2.tábl.'!C35+'1.mell.3.tábl.'!C35+'1.mell.4.tábl.'!C35</f>
        <v>400000</v>
      </c>
      <c r="D35" s="168">
        <f>'1.mell.2.tábl.'!D35+'1.mell.3.tábl.'!D35+'1.mell.4.tábl.'!D35</f>
        <v>0</v>
      </c>
      <c r="E35" s="168">
        <f>'1.mell.2.tábl.'!E35+'1.mell.3.tábl.'!E35+'1.mell.4.tábl.'!E35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36542000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36542000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'1.mell.2.tábl.'!C37+'1.mell.3.tábl.'!C37+'1.mell.4.tábl.'!C37</f>
        <v>0</v>
      </c>
      <c r="D37" s="127">
        <f>'1.mell.2.tábl.'!D37+'1.mell.3.tábl.'!D37+'1.mell.4.tábl.'!D37</f>
        <v>0</v>
      </c>
      <c r="E37" s="127">
        <f>'1.mell.2.tábl.'!E37+'1.mell.3.tábl.'!E37+'1.mell.4.tábl.'!E37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'1.mell.2.tábl.'!C38+'1.mell.3.tábl.'!C38+'1.mell.4.tábl.'!C38</f>
        <v>15565000</v>
      </c>
      <c r="D38" s="127">
        <f>'1.mell.2.tábl.'!D38+'1.mell.3.tábl.'!D38+'1.mell.4.tábl.'!D38</f>
        <v>0</v>
      </c>
      <c r="E38" s="127">
        <f>'1.mell.2.tábl.'!E38+'1.mell.3.tábl.'!E38+'1.mell.4.tábl.'!E38</f>
        <v>0</v>
      </c>
      <c r="F38" s="168">
        <f t="shared" si="1"/>
        <v>0</v>
      </c>
      <c r="G38" s="167">
        <f t="shared" si="5"/>
        <v>15565000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'1.mell.2.tábl.'!C39+'1.mell.3.tábl.'!C39+'1.mell.4.tábl.'!C39</f>
        <v>356000</v>
      </c>
      <c r="D39" s="127">
        <f>'1.mell.2.tábl.'!D39+'1.mell.3.tábl.'!D39+'1.mell.4.tábl.'!D39</f>
        <v>0</v>
      </c>
      <c r="E39" s="127">
        <f>'1.mell.2.tábl.'!E39+'1.mell.3.tábl.'!E39+'1.mell.4.tábl.'!E39</f>
        <v>0</v>
      </c>
      <c r="F39" s="168">
        <f t="shared" si="1"/>
        <v>0</v>
      </c>
      <c r="G39" s="167">
        <f t="shared" si="5"/>
        <v>356000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'1.mell.2.tábl.'!C40+'1.mell.3.tábl.'!C40+'1.mell.4.tábl.'!C40</f>
        <v>12624000</v>
      </c>
      <c r="D40" s="127">
        <f>'1.mell.2.tábl.'!D40+'1.mell.3.tábl.'!D40+'1.mell.4.tábl.'!D40</f>
        <v>0</v>
      </c>
      <c r="E40" s="127">
        <f>'1.mell.2.tábl.'!E40+'1.mell.3.tábl.'!E40+'1.mell.4.tábl.'!E40</f>
        <v>0</v>
      </c>
      <c r="F40" s="168">
        <f t="shared" si="1"/>
        <v>0</v>
      </c>
      <c r="G40" s="167">
        <f t="shared" si="5"/>
        <v>12624000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'1.mell.2.tábl.'!C41+'1.mell.3.tábl.'!C41+'1.mell.4.tábl.'!C41</f>
        <v>0</v>
      </c>
      <c r="D41" s="127">
        <f>'1.mell.2.tábl.'!D41+'1.mell.3.tábl.'!D41+'1.mell.4.tábl.'!D41</f>
        <v>0</v>
      </c>
      <c r="E41" s="127">
        <f>'1.mell.2.tábl.'!E41+'1.mell.3.tábl.'!E41+'1.mell.4.tábl.'!E41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'1.mell.2.tábl.'!C42+'1.mell.3.tábl.'!C42+'1.mell.4.tábl.'!C42</f>
        <v>6410000</v>
      </c>
      <c r="D42" s="127">
        <f>'1.mell.2.tábl.'!D42+'1.mell.3.tábl.'!D42+'1.mell.4.tábl.'!D42</f>
        <v>0</v>
      </c>
      <c r="E42" s="127">
        <f>'1.mell.2.tábl.'!E42+'1.mell.3.tábl.'!E42+'1.mell.4.tábl.'!E42</f>
        <v>0</v>
      </c>
      <c r="F42" s="168">
        <f t="shared" si="1"/>
        <v>0</v>
      </c>
      <c r="G42" s="167">
        <f t="shared" si="5"/>
        <v>6410000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'1.mell.2.tábl.'!C43+'1.mell.3.tábl.'!C43+'1.mell.4.tábl.'!C43</f>
        <v>500000</v>
      </c>
      <c r="D43" s="127">
        <f>'1.mell.2.tábl.'!D43+'1.mell.3.tábl.'!D43+'1.mell.4.tábl.'!D43</f>
        <v>0</v>
      </c>
      <c r="E43" s="127">
        <f>'1.mell.2.tábl.'!E43+'1.mell.3.tábl.'!E43+'1.mell.4.tábl.'!E43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'1.mell.2.tábl.'!C44+'1.mell.3.tábl.'!C44+'1.mell.4.tábl.'!C44</f>
        <v>6000</v>
      </c>
      <c r="D44" s="127">
        <f>'1.mell.2.tábl.'!D44+'1.mell.3.tábl.'!D44+'1.mell.4.tábl.'!D44</f>
        <v>0</v>
      </c>
      <c r="E44" s="127">
        <f>'1.mell.2.tábl.'!E44+'1.mell.3.tábl.'!E44+'1.mell.4.tábl.'!E44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'1.mell.2.tábl.'!C45+'1.mell.3.tábl.'!C45+'1.mell.4.tábl.'!C45</f>
        <v>0</v>
      </c>
      <c r="D45" s="127">
        <f>'1.mell.2.tábl.'!D45+'1.mell.3.tábl.'!D45+'1.mell.4.tábl.'!D45</f>
        <v>0</v>
      </c>
      <c r="E45" s="127">
        <f>'1.mell.2.tábl.'!E45+'1.mell.3.tábl.'!E45+'1.mell.4.tábl.'!E45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'1.mell.2.tábl.'!C46+'1.mell.3.tábl.'!C46+'1.mell.4.tábl.'!C46</f>
        <v>0</v>
      </c>
      <c r="D46" s="127">
        <f>'1.mell.2.tábl.'!D46+'1.mell.3.tábl.'!D46+'1.mell.4.tábl.'!D46</f>
        <v>0</v>
      </c>
      <c r="E46" s="127">
        <f>'1.mell.2.tábl.'!E46+'1.mell.3.tábl.'!E46+'1.mell.4.tábl.'!E46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'1.mell.2.tábl.'!C47+'1.mell.3.tábl.'!C47+'1.mell.4.tábl.'!C47</f>
        <v>1081000</v>
      </c>
      <c r="D47" s="127">
        <f>'1.mell.2.tábl.'!D47+'1.mell.3.tábl.'!D47+'1.mell.4.tábl.'!D47</f>
        <v>0</v>
      </c>
      <c r="E47" s="127">
        <f>'1.mell.2.tábl.'!E47+'1.mell.3.tábl.'!E47+'1.mell.4.tábl.'!E47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'1.mell.2.tábl.'!C49+'1.mell.3.tábl.'!C49+'1.mell.4.tábl.'!C49</f>
        <v>0</v>
      </c>
      <c r="D49" s="169">
        <f>'1.mell.2.tábl.'!D49+'1.mell.3.tábl.'!D49+'1.mell.4.tábl.'!D49</f>
        <v>0</v>
      </c>
      <c r="E49" s="169">
        <f>'1.mell.2.tábl.'!E49+'1.mell.3.tábl.'!E49+'1.mell.4.tábl.'!E49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'1.mell.2.tábl.'!C50+'1.mell.3.tábl.'!C50+'1.mell.4.tábl.'!C50</f>
        <v>4000000</v>
      </c>
      <c r="D50" s="169">
        <f>'1.mell.2.tábl.'!D50+'1.mell.3.tábl.'!D50+'1.mell.4.tábl.'!D50</f>
        <v>0</v>
      </c>
      <c r="E50" s="169">
        <f>'1.mell.2.tábl.'!E50+'1.mell.3.tábl.'!E50+'1.mell.4.tábl.'!E50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'1.mell.2.tábl.'!C51+'1.mell.3.tábl.'!C51+'1.mell.4.tábl.'!C51</f>
        <v>0</v>
      </c>
      <c r="D51" s="169">
        <f>'1.mell.2.tábl.'!D51+'1.mell.3.tábl.'!D51+'1.mell.4.tábl.'!D51</f>
        <v>0</v>
      </c>
      <c r="E51" s="169">
        <f>'1.mell.2.tábl.'!E51+'1.mell.3.tábl.'!E51+'1.mell.4.tábl.'!E51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'1.mell.2.tábl.'!C52+'1.mell.3.tábl.'!C52+'1.mell.4.tábl.'!C52</f>
        <v>0</v>
      </c>
      <c r="D52" s="169">
        <f>'1.mell.2.tábl.'!D52+'1.mell.3.tábl.'!D52+'1.mell.4.tábl.'!D52</f>
        <v>0</v>
      </c>
      <c r="E52" s="169">
        <f>'1.mell.2.tábl.'!E52+'1.mell.3.tábl.'!E52+'1.mell.4.tábl.'!E52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'1.mell.2.tábl.'!C53+'1.mell.3.tábl.'!C53+'1.mell.4.tábl.'!C53</f>
        <v>0</v>
      </c>
      <c r="D53" s="169">
        <f>'1.mell.2.tábl.'!D53+'1.mell.3.tábl.'!D53+'1.mell.4.tábl.'!D53</f>
        <v>0</v>
      </c>
      <c r="E53" s="169">
        <f>'1.mell.2.tábl.'!E53+'1.mell.3.tábl.'!E53+'1.mell.4.tábl.'!E53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'1.mell.2.tábl.'!C55+'1.mell.3.tábl.'!C55+'1.mell.4.tábl.'!C55</f>
        <v>0</v>
      </c>
      <c r="D55" s="127">
        <f>'1.mell.2.tábl.'!D55+'1.mell.3.tábl.'!D55+'1.mell.4.tábl.'!D55</f>
        <v>0</v>
      </c>
      <c r="E55" s="127">
        <f>'1.mell.2.tábl.'!E55+'1.mell.3.tábl.'!E55+'1.mell.4.tábl.'!E55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'1.mell.2.tábl.'!C56+'1.mell.3.tábl.'!C56+'1.mell.4.tábl.'!C56</f>
        <v>0</v>
      </c>
      <c r="D56" s="127">
        <f>'1.mell.2.tábl.'!D56+'1.mell.3.tábl.'!D56+'1.mell.4.tábl.'!D56</f>
        <v>0</v>
      </c>
      <c r="E56" s="127">
        <f>'1.mell.2.tábl.'!E56+'1.mell.3.tábl.'!E56+'1.mell.4.tábl.'!E56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'1.mell.2.tábl.'!C57+'1.mell.3.tábl.'!C57+'1.mell.4.tábl.'!C57</f>
        <v>100000</v>
      </c>
      <c r="D57" s="127">
        <f>'1.mell.2.tábl.'!D57+'1.mell.3.tábl.'!D57+'1.mell.4.tábl.'!D57</f>
        <v>0</v>
      </c>
      <c r="E57" s="127">
        <f>'1.mell.2.tábl.'!E57+'1.mell.3.tábl.'!E57+'1.mell.4.tábl.'!E57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'1.mell.2.tábl.'!C58+'1.mell.3.tábl.'!C58+'1.mell.4.tábl.'!C58</f>
        <v>0</v>
      </c>
      <c r="D58" s="127">
        <f>'1.mell.2.tábl.'!D58+'1.mell.3.tábl.'!D58+'1.mell.4.tábl.'!D58</f>
        <v>0</v>
      </c>
      <c r="E58" s="127">
        <f>'1.mell.2.tábl.'!E58+'1.mell.3.tábl.'!E58+'1.mell.4.tábl.'!E58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'1.mell.2.tábl.'!C60+'1.mell.3.tábl.'!C60+'1.mell.4.tábl.'!C60</f>
        <v>0</v>
      </c>
      <c r="D60" s="129">
        <f>'1.mell.2.tábl.'!D60+'1.mell.3.tábl.'!D60+'1.mell.4.tábl.'!D60</f>
        <v>0</v>
      </c>
      <c r="E60" s="129">
        <f>'1.mell.2.tábl.'!E60+'1.mell.3.tábl.'!E60+'1.mell.4.tábl.'!E60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'1.mell.2.tábl.'!C61+'1.mell.3.tábl.'!C61+'1.mell.4.tábl.'!C61</f>
        <v>0</v>
      </c>
      <c r="D61" s="129">
        <f>'1.mell.2.tábl.'!D61+'1.mell.3.tábl.'!D61+'1.mell.4.tábl.'!D61</f>
        <v>0</v>
      </c>
      <c r="E61" s="129">
        <f>'1.mell.2.tábl.'!E61+'1.mell.3.tábl.'!E61+'1.mell.4.tábl.'!E61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'1.mell.2.tábl.'!C62+'1.mell.3.tábl.'!C62+'1.mell.4.tábl.'!C62</f>
        <v>800000</v>
      </c>
      <c r="D62" s="129">
        <f>'1.mell.2.tábl.'!D62+'1.mell.3.tábl.'!D62+'1.mell.4.tábl.'!D62</f>
        <v>0</v>
      </c>
      <c r="E62" s="129">
        <f>'1.mell.2.tábl.'!E62+'1.mell.3.tábl.'!E62+'1.mell.4.tábl.'!E62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'1.mell.2.tábl.'!C63+'1.mell.3.tábl.'!C63+'1.mell.4.tábl.'!C63</f>
        <v>0</v>
      </c>
      <c r="D63" s="129">
        <f>'1.mell.2.tábl.'!D63+'1.mell.3.tábl.'!D63+'1.mell.4.tábl.'!D63</f>
        <v>0</v>
      </c>
      <c r="E63" s="129">
        <f>'1.mell.2.tábl.'!E63+'1.mell.3.tábl.'!E63+'1.mell.4.tábl.'!E63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410423582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472177498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'1.mell.2.tábl.'!C66+'1.mell.3.tábl.'!C66+'1.mell.4.tábl.'!C66</f>
        <v>73000000</v>
      </c>
      <c r="D66" s="129">
        <f>'1.mell.2.tábl.'!D66+'1.mell.3.tábl.'!D66+'1.mell.4.tábl.'!D66</f>
        <v>0</v>
      </c>
      <c r="E66" s="129">
        <f>'1.mell.2.tábl.'!E66+'1.mell.3.tábl.'!E66+'1.mell.4.tábl.'!E66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'1.mell.2.tábl.'!C67+'1.mell.3.tábl.'!C67+'1.mell.4.tábl.'!C67</f>
        <v>0</v>
      </c>
      <c r="D67" s="129">
        <f>'1.mell.2.tábl.'!D67+'1.mell.3.tábl.'!D67+'1.mell.4.tábl.'!D67</f>
        <v>0</v>
      </c>
      <c r="E67" s="129">
        <f>'1.mell.2.tábl.'!E67+'1.mell.3.tábl.'!E67+'1.mell.4.tábl.'!E67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'1.mell.2.tábl.'!C68+'1.mell.3.tábl.'!C68+'1.mell.4.tábl.'!C68</f>
        <v>0</v>
      </c>
      <c r="D68" s="261">
        <f>'1.mell.2.tábl.'!D68+'1.mell.3.tábl.'!D68+'1.mell.4.tábl.'!D68</f>
        <v>0</v>
      </c>
      <c r="E68" s="261">
        <f>'1.mell.2.tábl.'!E68+'1.mell.3.tábl.'!E68+'1.mell.4.tábl.'!E68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'1.mell.2.tábl.'!C70+'1.mell.3.tábl.'!C70+'1.mell.4.tábl.'!C70</f>
        <v>0</v>
      </c>
      <c r="D70" s="129">
        <f>'1.mell.2.tábl.'!D70+'1.mell.3.tábl.'!D70+'1.mell.4.tábl.'!D70</f>
        <v>0</v>
      </c>
      <c r="E70" s="129">
        <f>'1.mell.2.tábl.'!E70+'1.mell.3.tábl.'!E70+'1.mell.4.tábl.'!E70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'1.mell.2.tábl.'!C71+'1.mell.3.tábl.'!C71+'1.mell.4.tábl.'!C71</f>
        <v>0</v>
      </c>
      <c r="D71" s="129">
        <f>'1.mell.2.tábl.'!D71+'1.mell.3.tábl.'!D71+'1.mell.4.tábl.'!D71</f>
        <v>0</v>
      </c>
      <c r="E71" s="129">
        <f>'1.mell.2.tábl.'!E71+'1.mell.3.tábl.'!E71+'1.mell.4.tábl.'!E71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'1.mell.2.tábl.'!C72+'1.mell.3.tábl.'!C72+'1.mell.4.tábl.'!C72</f>
        <v>0</v>
      </c>
      <c r="D72" s="129">
        <f>'1.mell.2.tábl.'!D72+'1.mell.3.tábl.'!D72+'1.mell.4.tábl.'!D72</f>
        <v>0</v>
      </c>
      <c r="E72" s="129">
        <f>'1.mell.2.tábl.'!E72+'1.mell.3.tábl.'!E72+'1.mell.4.tábl.'!E72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'1.mell.2.tábl.'!C73+'1.mell.3.tábl.'!C73+'1.mell.4.tábl.'!C73</f>
        <v>0</v>
      </c>
      <c r="D73" s="129">
        <f>'1.mell.2.tábl.'!D73+'1.mell.3.tábl.'!D73+'1.mell.4.tábl.'!D73</f>
        <v>0</v>
      </c>
      <c r="E73" s="129">
        <f>'1.mell.2.tábl.'!E73+'1.mell.3.tábl.'!E73+'1.mell.4.tábl.'!E73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'1.mell.2.tábl.'!C75+'1.mell.3.tábl.'!C75+'1.mell.4.tábl.'!C75</f>
        <v>269021313</v>
      </c>
      <c r="D75" s="129">
        <f>'1.mell.2.tábl.'!D75+'1.mell.3.tábl.'!D75+'1.mell.4.tábl.'!D75</f>
        <v>19767819</v>
      </c>
      <c r="E75" s="129">
        <f>'1.mell.2.tábl.'!E75+'1.mell.3.tábl.'!E75+'1.mell.4.tábl.'!E75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'1.mell.2.tábl.'!C76+'1.mell.3.tábl.'!C76+'1.mell.4.tábl.'!C76</f>
        <v>0</v>
      </c>
      <c r="D76" s="129">
        <f>'1.mell.2.tábl.'!D76+'1.mell.3.tábl.'!D76+'1.mell.4.tábl.'!D76</f>
        <v>0</v>
      </c>
      <c r="E76" s="129">
        <f>'1.mell.2.tábl.'!E76+'1.mell.3.tábl.'!E76+'1.mell.4.tábl.'!E76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'1.mell.2.tábl.'!C78+'1.mell.3.tábl.'!C78+'1.mell.4.tábl.'!C78</f>
        <v>0</v>
      </c>
      <c r="D78" s="129">
        <f>'1.mell.2.tábl.'!D78+'1.mell.3.tábl.'!D78+'1.mell.4.tábl.'!D78</f>
        <v>7684358</v>
      </c>
      <c r="E78" s="129">
        <f>'1.mell.2.tábl.'!E78+'1.mell.3.tábl.'!E78+'1.mell.4.tábl.'!E78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'1.mell.2.tábl.'!C79+'1.mell.3.tábl.'!C79+'1.mell.4.tábl.'!C79</f>
        <v>0</v>
      </c>
      <c r="D79" s="129">
        <f>'1.mell.2.tábl.'!D79+'1.mell.3.tábl.'!D79+'1.mell.4.tábl.'!D79</f>
        <v>0</v>
      </c>
      <c r="E79" s="129">
        <f>'1.mell.2.tábl.'!E79+'1.mell.3.tábl.'!E79+'1.mell.4.tábl.'!E79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'1.mell.2.tábl.'!C80+'1.mell.3.tábl.'!C80+'1.mell.4.tábl.'!C80</f>
        <v>0</v>
      </c>
      <c r="D80" s="129">
        <f>'1.mell.2.tábl.'!D80+'1.mell.3.tábl.'!D80+'1.mell.4.tábl.'!D80</f>
        <v>0</v>
      </c>
      <c r="E80" s="129">
        <f>'1.mell.2.tábl.'!E80+'1.mell.3.tábl.'!E80+'1.mell.4.tábl.'!E80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'1.mell.2.tábl.'!C82+'1.mell.3.tábl.'!C82+'1.mell.4.tábl.'!C82</f>
        <v>0</v>
      </c>
      <c r="D82" s="129">
        <f>'1.mell.2.tábl.'!D82+'1.mell.3.tábl.'!D82+'1.mell.4.tábl.'!D82</f>
        <v>0</v>
      </c>
      <c r="E82" s="129">
        <f>'1.mell.2.tábl.'!E82+'1.mell.3.tábl.'!E82+'1.mell.4.tábl.'!E82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'1.mell.2.tábl.'!C83+'1.mell.3.tábl.'!C83+'1.mell.4.tábl.'!C83</f>
        <v>0</v>
      </c>
      <c r="D83" s="129">
        <f>'1.mell.2.tábl.'!D83+'1.mell.3.tábl.'!D83+'1.mell.4.tábl.'!D83</f>
        <v>0</v>
      </c>
      <c r="E83" s="129">
        <f>'1.mell.2.tábl.'!E83+'1.mell.3.tábl.'!E83+'1.mell.4.tábl.'!E83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'1.mell.2.tábl.'!C84+'1.mell.3.tábl.'!C84+'1.mell.4.tábl.'!C84</f>
        <v>0</v>
      </c>
      <c r="D84" s="129">
        <f>'1.mell.2.tábl.'!D84+'1.mell.3.tábl.'!D84+'1.mell.4.tábl.'!D84</f>
        <v>0</v>
      </c>
      <c r="E84" s="129">
        <f>'1.mell.2.tábl.'!E84+'1.mell.3.tábl.'!E84+'1.mell.4.tábl.'!E84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'1.mell.2.tábl.'!C85+'1.mell.3.tábl.'!C85+'1.mell.4.tábl.'!C85</f>
        <v>0</v>
      </c>
      <c r="D85" s="129">
        <f>'1.mell.2.tábl.'!D85+'1.mell.3.tábl.'!D85+'1.mell.4.tábl.'!D85</f>
        <v>0</v>
      </c>
      <c r="E85" s="129">
        <f>'1.mell.2.tábl.'!E85+'1.mell.3.tábl.'!E85+'1.mell.4.tábl.'!E85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262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2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752444895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841650988</v>
      </c>
    </row>
    <row r="90" spans="1:7" ht="16.5" customHeight="1" x14ac:dyDescent="0.25">
      <c r="A90" s="716" t="s">
        <v>659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456196352</v>
      </c>
      <c r="D95" s="125">
        <f>D96+D97+D98+D99+D100+D113</f>
        <v>80616823</v>
      </c>
      <c r="E95" s="125">
        <f>E96+E97+E98+E99+E100+E113</f>
        <v>0</v>
      </c>
      <c r="F95" s="125">
        <f>F96+F97+F98+F99+F100+F113</f>
        <v>80616823</v>
      </c>
      <c r="G95" s="262">
        <f>G96+G97+G98+G99+G100+G113</f>
        <v>536813175</v>
      </c>
    </row>
    <row r="96" spans="1:7" ht="12" customHeight="1" x14ac:dyDescent="0.25">
      <c r="A96" s="12" t="s">
        <v>59</v>
      </c>
      <c r="B96" s="357" t="s">
        <v>34</v>
      </c>
      <c r="C96" s="353">
        <f>'1.mell.2.tábl.'!C96+'1.mell.3.tábl.'!C96+'1.mell.4.tábl.'!C96</f>
        <v>147553500</v>
      </c>
      <c r="D96" s="353">
        <f>'1.mell.2.tábl.'!D96+'1.mell.3.tábl.'!D96+'1.mell.4.tábl.'!D96</f>
        <v>3201000</v>
      </c>
      <c r="E96" s="353">
        <f>'1.mell.2.tábl.'!E96+'1.mell.3.tábl.'!E96+'1.mell.4.tábl.'!E96</f>
        <v>-15000</v>
      </c>
      <c r="F96" s="368">
        <f t="shared" ref="F96:F115" si="8">D96+E96</f>
        <v>3186000</v>
      </c>
      <c r="G96" s="228">
        <f t="shared" ref="G96:G115" si="9">C96+F96</f>
        <v>150739500</v>
      </c>
    </row>
    <row r="97" spans="1:7" ht="12" customHeight="1" x14ac:dyDescent="0.25">
      <c r="A97" s="9" t="s">
        <v>60</v>
      </c>
      <c r="B97" s="358" t="s">
        <v>103</v>
      </c>
      <c r="C97" s="350">
        <f>'1.mell.2.tábl.'!C97+'1.mell.3.tábl.'!C97+'1.mell.4.tábl.'!C97</f>
        <v>26445000</v>
      </c>
      <c r="D97" s="350">
        <f>'1.mell.2.tábl.'!D97+'1.mell.3.tábl.'!D97+'1.mell.4.tábl.'!D97</f>
        <v>-979000</v>
      </c>
      <c r="E97" s="350">
        <f>'1.mell.2.tábl.'!E97+'1.mell.3.tábl.'!E97+'1.mell.4.tábl.'!E97</f>
        <v>0</v>
      </c>
      <c r="F97" s="365">
        <f t="shared" si="8"/>
        <v>-979000</v>
      </c>
      <c r="G97" s="224">
        <f t="shared" si="9"/>
        <v>25466000</v>
      </c>
    </row>
    <row r="98" spans="1:7" ht="12" customHeight="1" x14ac:dyDescent="0.25">
      <c r="A98" s="9" t="s">
        <v>61</v>
      </c>
      <c r="B98" s="358" t="s">
        <v>78</v>
      </c>
      <c r="C98" s="350">
        <f>'1.mell.2.tábl.'!C98+'1.mell.3.tábl.'!C98+'1.mell.4.tábl.'!C98</f>
        <v>152882000</v>
      </c>
      <c r="D98" s="350">
        <f>'1.mell.2.tábl.'!D98+'1.mell.3.tábl.'!D98+'1.mell.4.tábl.'!D98</f>
        <v>7402115</v>
      </c>
      <c r="E98" s="350">
        <f>'1.mell.2.tábl.'!E98+'1.mell.3.tábl.'!E98+'1.mell.4.tábl.'!E98</f>
        <v>1081000</v>
      </c>
      <c r="F98" s="366">
        <f t="shared" si="8"/>
        <v>8483115</v>
      </c>
      <c r="G98" s="225">
        <f t="shared" si="9"/>
        <v>161365115</v>
      </c>
    </row>
    <row r="99" spans="1:7" ht="12" customHeight="1" x14ac:dyDescent="0.25">
      <c r="A99" s="9" t="s">
        <v>62</v>
      </c>
      <c r="B99" s="359" t="s">
        <v>104</v>
      </c>
      <c r="C99" s="350">
        <f>'1.mell.2.tábl.'!C99+'1.mell.3.tábl.'!C99+'1.mell.4.tábl.'!C99</f>
        <v>5390000</v>
      </c>
      <c r="D99" s="350">
        <f>'1.mell.2.tábl.'!D99+'1.mell.3.tábl.'!D99+'1.mell.4.tábl.'!D99</f>
        <v>-385200</v>
      </c>
      <c r="E99" s="350">
        <f>'1.mell.2.tábl.'!E99+'1.mell.3.tábl.'!E99+'1.mell.4.tábl.'!E99</f>
        <v>0</v>
      </c>
      <c r="F99" s="366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'1.mell.2.tábl.'!C100+'1.mell.3.tábl.'!C100+'1.mell.4.tábl.'!C100</f>
        <v>122899000</v>
      </c>
      <c r="D100" s="350">
        <f>'1.mell.2.tábl.'!D100+'1.mell.3.tábl.'!D100+'1.mell.4.tábl.'!D100</f>
        <v>2952629</v>
      </c>
      <c r="E100" s="350">
        <f>'1.mell.2.tábl.'!E100+'1.mell.3.tábl.'!E100+'1.mell.4.tábl.'!E100</f>
        <v>0</v>
      </c>
      <c r="F100" s="366">
        <f>D100+E100</f>
        <v>2952629</v>
      </c>
      <c r="G100" s="225">
        <f t="shared" si="9"/>
        <v>125851629</v>
      </c>
    </row>
    <row r="101" spans="1:7" ht="12" customHeight="1" x14ac:dyDescent="0.25">
      <c r="A101" s="9" t="s">
        <v>63</v>
      </c>
      <c r="B101" s="358" t="s">
        <v>305</v>
      </c>
      <c r="C101" s="350">
        <f>'1.mell.2.tábl.'!C101+'1.mell.3.tábl.'!C101+'1.mell.4.tábl.'!C101</f>
        <v>705000</v>
      </c>
      <c r="D101" s="350">
        <f>'1.mell.2.tábl.'!D101+'1.mell.3.tábl.'!D101+'1.mell.4.tábl.'!D101</f>
        <v>0</v>
      </c>
      <c r="E101" s="350">
        <f>'1.mell.2.tábl.'!E101+'1.mell.3.tábl.'!E101+'1.mell.4.tábl.'!E101</f>
        <v>0</v>
      </c>
      <c r="F101" s="366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360" t="s">
        <v>304</v>
      </c>
      <c r="C102" s="350">
        <f>'1.mell.2.tábl.'!C102+'1.mell.3.tábl.'!C102+'1.mell.4.tábl.'!C102</f>
        <v>0</v>
      </c>
      <c r="D102" s="350">
        <f>'1.mell.2.tábl.'!D102+'1.mell.3.tábl.'!D102+'1.mell.4.tábl.'!D102</f>
        <v>0</v>
      </c>
      <c r="E102" s="350">
        <f>'1.mell.2.tábl.'!E102+'1.mell.3.tábl.'!E102+'1.mell.4.tábl.'!E102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'1.mell.2.tábl.'!C103+'1.mell.3.tábl.'!C103+'1.mell.4.tábl.'!C103</f>
        <v>0</v>
      </c>
      <c r="D103" s="350">
        <f>'1.mell.2.tábl.'!D103+'1.mell.3.tábl.'!D103+'1.mell.4.tábl.'!D103</f>
        <v>0</v>
      </c>
      <c r="E103" s="350">
        <f>'1.mell.2.tábl.'!E103+'1.mell.3.tábl.'!E103+'1.mell.4.tábl.'!E103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'1.mell.2.tábl.'!C104+'1.mell.3.tábl.'!C104+'1.mell.4.tábl.'!C104</f>
        <v>0</v>
      </c>
      <c r="D104" s="350">
        <f>'1.mell.2.tábl.'!D104+'1.mell.3.tábl.'!D104+'1.mell.4.tábl.'!D104</f>
        <v>0</v>
      </c>
      <c r="E104" s="350">
        <f>'1.mell.2.tábl.'!E104+'1.mell.3.tábl.'!E104+'1.mell.4.tábl.'!E104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'1.mell.2.tábl.'!C105+'1.mell.3.tábl.'!C105+'1.mell.4.tábl.'!C105</f>
        <v>0</v>
      </c>
      <c r="D105" s="350">
        <f>'1.mell.2.tábl.'!D105+'1.mell.3.tábl.'!D105+'1.mell.4.tábl.'!D105</f>
        <v>0</v>
      </c>
      <c r="E105" s="350">
        <f>'1.mell.2.tábl.'!E105+'1.mell.3.tábl.'!E105+'1.mell.4.tábl.'!E105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'1.mell.2.tábl.'!C106+'1.mell.3.tábl.'!C106+'1.mell.4.tábl.'!C106</f>
        <v>0</v>
      </c>
      <c r="D106" s="350">
        <f>'1.mell.2.tábl.'!D106+'1.mell.3.tábl.'!D106+'1.mell.4.tábl.'!D106</f>
        <v>0</v>
      </c>
      <c r="E106" s="350">
        <f>'1.mell.2.tábl.'!E106+'1.mell.3.tábl.'!E106+'1.mell.4.tábl.'!E106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'1.mell.2.tábl.'!C107+'1.mell.3.tábl.'!C107+'1.mell.4.tábl.'!C107</f>
        <v>121744000</v>
      </c>
      <c r="D107" s="350">
        <f>'1.mell.2.tábl.'!D107+'1.mell.3.tábl.'!D107+'1.mell.4.tábl.'!D107</f>
        <v>313629</v>
      </c>
      <c r="E107" s="350">
        <f>'1.mell.2.tábl.'!E107+'1.mell.3.tábl.'!E107+'1.mell.4.tábl.'!E107</f>
        <v>0</v>
      </c>
      <c r="F107" s="366">
        <f t="shared" si="8"/>
        <v>313629</v>
      </c>
      <c r="G107" s="225">
        <f t="shared" si="9"/>
        <v>122057629</v>
      </c>
    </row>
    <row r="108" spans="1:7" ht="12" customHeight="1" x14ac:dyDescent="0.25">
      <c r="A108" s="9" t="s">
        <v>106</v>
      </c>
      <c r="B108" s="361" t="s">
        <v>241</v>
      </c>
      <c r="C108" s="350">
        <f>'1.mell.2.tábl.'!C108+'1.mell.3.tábl.'!C108+'1.mell.4.tábl.'!C108</f>
        <v>0</v>
      </c>
      <c r="D108" s="350">
        <f>'1.mell.2.tábl.'!D108+'1.mell.3.tábl.'!D108+'1.mell.4.tábl.'!D108</f>
        <v>0</v>
      </c>
      <c r="E108" s="350">
        <f>'1.mell.2.tábl.'!E108+'1.mell.3.tábl.'!E108+'1.mell.4.tábl.'!E108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'1.mell.2.tábl.'!C109+'1.mell.3.tábl.'!C109+'1.mell.4.tábl.'!C109</f>
        <v>0</v>
      </c>
      <c r="D109" s="350">
        <f>'1.mell.2.tábl.'!D109+'1.mell.3.tábl.'!D109+'1.mell.4.tábl.'!D109</f>
        <v>0</v>
      </c>
      <c r="E109" s="350">
        <f>'1.mell.2.tábl.'!E109+'1.mell.3.tábl.'!E109+'1.mell.4.tábl.'!E109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'1.mell.2.tábl.'!C110+'1.mell.3.tábl.'!C110+'1.mell.4.tábl.'!C110</f>
        <v>0</v>
      </c>
      <c r="D110" s="350">
        <f>'1.mell.2.tábl.'!D110+'1.mell.3.tábl.'!D110+'1.mell.4.tábl.'!D110</f>
        <v>0</v>
      </c>
      <c r="E110" s="350">
        <f>'1.mell.2.tábl.'!E110+'1.mell.3.tábl.'!E110+'1.mell.4.tábl.'!E110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'1.mell.2.tábl.'!C111+'1.mell.3.tábl.'!C111+'1.mell.4.tábl.'!C111</f>
        <v>0</v>
      </c>
      <c r="D111" s="350">
        <f>'1.mell.2.tábl.'!D111+'1.mell.3.tábl.'!D111+'1.mell.4.tábl.'!D111</f>
        <v>0</v>
      </c>
      <c r="E111" s="350">
        <f>'1.mell.2.tábl.'!E111+'1.mell.3.tábl.'!E111+'1.mell.4.tábl.'!E111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'1.mell.2.tábl.'!C112+'1.mell.3.tábl.'!C112+'1.mell.4.tábl.'!C112</f>
        <v>450000</v>
      </c>
      <c r="D112" s="350">
        <f>'1.mell.2.tábl.'!D112+'1.mell.3.tábl.'!D112+'1.mell.4.tábl.'!D112</f>
        <v>2639000</v>
      </c>
      <c r="E112" s="350">
        <f>'1.mell.2.tábl.'!E112+'1.mell.3.tábl.'!E112+'1.mell.4.tábl.'!E112</f>
        <v>0</v>
      </c>
      <c r="F112" s="366">
        <f t="shared" si="8"/>
        <v>2639000</v>
      </c>
      <c r="G112" s="225">
        <f t="shared" si="9"/>
        <v>3089000</v>
      </c>
    </row>
    <row r="113" spans="1:7" ht="12" customHeight="1" x14ac:dyDescent="0.25">
      <c r="A113" s="9" t="s">
        <v>306</v>
      </c>
      <c r="B113" s="359" t="s">
        <v>35</v>
      </c>
      <c r="C113" s="350">
        <f>'1.mell.2.tábl.'!C113+'1.mell.3.tábl.'!C113+'1.mell.4.tábl.'!C113</f>
        <v>1026852</v>
      </c>
      <c r="D113" s="350">
        <f>'1.mell.2.tábl.'!D113+'1.mell.3.tábl.'!D113+'1.mell.4.tábl.'!D113</f>
        <v>68425279</v>
      </c>
      <c r="E113" s="350">
        <f>'1.mell.2.tábl.'!E113+'1.mell.3.tábl.'!E113+'1.mell.4.tábl.'!E113</f>
        <v>-1066000</v>
      </c>
      <c r="F113" s="365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58" t="s">
        <v>309</v>
      </c>
      <c r="C114" s="350">
        <f>'1.mell.2.tábl.'!C114+'1.mell.3.tábl.'!C114+'1.mell.4.tábl.'!C114</f>
        <v>200000</v>
      </c>
      <c r="D114" s="350">
        <f>'1.mell.2.tábl.'!D114+'1.mell.3.tábl.'!D114+'1.mell.4.tábl.'!D114</f>
        <v>39383279</v>
      </c>
      <c r="E114" s="350">
        <f>'1.mell.2.tábl.'!E114+'1.mell.3.tábl.'!E114+'1.mell.4.tábl.'!E114</f>
        <v>-1066000</v>
      </c>
      <c r="F114" s="365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'1.mell.2.tábl.'!C115+'1.mell.3.tábl.'!C115+'1.mell.4.tábl.'!C115</f>
        <v>826852</v>
      </c>
      <c r="D115" s="355">
        <f>'1.mell.2.tábl.'!D115+'1.mell.3.tábl.'!D115+'1.mell.4.tábl.'!D115</f>
        <v>29042000</v>
      </c>
      <c r="E115" s="355">
        <f>'1.mell.2.tábl.'!E115+'1.mell.3.tábl.'!E115+'1.mell.4.tábl.'!E115</f>
        <v>0</v>
      </c>
      <c r="F115" s="367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8589270</v>
      </c>
      <c r="E116" s="186">
        <f>+E117+E119+E121</f>
        <v>0</v>
      </c>
      <c r="F116" s="186">
        <f>+F117+F119+F121</f>
        <v>8589270</v>
      </c>
      <c r="G116" s="181">
        <f>+G117+G119+G121</f>
        <v>293314270</v>
      </c>
    </row>
    <row r="117" spans="1:7" ht="12" customHeight="1" x14ac:dyDescent="0.25">
      <c r="A117" s="10" t="s">
        <v>65</v>
      </c>
      <c r="B117" s="3" t="s">
        <v>121</v>
      </c>
      <c r="C117" s="127">
        <f>'1.mell.2.tábl.'!C117+'1.mell.3.tábl.'!C117+'1.mell.4.tábl.'!C117</f>
        <v>283725000</v>
      </c>
      <c r="D117" s="127">
        <f>'1.mell.2.tábl.'!D117+'1.mell.3.tábl.'!D117+'1.mell.4.tábl.'!D117</f>
        <v>-4942730</v>
      </c>
      <c r="E117" s="127">
        <f>'1.mell.2.tábl.'!E117+'1.mell.3.tábl.'!E117+'1.mell.4.tábl.'!E117</f>
        <v>0</v>
      </c>
      <c r="F117" s="168">
        <f t="shared" ref="F117:F129" si="10">D117+E117</f>
        <v>-4942730</v>
      </c>
      <c r="G117" s="167">
        <f t="shared" ref="G117:G129" si="11">C117+F117</f>
        <v>278782270</v>
      </c>
    </row>
    <row r="118" spans="1:7" ht="12" customHeight="1" x14ac:dyDescent="0.25">
      <c r="A118" s="10" t="s">
        <v>66</v>
      </c>
      <c r="B118" s="7" t="s">
        <v>250</v>
      </c>
      <c r="C118" s="127">
        <f>'1.mell.2.tábl.'!C118+'1.mell.3.tábl.'!C118+'1.mell.4.tábl.'!C118</f>
        <v>265669000</v>
      </c>
      <c r="D118" s="127">
        <f>'1.mell.2.tábl.'!D118+'1.mell.3.tábl.'!D118+'1.mell.4.tábl.'!D118</f>
        <v>1203000</v>
      </c>
      <c r="E118" s="127">
        <f>'1.mell.2.tábl.'!E118+'1.mell.3.tábl.'!E118+'1.mell.4.tábl.'!E118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'1.mell.2.tábl.'!C119+'1.mell.3.tábl.'!C119+'1.mell.4.tábl.'!C119</f>
        <v>0</v>
      </c>
      <c r="D119" s="127">
        <f>'1.mell.2.tábl.'!D119+'1.mell.3.tábl.'!D119+'1.mell.4.tábl.'!D119</f>
        <v>13469000</v>
      </c>
      <c r="E119" s="127">
        <f>'1.mell.2.tábl.'!E119+'1.mell.3.tábl.'!E119+'1.mell.4.tábl.'!E119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'1.mell.2.tábl.'!C120+'1.mell.3.tábl.'!C120+'1.mell.4.tábl.'!C120</f>
        <v>0</v>
      </c>
      <c r="D120" s="127">
        <f>'1.mell.2.tábl.'!D120+'1.mell.3.tábl.'!D120+'1.mell.4.tábl.'!D120</f>
        <v>0</v>
      </c>
      <c r="E120" s="127">
        <f>'1.mell.2.tábl.'!E120+'1.mell.3.tábl.'!E120+'1.mell.4.tábl.'!E120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'1.mell.2.tábl.'!C121+'1.mell.3.tábl.'!C121+'1.mell.4.tábl.'!C121</f>
        <v>1000000</v>
      </c>
      <c r="D121" s="127">
        <f>'1.mell.2.tábl.'!D121+'1.mell.3.tábl.'!D121+'1.mell.4.tábl.'!D121</f>
        <v>63000</v>
      </c>
      <c r="E121" s="127">
        <f>'1.mell.2.tábl.'!E121+'1.mell.3.tábl.'!E121+'1.mell.4.tábl.'!E121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'1.mell.2.tábl.'!C122+'1.mell.3.tábl.'!C122+'1.mell.4.tábl.'!C122</f>
        <v>0</v>
      </c>
      <c r="D122" s="127">
        <f>'1.mell.2.tábl.'!D122+'1.mell.3.tábl.'!D122+'1.mell.4.tábl.'!D122</f>
        <v>0</v>
      </c>
      <c r="E122" s="127">
        <f>'1.mell.2.tábl.'!E122+'1.mell.3.tábl.'!E122+'1.mell.4.tábl.'!E122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'1.mell.2.tábl.'!C123+'1.mell.3.tábl.'!C123+'1.mell.4.tábl.'!C123</f>
        <v>0</v>
      </c>
      <c r="D123" s="127">
        <f>'1.mell.2.tábl.'!D123+'1.mell.3.tábl.'!D123+'1.mell.4.tábl.'!D123</f>
        <v>0</v>
      </c>
      <c r="E123" s="127">
        <f>'1.mell.2.tábl.'!E123+'1.mell.3.tábl.'!E123+'1.mell.4.tábl.'!E123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'1.mell.2.tábl.'!C124+'1.mell.3.tábl.'!C124+'1.mell.4.tábl.'!C124</f>
        <v>1000000</v>
      </c>
      <c r="D124" s="127">
        <f>'1.mell.2.tábl.'!D124+'1.mell.3.tábl.'!D124+'1.mell.4.tábl.'!D124</f>
        <v>-1000000</v>
      </c>
      <c r="E124" s="127">
        <f>'1.mell.2.tábl.'!E124+'1.mell.3.tábl.'!E124+'1.mell.4.tábl.'!E124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'1.mell.2.tábl.'!C125+'1.mell.3.tábl.'!C125+'1.mell.4.tábl.'!C125</f>
        <v>0</v>
      </c>
      <c r="D125" s="127">
        <f>'1.mell.2.tábl.'!D125+'1.mell.3.tábl.'!D125+'1.mell.4.tábl.'!D125</f>
        <v>1063000</v>
      </c>
      <c r="E125" s="127">
        <f>'1.mell.2.tábl.'!E125+'1.mell.3.tábl.'!E125+'1.mell.4.tábl.'!E125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'1.mell.2.tábl.'!C126+'1.mell.3.tábl.'!C126+'1.mell.4.tábl.'!C126</f>
        <v>0</v>
      </c>
      <c r="D126" s="127">
        <f>'1.mell.2.tábl.'!D126+'1.mell.3.tábl.'!D126+'1.mell.4.tábl.'!D126</f>
        <v>0</v>
      </c>
      <c r="E126" s="127">
        <f>'1.mell.2.tábl.'!E126+'1.mell.3.tábl.'!E126+'1.mell.4.tábl.'!E126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'1.mell.2.tábl.'!C127+'1.mell.3.tábl.'!C127+'1.mell.4.tábl.'!C127</f>
        <v>0</v>
      </c>
      <c r="D127" s="127">
        <f>'1.mell.2.tábl.'!D127+'1.mell.3.tábl.'!D127+'1.mell.4.tábl.'!D127</f>
        <v>0</v>
      </c>
      <c r="E127" s="127">
        <f>'1.mell.2.tábl.'!E127+'1.mell.3.tábl.'!E127+'1.mell.4.tábl.'!E127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'1.mell.2.tábl.'!C128+'1.mell.3.tábl.'!C128+'1.mell.4.tábl.'!C128</f>
        <v>0</v>
      </c>
      <c r="D128" s="127">
        <f>'1.mell.2.tábl.'!D128+'1.mell.3.tábl.'!D128+'1.mell.4.tábl.'!D128</f>
        <v>0</v>
      </c>
      <c r="E128" s="127">
        <f>'1.mell.2.tábl.'!E128+'1.mell.3.tábl.'!E128+'1.mell.4.tábl.'!E128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'1.mell.2.tábl.'!C129+'1.mell.3.tábl.'!C129+'1.mell.4.tábl.'!C129</f>
        <v>0</v>
      </c>
      <c r="D129" s="127">
        <f>'1.mell.2.tábl.'!D129+'1.mell.3.tábl.'!D129+'1.mell.4.tábl.'!D129</f>
        <v>0</v>
      </c>
      <c r="E129" s="127">
        <f>'1.mell.2.tábl.'!E129+'1.mell.3.tábl.'!E129+'1.mell.4.tábl.'!E129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740921352</v>
      </c>
      <c r="D130" s="192">
        <f>+D95+D116</f>
        <v>89206093</v>
      </c>
      <c r="E130" s="125">
        <f>+E95+E116</f>
        <v>0</v>
      </c>
      <c r="F130" s="125">
        <f>+F95+F116</f>
        <v>89206093</v>
      </c>
      <c r="G130" s="70">
        <f>+G95+G116</f>
        <v>830127445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'1.mell.2.tábl.'!C132+'1.mell.3.tábl.'!C132+'1.mell.4.tábl.'!C132</f>
        <v>4100000</v>
      </c>
      <c r="D132" s="126">
        <f>'1.mell.2.tábl.'!D132+'1.mell.3.tábl.'!D132+'1.mell.4.tábl.'!D132</f>
        <v>0</v>
      </c>
      <c r="E132" s="126">
        <f>'1.mell.2.tábl.'!E132+'1.mell.3.tábl.'!E132+'1.mell.4.tábl.'!E132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'1.mell.2.tábl.'!C133+'1.mell.3.tábl.'!C133+'1.mell.4.tábl.'!C133</f>
        <v>0</v>
      </c>
      <c r="D133" s="126">
        <f>'1.mell.2.tábl.'!D133+'1.mell.3.tábl.'!D133+'1.mell.4.tábl.'!D133</f>
        <v>0</v>
      </c>
      <c r="E133" s="126">
        <f>'1.mell.2.tábl.'!E133+'1.mell.3.tábl.'!E133+'1.mell.4.tábl.'!E133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'1.mell.2.tábl.'!C134+'1.mell.3.tábl.'!C134+'1.mell.4.tábl.'!C134</f>
        <v>0</v>
      </c>
      <c r="D134" s="126">
        <f>'1.mell.2.tábl.'!D134+'1.mell.3.tábl.'!D134+'1.mell.4.tábl.'!D134</f>
        <v>0</v>
      </c>
      <c r="E134" s="126">
        <f>'1.mell.2.tábl.'!E134+'1.mell.3.tábl.'!E134+'1.mell.4.tábl.'!E134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'1.mell.2.tábl.'!C136+'1.mell.3.tábl.'!C136+'1.mell.4.tábl.'!C136</f>
        <v>0</v>
      </c>
      <c r="D136" s="126">
        <f>'1.mell.2.tábl.'!D136+'1.mell.3.tábl.'!D136+'1.mell.4.tábl.'!D136</f>
        <v>0</v>
      </c>
      <c r="E136" s="126">
        <f>'1.mell.2.tábl.'!E136+'1.mell.3.tábl.'!E136+'1.mell.4.tábl.'!E136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'1.mell.2.tábl.'!C137+'1.mell.3.tábl.'!C137+'1.mell.4.tábl.'!C137</f>
        <v>0</v>
      </c>
      <c r="D137" s="126">
        <f>'1.mell.2.tábl.'!D137+'1.mell.3.tábl.'!D137+'1.mell.4.tábl.'!D137</f>
        <v>0</v>
      </c>
      <c r="E137" s="126">
        <f>'1.mell.2.tábl.'!E137+'1.mell.3.tábl.'!E137+'1.mell.4.tábl.'!E137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'1.mell.2.tábl.'!C138+'1.mell.3.tábl.'!C138+'1.mell.4.tábl.'!C138</f>
        <v>0</v>
      </c>
      <c r="D138" s="126">
        <f>'1.mell.2.tábl.'!D138+'1.mell.3.tábl.'!D138+'1.mell.4.tábl.'!D138</f>
        <v>0</v>
      </c>
      <c r="E138" s="126">
        <f>'1.mell.2.tábl.'!E138+'1.mell.3.tábl.'!E138+'1.mell.4.tábl.'!E138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'1.mell.2.tábl.'!C139+'1.mell.3.tábl.'!C139+'1.mell.4.tábl.'!C139</f>
        <v>0</v>
      </c>
      <c r="D139" s="126">
        <f>'1.mell.2.tábl.'!D139+'1.mell.3.tábl.'!D139+'1.mell.4.tábl.'!D139</f>
        <v>0</v>
      </c>
      <c r="E139" s="126">
        <f>'1.mell.2.tábl.'!E139+'1.mell.3.tábl.'!E139+'1.mell.4.tábl.'!E139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'1.mell.2.tábl.'!C140+'1.mell.3.tábl.'!C140+'1.mell.4.tábl.'!C140</f>
        <v>0</v>
      </c>
      <c r="D140" s="126">
        <f>'1.mell.2.tábl.'!D140+'1.mell.3.tábl.'!D140+'1.mell.4.tábl.'!D140</f>
        <v>0</v>
      </c>
      <c r="E140" s="126">
        <f>'1.mell.2.tábl.'!E140+'1.mell.3.tábl.'!E140+'1.mell.4.tábl.'!E140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'1.mell.2.tábl.'!C141+'1.mell.3.tábl.'!C141+'1.mell.4.tábl.'!C141</f>
        <v>0</v>
      </c>
      <c r="D141" s="126">
        <f>'1.mell.2.tábl.'!D141+'1.mell.3.tábl.'!D141+'1.mell.4.tábl.'!D141</f>
        <v>0</v>
      </c>
      <c r="E141" s="126">
        <f>'1.mell.2.tábl.'!E141+'1.mell.3.tábl.'!E141+'1.mell.4.tábl.'!E141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'1.mell.2.tábl.'!C143+'1.mell.3.tábl.'!C143+'1.mell.4.tábl.'!C143</f>
        <v>0</v>
      </c>
      <c r="D143" s="126">
        <f>'1.mell.2.tábl.'!D143+'1.mell.3.tábl.'!D143+'1.mell.4.tábl.'!D143</f>
        <v>0</v>
      </c>
      <c r="E143" s="126">
        <f>'1.mell.2.tábl.'!E143+'1.mell.3.tábl.'!E143+'1.mell.4.tábl.'!E143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'1.mell.2.tábl.'!C144+'1.mell.3.tábl.'!C144+'1.mell.4.tábl.'!C144</f>
        <v>7423543</v>
      </c>
      <c r="D144" s="126">
        <f>'1.mell.2.tábl.'!D144+'1.mell.3.tábl.'!D144+'1.mell.4.tábl.'!D144</f>
        <v>0</v>
      </c>
      <c r="E144" s="126">
        <f>'1.mell.2.tábl.'!E144+'1.mell.3.tábl.'!E144+'1.mell.4.tábl.'!E144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'1.mell.2.tábl.'!C145+'1.mell.3.tábl.'!C145+'1.mell.4.tábl.'!C145</f>
        <v>0</v>
      </c>
      <c r="D145" s="126">
        <f>'1.mell.2.tábl.'!D145+'1.mell.3.tábl.'!D145+'1.mell.4.tábl.'!D145</f>
        <v>0</v>
      </c>
      <c r="E145" s="126">
        <f>'1.mell.2.tábl.'!E145+'1.mell.3.tábl.'!E145+'1.mell.4.tábl.'!E145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'1.mell.2.tábl.'!C146+'1.mell.3.tábl.'!C146+'1.mell.4.tábl.'!C146</f>
        <v>0</v>
      </c>
      <c r="D146" s="126">
        <f>'1.mell.2.tábl.'!D146+'1.mell.3.tábl.'!D146+'1.mell.4.tábl.'!D146</f>
        <v>0</v>
      </c>
      <c r="E146" s="126">
        <f>'1.mell.2.tábl.'!E146+'1.mell.3.tábl.'!E146+'1.mell.4.tábl.'!E146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'1.mell.2.tábl.'!C148+'1.mell.3.tábl.'!C148+'1.mell.4.tábl.'!C148</f>
        <v>0</v>
      </c>
      <c r="D148" s="126">
        <f>'1.mell.2.tábl.'!D148+'1.mell.3.tábl.'!D148+'1.mell.4.tábl.'!D148</f>
        <v>0</v>
      </c>
      <c r="E148" s="126">
        <f>'1.mell.2.tábl.'!E148+'1.mell.3.tábl.'!E148+'1.mell.4.tábl.'!E148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'1.mell.2.tábl.'!C149+'1.mell.3.tábl.'!C149+'1.mell.4.tábl.'!C149</f>
        <v>0</v>
      </c>
      <c r="D149" s="126">
        <f>'1.mell.2.tábl.'!D149+'1.mell.3.tábl.'!D149+'1.mell.4.tábl.'!D149</f>
        <v>0</v>
      </c>
      <c r="E149" s="126">
        <f>'1.mell.2.tábl.'!E149+'1.mell.3.tábl.'!E149+'1.mell.4.tábl.'!E149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'1.mell.2.tábl.'!C150+'1.mell.3.tábl.'!C150+'1.mell.4.tábl.'!C150</f>
        <v>0</v>
      </c>
      <c r="D150" s="126">
        <f>'1.mell.2.tábl.'!D150+'1.mell.3.tábl.'!D150+'1.mell.4.tábl.'!D150</f>
        <v>0</v>
      </c>
      <c r="E150" s="126">
        <f>'1.mell.2.tábl.'!E150+'1.mell.3.tábl.'!E150+'1.mell.4.tábl.'!E150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'1.mell.2.tábl.'!C151+'1.mell.3.tábl.'!C151+'1.mell.4.tábl.'!C151</f>
        <v>0</v>
      </c>
      <c r="D151" s="126">
        <f>'1.mell.2.tábl.'!D151+'1.mell.3.tábl.'!D151+'1.mell.4.tábl.'!D151</f>
        <v>0</v>
      </c>
      <c r="E151" s="126">
        <f>'1.mell.2.tábl.'!E151+'1.mell.3.tábl.'!E151+'1.mell.4.tábl.'!E151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'1.mell.2.tábl.'!C152+'1.mell.3.tábl.'!C152+'1.mell.4.tábl.'!C152</f>
        <v>0</v>
      </c>
      <c r="D152" s="126">
        <f>'1.mell.2.tábl.'!D152+'1.mell.3.tábl.'!D152+'1.mell.4.tábl.'!D152</f>
        <v>0</v>
      </c>
      <c r="E152" s="126">
        <f>'1.mell.2.tábl.'!E152+'1.mell.3.tábl.'!E152+'1.mell.4.tábl.'!E152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377" t="s">
        <v>335</v>
      </c>
      <c r="C156" s="378">
        <f>+C130+C155</f>
        <v>752444895</v>
      </c>
      <c r="D156" s="379">
        <f>+D130+D155</f>
        <v>89206093</v>
      </c>
      <c r="E156" s="378">
        <f>+E130+E155</f>
        <v>0</v>
      </c>
      <c r="F156" s="378">
        <f>+F130+F155</f>
        <v>89206093</v>
      </c>
      <c r="G156" s="380">
        <f>+G130+G155</f>
        <v>841650988</v>
      </c>
    </row>
    <row r="157" spans="1:11" ht="7.5" customHeight="1" x14ac:dyDescent="0.25"/>
    <row r="158" spans="1:11" x14ac:dyDescent="0.25">
      <c r="A158" s="727" t="s">
        <v>660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-330497770</v>
      </c>
      <c r="D160" s="125">
        <f>+D64-D130</f>
        <v>-27452177</v>
      </c>
      <c r="E160" s="125">
        <f>+E64-E130</f>
        <v>0</v>
      </c>
      <c r="F160" s="125">
        <f>+F64-F130</f>
        <v>-27452177</v>
      </c>
      <c r="G160" s="70">
        <f>+G64-G130</f>
        <v>-357949947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:G1"/>
    <mergeCell ref="A90:G90"/>
    <mergeCell ref="A2:B2"/>
    <mergeCell ref="A91:B91"/>
    <mergeCell ref="A159:B159"/>
    <mergeCell ref="A3:A4"/>
    <mergeCell ref="B3:B4"/>
    <mergeCell ref="C3:G3"/>
    <mergeCell ref="A92:A93"/>
    <mergeCell ref="B92:B93"/>
    <mergeCell ref="C92:G92"/>
    <mergeCell ref="A158:G158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1. SÁGVÁR KÖZSÉG ÖNKORMÁNYZAT
2020. ÉVI KÖLTSÉGVETÉSÉNEK ÖSSZEVONT MÓDOSÍTOTT MÉRLEGE&amp;10
&amp;R&amp;"Times New Roman CE,Félkövér"
&amp;8 </oddHeader>
  </headerFooter>
  <rowBreaks count="2" manualBreakCount="2">
    <brk id="64" max="6" man="1"/>
    <brk id="89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showWhiteSpace="0" view="pageLayout" zoomScaleNormal="100" zoomScaleSheetLayoutView="214" workbookViewId="0">
      <selection activeCell="B2" sqref="B2:F2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72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1000</v>
      </c>
      <c r="D45" s="194"/>
      <c r="E45" s="126"/>
      <c r="F45" s="290">
        <f t="shared" si="8"/>
        <v>0</v>
      </c>
      <c r="G45" s="264">
        <f t="shared" si="9"/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30">
        <v>1000</v>
      </c>
      <c r="D48" s="220"/>
      <c r="E48" s="130"/>
      <c r="F48" s="294">
        <f t="shared" si="8"/>
        <v>0</v>
      </c>
      <c r="G48" s="268">
        <f t="shared" si="9"/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125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3528987</v>
      </c>
      <c r="D76" s="129">
        <v>-975615</v>
      </c>
      <c r="E76" s="129"/>
      <c r="F76" s="288">
        <f>D76+E76</f>
        <v>-975615</v>
      </c>
      <c r="G76" s="267">
        <f>C76+F76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>
        <v>82587013</v>
      </c>
      <c r="D78" s="258"/>
      <c r="E78" s="258"/>
      <c r="F78" s="288">
        <f>D78+E78</f>
        <v>0</v>
      </c>
      <c r="G78" s="267">
        <f>C78+F78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85348000</v>
      </c>
      <c r="D93" s="270">
        <f>+D94+D95+D96+D97+D98+D111</f>
        <v>-1135885</v>
      </c>
      <c r="E93" s="124">
        <f>+E94+E95+E96+E97+E98+E111</f>
        <v>0</v>
      </c>
      <c r="F93" s="124">
        <f>+F94+F95+F96+F97+F98+F111</f>
        <v>-1135885</v>
      </c>
      <c r="G93" s="274">
        <f>+G94+G95+G96+G97+G98+G111</f>
        <v>84212115</v>
      </c>
    </row>
    <row r="94" spans="1:7" ht="12" customHeight="1" x14ac:dyDescent="0.2">
      <c r="A94" s="162" t="s">
        <v>59</v>
      </c>
      <c r="B94" s="5" t="s">
        <v>34</v>
      </c>
      <c r="C94" s="184">
        <v>63902000</v>
      </c>
      <c r="D94" s="184">
        <f>230000+46000</f>
        <v>276000</v>
      </c>
      <c r="E94" s="184"/>
      <c r="F94" s="289">
        <f t="shared" ref="F94:F113" si="12">D94+E94</f>
        <v>276000</v>
      </c>
      <c r="G94" s="275">
        <f t="shared" ref="G94:G113" si="13">C94+F94</f>
        <v>64178000</v>
      </c>
    </row>
    <row r="95" spans="1:7" ht="12" customHeight="1" x14ac:dyDescent="0.2">
      <c r="A95" s="155" t="s">
        <v>60</v>
      </c>
      <c r="B95" s="3" t="s">
        <v>103</v>
      </c>
      <c r="C95" s="126">
        <v>11546000</v>
      </c>
      <c r="D95" s="126">
        <f>-32000-230000-46000-800000</f>
        <v>-1108000</v>
      </c>
      <c r="E95" s="126"/>
      <c r="F95" s="290">
        <f t="shared" si="12"/>
        <v>-1108000</v>
      </c>
      <c r="G95" s="264">
        <f t="shared" si="13"/>
        <v>10438000</v>
      </c>
    </row>
    <row r="96" spans="1:7" ht="12" customHeight="1" x14ac:dyDescent="0.2">
      <c r="A96" s="155" t="s">
        <v>61</v>
      </c>
      <c r="B96" s="3" t="s">
        <v>78</v>
      </c>
      <c r="C96" s="128">
        <v>9900000</v>
      </c>
      <c r="D96" s="128">
        <f>-100000-27000-175615-1000-270</f>
        <v>-303885</v>
      </c>
      <c r="E96" s="128"/>
      <c r="F96" s="291">
        <f t="shared" si="12"/>
        <v>-303885</v>
      </c>
      <c r="G96" s="265">
        <f t="shared" si="13"/>
        <v>9596115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344000</v>
      </c>
      <c r="D114" s="249">
        <f>+D115+D117+D119</f>
        <v>128270</v>
      </c>
      <c r="E114" s="125">
        <f>+E115+E117+E119</f>
        <v>0</v>
      </c>
      <c r="F114" s="125">
        <f>+F115+F117+F119</f>
        <v>128270</v>
      </c>
      <c r="G114" s="262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v>344000</v>
      </c>
      <c r="D115" s="127">
        <f>100000+27000+1000+270</f>
        <v>128270</v>
      </c>
      <c r="E115" s="127"/>
      <c r="F115" s="168">
        <f t="shared" ref="F115:F127" si="14">D115+E115</f>
        <v>128270</v>
      </c>
      <c r="G115" s="263">
        <f t="shared" ref="G115:G127" si="15">C115+F115</f>
        <v>472270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85692000</v>
      </c>
      <c r="D128" s="249">
        <f>+D93+D114</f>
        <v>-1007615</v>
      </c>
      <c r="E128" s="125">
        <f>+E93+E114</f>
        <v>0</v>
      </c>
      <c r="F128" s="125">
        <f>+F93+F114</f>
        <v>-1007615</v>
      </c>
      <c r="G128" s="262">
        <f>+G93+G114</f>
        <v>84684385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85692000</v>
      </c>
      <c r="D155" s="257">
        <f>+D128+D154</f>
        <v>-1007615</v>
      </c>
      <c r="E155" s="189">
        <f>+E128+E154</f>
        <v>0</v>
      </c>
      <c r="F155" s="189">
        <f>+F128+F154</f>
        <v>-1007615</v>
      </c>
      <c r="G155" s="278">
        <f>+G128+G154</f>
        <v>84684385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>
        <v>13</v>
      </c>
      <c r="D157" s="273"/>
      <c r="E157" s="223"/>
      <c r="F157" s="311">
        <f>D157+E157</f>
        <v>0</v>
      </c>
      <c r="G157" s="312">
        <f>C157+F157</f>
        <v>13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130">
        <f>126000-126000</f>
        <v>0</v>
      </c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.75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.75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0</v>
      </c>
      <c r="D93" s="270">
        <f>+D94+D95+D96+D97+D98+D111</f>
        <v>32000</v>
      </c>
      <c r="E93" s="124">
        <f>+E94+E95+E96+E97+E98+E111</f>
        <v>0</v>
      </c>
      <c r="F93" s="124">
        <f>+F94+F95+F96+F97+F98+F111</f>
        <v>32000</v>
      </c>
      <c r="G93" s="274">
        <f>+G94+G95+G96+G97+G98+G111</f>
        <v>32000</v>
      </c>
    </row>
    <row r="94" spans="1:7" ht="12" customHeight="1" x14ac:dyDescent="0.2">
      <c r="A94" s="162" t="s">
        <v>59</v>
      </c>
      <c r="B94" s="5" t="s">
        <v>34</v>
      </c>
      <c r="C94" s="184"/>
      <c r="D94" s="184">
        <f>126000-94000</f>
        <v>32000</v>
      </c>
      <c r="E94" s="184"/>
      <c r="F94" s="289">
        <f t="shared" ref="F94:F113" si="12">D94+E94</f>
        <v>32000</v>
      </c>
      <c r="G94" s="275">
        <f t="shared" ref="G94:G113" si="13">C94+F94</f>
        <v>32000</v>
      </c>
    </row>
    <row r="95" spans="1:7" ht="12" customHeight="1" x14ac:dyDescent="0.2">
      <c r="A95" s="155" t="s">
        <v>60</v>
      </c>
      <c r="B95" s="3" t="s">
        <v>103</v>
      </c>
      <c r="C95" s="126"/>
      <c r="D95" s="272"/>
      <c r="E95" s="126"/>
      <c r="F95" s="290">
        <f t="shared" si="12"/>
        <v>0</v>
      </c>
      <c r="G95" s="264">
        <f t="shared" si="13"/>
        <v>0</v>
      </c>
    </row>
    <row r="96" spans="1:7" ht="12" customHeight="1" x14ac:dyDescent="0.2">
      <c r="A96" s="155" t="s">
        <v>61</v>
      </c>
      <c r="B96" s="3" t="s">
        <v>78</v>
      </c>
      <c r="C96" s="128"/>
      <c r="D96" s="272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0</v>
      </c>
      <c r="D128" s="249">
        <f>+D93+D114</f>
        <v>32000</v>
      </c>
      <c r="E128" s="125">
        <f>+E93+E114</f>
        <v>0</v>
      </c>
      <c r="F128" s="125">
        <f>+F93+F114</f>
        <v>32000</v>
      </c>
      <c r="G128" s="262">
        <f>+G93+G114</f>
        <v>32000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0</v>
      </c>
      <c r="D155" s="257">
        <f>+D128+D154</f>
        <v>32000</v>
      </c>
      <c r="E155" s="189">
        <f>+E128+E154</f>
        <v>0</v>
      </c>
      <c r="F155" s="189">
        <f>+F128+F154</f>
        <v>32000</v>
      </c>
      <c r="G155" s="278">
        <f>+G128+G154</f>
        <v>32000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tabSelected="1"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325" t="s">
        <v>460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+C29+C30+C31+C32+C34+C35+C36</f>
        <v>0</v>
      </c>
      <c r="D28" s="131">
        <f>+D29+D30+D31+D32+D34+D35+D36</f>
        <v>0</v>
      </c>
      <c r="E28" s="131">
        <f>+E29+E30+E31+E32+E34+E35+E36</f>
        <v>0</v>
      </c>
      <c r="F28" s="131">
        <f>+F29+F30+F31+F32+F34+F35+F36</f>
        <v>0</v>
      </c>
      <c r="G28" s="266">
        <f>+G29+G30+G31+G32+G34+G35+G36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/>
      <c r="G33" s="264"/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326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72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426000</v>
      </c>
      <c r="D93" s="270">
        <f>+D94+D95+D96+D97+D98+D111</f>
        <v>0</v>
      </c>
      <c r="E93" s="124">
        <f>+E94+E95+E96+E97+E98+E111</f>
        <v>0</v>
      </c>
      <c r="F93" s="124">
        <f>+F94+F95+F96+F97+F98+F111</f>
        <v>0</v>
      </c>
      <c r="G93" s="274">
        <f>+G94+G95+G96+G97+G98+G111</f>
        <v>426000</v>
      </c>
    </row>
    <row r="94" spans="1:7" ht="12" customHeight="1" x14ac:dyDescent="0.2">
      <c r="A94" s="162" t="s">
        <v>59</v>
      </c>
      <c r="B94" s="5" t="s">
        <v>34</v>
      </c>
      <c r="C94" s="184">
        <v>200000</v>
      </c>
      <c r="D94" s="271"/>
      <c r="E94" s="184"/>
      <c r="F94" s="289">
        <f t="shared" ref="F94:F113" si="12">D94+E94</f>
        <v>0</v>
      </c>
      <c r="G94" s="275">
        <f t="shared" ref="G94:G113" si="13">C94+F94</f>
        <v>200000</v>
      </c>
    </row>
    <row r="95" spans="1:7" ht="12" customHeight="1" x14ac:dyDescent="0.2">
      <c r="A95" s="155" t="s">
        <v>60</v>
      </c>
      <c r="B95" s="3" t="s">
        <v>103</v>
      </c>
      <c r="C95" s="126">
        <v>35000</v>
      </c>
      <c r="D95" s="272"/>
      <c r="E95" s="126"/>
      <c r="F95" s="290">
        <f t="shared" si="12"/>
        <v>0</v>
      </c>
      <c r="G95" s="264">
        <f t="shared" si="13"/>
        <v>35000</v>
      </c>
    </row>
    <row r="96" spans="1:7" ht="12" customHeight="1" x14ac:dyDescent="0.2">
      <c r="A96" s="155" t="s">
        <v>61</v>
      </c>
      <c r="B96" s="3" t="s">
        <v>78</v>
      </c>
      <c r="C96" s="128">
        <v>191000</v>
      </c>
      <c r="D96" s="272"/>
      <c r="E96" s="128"/>
      <c r="F96" s="291">
        <f t="shared" si="12"/>
        <v>0</v>
      </c>
      <c r="G96" s="265">
        <f t="shared" si="13"/>
        <v>191000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426000</v>
      </c>
      <c r="D128" s="249">
        <f>+D93+D114</f>
        <v>0</v>
      </c>
      <c r="E128" s="125">
        <f>+E93+E114</f>
        <v>0</v>
      </c>
      <c r="F128" s="125">
        <f>+F93+F114</f>
        <v>0</v>
      </c>
      <c r="G128" s="262">
        <f>+G93+G114</f>
        <v>426000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426000</v>
      </c>
      <c r="D155" s="257">
        <f>+D128+D154</f>
        <v>0</v>
      </c>
      <c r="E155" s="189">
        <f>+E128+E154</f>
        <v>0</v>
      </c>
      <c r="F155" s="189">
        <f>+F128+F154</f>
        <v>0</v>
      </c>
      <c r="G155" s="278">
        <f>+G128+G154</f>
        <v>426000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>
        <f>D157+E157</f>
        <v>0</v>
      </c>
      <c r="G157" s="312">
        <f>C157+F157</f>
        <v>0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>
        <f>D158+E158</f>
        <v>0</v>
      </c>
      <c r="G158" s="312">
        <f>C158+F158</f>
        <v>0</v>
      </c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Layout" zoomScaleNormal="100" workbookViewId="0">
      <selection activeCell="G20" sqref="G20"/>
    </sheetView>
  </sheetViews>
  <sheetFormatPr defaultRowHeight="12.75" x14ac:dyDescent="0.2"/>
  <cols>
    <col min="1" max="1" width="5.5" style="444" customWidth="1"/>
    <col min="2" max="2" width="33.1640625" style="444" customWidth="1"/>
    <col min="3" max="3" width="12.33203125" style="444" customWidth="1"/>
    <col min="4" max="4" width="11.5" style="444" customWidth="1"/>
    <col min="5" max="5" width="11.33203125" style="444" customWidth="1"/>
    <col min="6" max="6" width="11" style="444" customWidth="1"/>
    <col min="7" max="7" width="14.33203125" style="444" customWidth="1"/>
    <col min="8" max="16384" width="9.33203125" style="444"/>
  </cols>
  <sheetData>
    <row r="1" spans="1:7" ht="43.5" customHeight="1" x14ac:dyDescent="0.25">
      <c r="A1" s="772" t="s">
        <v>510</v>
      </c>
      <c r="B1" s="772"/>
      <c r="C1" s="772"/>
      <c r="D1" s="772"/>
      <c r="E1" s="772"/>
      <c r="F1" s="772"/>
      <c r="G1" s="772"/>
    </row>
    <row r="3" spans="1:7" s="447" customFormat="1" ht="27" customHeight="1" x14ac:dyDescent="0.25">
      <c r="A3" s="445" t="s">
        <v>511</v>
      </c>
      <c r="B3" s="446"/>
      <c r="C3" s="773" t="s">
        <v>512</v>
      </c>
      <c r="D3" s="773"/>
      <c r="E3" s="773"/>
      <c r="F3" s="773"/>
      <c r="G3" s="773"/>
    </row>
    <row r="4" spans="1:7" s="447" customFormat="1" ht="15.75" x14ac:dyDescent="0.25">
      <c r="A4" s="446"/>
      <c r="B4" s="446"/>
      <c r="C4" s="446"/>
      <c r="D4" s="446"/>
      <c r="E4" s="446"/>
      <c r="F4" s="446"/>
      <c r="G4" s="446"/>
    </row>
    <row r="5" spans="1:7" s="447" customFormat="1" ht="24.75" customHeight="1" x14ac:dyDescent="0.25">
      <c r="A5" s="445" t="s">
        <v>513</v>
      </c>
      <c r="B5" s="446"/>
      <c r="C5" s="773" t="s">
        <v>512</v>
      </c>
      <c r="D5" s="773"/>
      <c r="E5" s="773"/>
      <c r="F5" s="773"/>
      <c r="G5" s="446"/>
    </row>
    <row r="6" spans="1:7" s="448" customFormat="1" x14ac:dyDescent="0.2">
      <c r="A6" s="60"/>
      <c r="B6" s="60"/>
      <c r="C6" s="60"/>
      <c r="D6" s="60"/>
      <c r="E6" s="60"/>
      <c r="F6" s="60"/>
      <c r="G6" s="60"/>
    </row>
    <row r="7" spans="1:7" s="452" customFormat="1" ht="15" customHeight="1" x14ac:dyDescent="0.25">
      <c r="A7" s="449" t="s">
        <v>514</v>
      </c>
      <c r="B7" s="450"/>
      <c r="C7" s="450"/>
      <c r="D7" s="451"/>
      <c r="E7" s="451"/>
      <c r="F7" s="451"/>
      <c r="G7" s="451"/>
    </row>
    <row r="8" spans="1:7" s="452" customFormat="1" ht="15" customHeight="1" thickBot="1" x14ac:dyDescent="0.3">
      <c r="A8" s="449" t="s">
        <v>515</v>
      </c>
      <c r="B8" s="450"/>
      <c r="C8" s="450"/>
      <c r="D8" s="450"/>
      <c r="E8" s="450"/>
      <c r="F8" s="450"/>
      <c r="G8" s="453" t="s">
        <v>445</v>
      </c>
    </row>
    <row r="9" spans="1:7" s="457" customFormat="1" ht="42" customHeight="1" thickBot="1" x14ac:dyDescent="0.25">
      <c r="A9" s="454" t="s">
        <v>485</v>
      </c>
      <c r="B9" s="455" t="s">
        <v>516</v>
      </c>
      <c r="C9" s="455" t="s">
        <v>517</v>
      </c>
      <c r="D9" s="455" t="s">
        <v>518</v>
      </c>
      <c r="E9" s="455" t="s">
        <v>519</v>
      </c>
      <c r="F9" s="455" t="s">
        <v>520</v>
      </c>
      <c r="G9" s="456" t="s">
        <v>506</v>
      </c>
    </row>
    <row r="10" spans="1:7" ht="24" customHeight="1" x14ac:dyDescent="0.2">
      <c r="A10" s="458" t="s">
        <v>5</v>
      </c>
      <c r="B10" s="459" t="s">
        <v>521</v>
      </c>
      <c r="C10" s="460"/>
      <c r="D10" s="460"/>
      <c r="E10" s="460"/>
      <c r="F10" s="460"/>
      <c r="G10" s="461">
        <f>SUM(C10:F10)</f>
        <v>0</v>
      </c>
    </row>
    <row r="11" spans="1:7" ht="24" customHeight="1" x14ac:dyDescent="0.2">
      <c r="A11" s="462" t="s">
        <v>6</v>
      </c>
      <c r="B11" s="463" t="s">
        <v>522</v>
      </c>
      <c r="C11" s="464"/>
      <c r="D11" s="464"/>
      <c r="E11" s="464"/>
      <c r="F11" s="464"/>
      <c r="G11" s="465">
        <f t="shared" ref="G11:G16" si="0">SUM(C11:F11)</f>
        <v>0</v>
      </c>
    </row>
    <row r="12" spans="1:7" ht="24" customHeight="1" x14ac:dyDescent="0.2">
      <c r="A12" s="462" t="s">
        <v>7</v>
      </c>
      <c r="B12" s="463" t="s">
        <v>523</v>
      </c>
      <c r="C12" s="464"/>
      <c r="D12" s="464"/>
      <c r="E12" s="464"/>
      <c r="F12" s="464"/>
      <c r="G12" s="465">
        <f t="shared" si="0"/>
        <v>0</v>
      </c>
    </row>
    <row r="13" spans="1:7" ht="24" customHeight="1" x14ac:dyDescent="0.2">
      <c r="A13" s="462" t="s">
        <v>8</v>
      </c>
      <c r="B13" s="463" t="s">
        <v>524</v>
      </c>
      <c r="C13" s="464"/>
      <c r="D13" s="464"/>
      <c r="E13" s="464"/>
      <c r="F13" s="464"/>
      <c r="G13" s="465">
        <f t="shared" si="0"/>
        <v>0</v>
      </c>
    </row>
    <row r="14" spans="1:7" ht="24" customHeight="1" x14ac:dyDescent="0.2">
      <c r="A14" s="462" t="s">
        <v>9</v>
      </c>
      <c r="B14" s="463" t="s">
        <v>525</v>
      </c>
      <c r="C14" s="464"/>
      <c r="D14" s="464"/>
      <c r="E14" s="464"/>
      <c r="F14" s="464"/>
      <c r="G14" s="465">
        <f t="shared" si="0"/>
        <v>0</v>
      </c>
    </row>
    <row r="15" spans="1:7" ht="24" customHeight="1" thickBot="1" x14ac:dyDescent="0.25">
      <c r="A15" s="466" t="s">
        <v>10</v>
      </c>
      <c r="B15" s="467" t="s">
        <v>526</v>
      </c>
      <c r="C15" s="468"/>
      <c r="D15" s="468"/>
      <c r="E15" s="468"/>
      <c r="F15" s="468"/>
      <c r="G15" s="469">
        <f t="shared" si="0"/>
        <v>0</v>
      </c>
    </row>
    <row r="16" spans="1:7" s="474" customFormat="1" ht="24" customHeight="1" thickBot="1" x14ac:dyDescent="0.25">
      <c r="A16" s="470" t="s">
        <v>11</v>
      </c>
      <c r="B16" s="471" t="s">
        <v>506</v>
      </c>
      <c r="C16" s="472">
        <f>SUM(C10:C15)</f>
        <v>0</v>
      </c>
      <c r="D16" s="472">
        <f>SUM(D10:D15)</f>
        <v>0</v>
      </c>
      <c r="E16" s="472">
        <f>SUM(E10:E15)</f>
        <v>0</v>
      </c>
      <c r="F16" s="472">
        <f>SUM(F10:F15)</f>
        <v>0</v>
      </c>
      <c r="G16" s="473">
        <f t="shared" si="0"/>
        <v>0</v>
      </c>
    </row>
    <row r="17" spans="1:7" s="448" customFormat="1" x14ac:dyDescent="0.2">
      <c r="A17" s="60"/>
      <c r="B17" s="60"/>
      <c r="C17" s="60"/>
      <c r="D17" s="60"/>
      <c r="E17" s="60"/>
      <c r="F17" s="60"/>
      <c r="G17" s="60"/>
    </row>
    <row r="18" spans="1:7" s="448" customFormat="1" x14ac:dyDescent="0.2">
      <c r="A18" s="60"/>
      <c r="B18" s="60"/>
      <c r="C18" s="60"/>
      <c r="D18" s="60"/>
      <c r="E18" s="60"/>
      <c r="F18" s="60"/>
      <c r="G18" s="60"/>
    </row>
    <row r="19" spans="1:7" s="448" customFormat="1" x14ac:dyDescent="0.2">
      <c r="A19" s="60"/>
      <c r="B19" s="60"/>
      <c r="C19" s="60"/>
      <c r="D19" s="60"/>
      <c r="E19" s="60"/>
      <c r="F19" s="60"/>
      <c r="G19" s="60"/>
    </row>
    <row r="20" spans="1:7" s="448" customFormat="1" ht="15.75" x14ac:dyDescent="0.25">
      <c r="A20" s="447" t="str">
        <f>+CONCATENATE("......................, ",LEFT([2]ÖSSZEFÜGGÉSEK!A5,4),". .......................... hó ..... nap")</f>
        <v>......................, 2020. .......................... hó ..... nap</v>
      </c>
      <c r="D20" s="60"/>
      <c r="E20" s="60"/>
      <c r="F20" s="60"/>
      <c r="G20" s="60"/>
    </row>
    <row r="21" spans="1:7" s="448" customFormat="1" x14ac:dyDescent="0.2">
      <c r="A21" s="60"/>
      <c r="B21" s="60"/>
      <c r="C21" s="60"/>
      <c r="D21" s="60"/>
      <c r="E21" s="60"/>
      <c r="F21" s="60"/>
      <c r="G21" s="60"/>
    </row>
    <row r="22" spans="1:7" x14ac:dyDescent="0.2">
      <c r="A22" s="60"/>
      <c r="B22" s="60"/>
      <c r="C22" s="60"/>
      <c r="D22" s="60"/>
      <c r="E22" s="60"/>
      <c r="F22" s="60"/>
      <c r="G22" s="60"/>
    </row>
    <row r="23" spans="1:7" x14ac:dyDescent="0.2">
      <c r="A23" s="60"/>
      <c r="B23" s="60"/>
      <c r="C23" s="448"/>
      <c r="D23" s="448"/>
      <c r="E23" s="448"/>
      <c r="F23" s="448"/>
      <c r="G23" s="60"/>
    </row>
    <row r="24" spans="1:7" ht="13.5" x14ac:dyDescent="0.25">
      <c r="A24" s="60"/>
      <c r="B24" s="60"/>
      <c r="C24" s="475"/>
      <c r="D24" s="476" t="s">
        <v>527</v>
      </c>
      <c r="E24" s="476"/>
      <c r="F24" s="475"/>
      <c r="G24" s="60"/>
    </row>
    <row r="25" spans="1:7" ht="13.5" x14ac:dyDescent="0.25">
      <c r="C25" s="477"/>
      <c r="D25" s="478"/>
      <c r="E25" s="478"/>
      <c r="F25" s="477"/>
    </row>
    <row r="26" spans="1:7" ht="13.5" x14ac:dyDescent="0.25">
      <c r="C26" s="477"/>
      <c r="D26" s="478"/>
      <c r="E26" s="478"/>
      <c r="F26" s="477"/>
    </row>
  </sheetData>
  <mergeCells count="3">
    <mergeCell ref="A1:G1"/>
    <mergeCell ref="C3:G3"/>
    <mergeCell ref="C5:F5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10. melléklet a 6/2020. (II. 25.) önkormányzati rendelethez 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view="pageLayout" zoomScaleNormal="100" zoomScaleSheetLayoutView="136" workbookViewId="0">
      <selection activeCell="G20" sqref="G20"/>
    </sheetView>
  </sheetViews>
  <sheetFormatPr defaultRowHeight="15.75" x14ac:dyDescent="0.25"/>
  <cols>
    <col min="1" max="1" width="9" style="504" customWidth="1"/>
    <col min="2" max="2" width="75.83203125" style="504" customWidth="1"/>
    <col min="3" max="3" width="15.5" style="480" customWidth="1"/>
    <col min="4" max="5" width="15.5" style="504" customWidth="1"/>
    <col min="6" max="6" width="9" style="479" customWidth="1"/>
    <col min="7" max="16384" width="9.33203125" style="479"/>
  </cols>
  <sheetData>
    <row r="1" spans="1:5" ht="15.95" customHeight="1" x14ac:dyDescent="0.25">
      <c r="A1" s="716" t="s">
        <v>3</v>
      </c>
      <c r="B1" s="716"/>
      <c r="C1" s="716"/>
      <c r="D1" s="716"/>
      <c r="E1" s="716"/>
    </row>
    <row r="2" spans="1:5" ht="15.95" customHeight="1" thickBot="1" x14ac:dyDescent="0.3">
      <c r="A2" s="717" t="s">
        <v>82</v>
      </c>
      <c r="B2" s="717"/>
      <c r="D2" s="394"/>
      <c r="E2" s="75" t="str">
        <f>'[2]10. sz. mell'!G8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+CONCATENATE(LEFT([2]ÖSSZEFÜGGÉSEK!A5,4)-2,". évi tény")</f>
        <v>2018. évi tény</v>
      </c>
      <c r="D3" s="483" t="str">
        <f>+CONCATENATE(LEFT([2]ÖSSZEFÜGGÉSEK!A5,4)-1,". évi várható")</f>
        <v>2019. évi várható</v>
      </c>
      <c r="E3" s="484" t="str">
        <f>+'[2]1.1.sz.mell.'!C3</f>
        <v>2020. évi előirányzat</v>
      </c>
    </row>
    <row r="4" spans="1:5" s="486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487" customFormat="1" ht="12" customHeight="1" thickBot="1" x14ac:dyDescent="0.25">
      <c r="A5" s="15" t="s">
        <v>5</v>
      </c>
      <c r="B5" s="16" t="s">
        <v>139</v>
      </c>
      <c r="C5" s="125">
        <f>+C6+C7+C8+C9+C10+C11</f>
        <v>179726883</v>
      </c>
      <c r="D5" s="125">
        <f>+D6+D7+D8+D9+D10+D11</f>
        <v>198183630</v>
      </c>
      <c r="E5" s="70">
        <f>+E6+E7+E8+E9+E10+E11</f>
        <v>185588582</v>
      </c>
    </row>
    <row r="6" spans="1:5" s="487" customFormat="1" ht="12" customHeight="1" x14ac:dyDescent="0.2">
      <c r="A6" s="10" t="s">
        <v>59</v>
      </c>
      <c r="B6" s="139" t="s">
        <v>140</v>
      </c>
      <c r="C6" s="127">
        <v>59537477</v>
      </c>
      <c r="D6" s="127">
        <v>62420596</v>
      </c>
      <c r="E6" s="488">
        <f>'[2]1.1.sz.mell.'!C6</f>
        <v>61671420</v>
      </c>
    </row>
    <row r="7" spans="1:5" s="487" customFormat="1" ht="12" customHeight="1" x14ac:dyDescent="0.2">
      <c r="A7" s="9" t="s">
        <v>60</v>
      </c>
      <c r="B7" s="140" t="s">
        <v>141</v>
      </c>
      <c r="C7" s="126">
        <v>46405734</v>
      </c>
      <c r="D7" s="126">
        <v>47054500</v>
      </c>
      <c r="E7" s="488">
        <f>'[2]1.1.sz.mell.'!C7</f>
        <v>56423330</v>
      </c>
    </row>
    <row r="8" spans="1:5" s="487" customFormat="1" ht="12" customHeight="1" x14ac:dyDescent="0.2">
      <c r="A8" s="9" t="s">
        <v>61</v>
      </c>
      <c r="B8" s="140" t="s">
        <v>142</v>
      </c>
      <c r="C8" s="126">
        <v>55387483</v>
      </c>
      <c r="D8" s="126">
        <v>69641703</v>
      </c>
      <c r="E8" s="488">
        <f>'[2]1.1.sz.mell.'!C8</f>
        <v>65116932</v>
      </c>
    </row>
    <row r="9" spans="1:5" s="487" customFormat="1" ht="12" customHeight="1" x14ac:dyDescent="0.2">
      <c r="A9" s="9" t="s">
        <v>62</v>
      </c>
      <c r="B9" s="140" t="s">
        <v>143</v>
      </c>
      <c r="C9" s="126">
        <v>2305050</v>
      </c>
      <c r="D9" s="126">
        <v>2635859</v>
      </c>
      <c r="E9" s="488">
        <f>'[2]1.1.sz.mell.'!C9</f>
        <v>2376900</v>
      </c>
    </row>
    <row r="10" spans="1:5" s="487" customFormat="1" ht="12" customHeight="1" x14ac:dyDescent="0.2">
      <c r="A10" s="9" t="s">
        <v>79</v>
      </c>
      <c r="B10" s="72" t="s">
        <v>295</v>
      </c>
      <c r="C10" s="126">
        <v>14834755</v>
      </c>
      <c r="D10" s="126">
        <v>16430972</v>
      </c>
      <c r="E10" s="488">
        <f>'[2]1.1.sz.mell.'!C10</f>
        <v>0</v>
      </c>
    </row>
    <row r="11" spans="1:5" s="487" customFormat="1" ht="12" customHeight="1" thickBot="1" x14ac:dyDescent="0.25">
      <c r="A11" s="11" t="s">
        <v>63</v>
      </c>
      <c r="B11" s="73" t="s">
        <v>296</v>
      </c>
      <c r="C11" s="126">
        <v>1256384</v>
      </c>
      <c r="D11" s="126"/>
      <c r="E11" s="488">
        <f>'[2]1.1.sz.mell.'!C11</f>
        <v>0</v>
      </c>
    </row>
    <row r="12" spans="1:5" s="487" customFormat="1" ht="12" customHeight="1" thickBot="1" x14ac:dyDescent="0.25">
      <c r="A12" s="15" t="s">
        <v>6</v>
      </c>
      <c r="B12" s="71" t="s">
        <v>144</v>
      </c>
      <c r="C12" s="125">
        <f>+C13+C14+C15+C16+C17</f>
        <v>82483932</v>
      </c>
      <c r="D12" s="125">
        <f>+D13+D14+D15+D16+D17</f>
        <v>78017160</v>
      </c>
      <c r="E12" s="70">
        <f>+E13+E14+E15+E16+E17</f>
        <v>81199000</v>
      </c>
    </row>
    <row r="13" spans="1:5" s="487" customFormat="1" ht="12" customHeight="1" x14ac:dyDescent="0.2">
      <c r="A13" s="10" t="s">
        <v>65</v>
      </c>
      <c r="B13" s="139" t="s">
        <v>145</v>
      </c>
      <c r="C13" s="127"/>
      <c r="D13" s="127"/>
      <c r="E13" s="488">
        <f>'[2]1.1.sz.mell.'!C13</f>
        <v>0</v>
      </c>
    </row>
    <row r="14" spans="1:5" s="487" customFormat="1" ht="12" customHeight="1" x14ac:dyDescent="0.2">
      <c r="A14" s="9" t="s">
        <v>66</v>
      </c>
      <c r="B14" s="140" t="s">
        <v>146</v>
      </c>
      <c r="C14" s="126"/>
      <c r="D14" s="126"/>
      <c r="E14" s="488">
        <f>'[2]1.1.sz.mell.'!C14</f>
        <v>0</v>
      </c>
    </row>
    <row r="15" spans="1:5" s="487" customFormat="1" ht="12" customHeight="1" x14ac:dyDescent="0.2">
      <c r="A15" s="9" t="s">
        <v>67</v>
      </c>
      <c r="B15" s="140" t="s">
        <v>288</v>
      </c>
      <c r="C15" s="126"/>
      <c r="D15" s="126"/>
      <c r="E15" s="488">
        <f>'[2]1.1.sz.mell.'!C15</f>
        <v>0</v>
      </c>
    </row>
    <row r="16" spans="1:5" s="487" customFormat="1" ht="12" customHeight="1" x14ac:dyDescent="0.2">
      <c r="A16" s="9" t="s">
        <v>68</v>
      </c>
      <c r="B16" s="140" t="s">
        <v>289</v>
      </c>
      <c r="C16" s="126"/>
      <c r="D16" s="126"/>
      <c r="E16" s="488">
        <f>'[2]1.1.sz.mell.'!C16</f>
        <v>0</v>
      </c>
    </row>
    <row r="17" spans="1:6" s="487" customFormat="1" ht="12" customHeight="1" x14ac:dyDescent="0.2">
      <c r="A17" s="9" t="s">
        <v>69</v>
      </c>
      <c r="B17" s="140" t="s">
        <v>147</v>
      </c>
      <c r="C17" s="126">
        <v>82483932</v>
      </c>
      <c r="D17" s="126">
        <f>74396157+3621003</f>
        <v>78017160</v>
      </c>
      <c r="E17" s="488">
        <f>'[2]1.1.sz.mell.'!C17</f>
        <v>81199000</v>
      </c>
    </row>
    <row r="18" spans="1:6" s="487" customFormat="1" ht="12" customHeight="1" thickBot="1" x14ac:dyDescent="0.25">
      <c r="A18" s="11" t="s">
        <v>75</v>
      </c>
      <c r="B18" s="73" t="s">
        <v>148</v>
      </c>
      <c r="C18" s="128">
        <v>38292300</v>
      </c>
      <c r="D18" s="128">
        <v>30308714</v>
      </c>
      <c r="E18" s="488">
        <f>'[2]1.1.sz.mell.'!C18</f>
        <v>32055000</v>
      </c>
    </row>
    <row r="19" spans="1:6" s="487" customFormat="1" ht="12" customHeight="1" thickBot="1" x14ac:dyDescent="0.25">
      <c r="A19" s="15" t="s">
        <v>7</v>
      </c>
      <c r="B19" s="16" t="s">
        <v>149</v>
      </c>
      <c r="C19" s="125">
        <f>+C20+C21+C22+C23+C24</f>
        <v>34366477</v>
      </c>
      <c r="D19" s="125">
        <f>+D20+D21+D22+D23+D24</f>
        <v>28610000</v>
      </c>
      <c r="E19" s="70">
        <f>+E20+E21+E22+E23+E24</f>
        <v>26294000</v>
      </c>
    </row>
    <row r="20" spans="1:6" s="487" customFormat="1" ht="12" customHeight="1" x14ac:dyDescent="0.2">
      <c r="A20" s="10" t="s">
        <v>48</v>
      </c>
      <c r="B20" s="139" t="s">
        <v>150</v>
      </c>
      <c r="C20" s="127">
        <v>14959998</v>
      </c>
      <c r="D20" s="127"/>
      <c r="E20" s="488">
        <f>'[2]1.1.sz.mell.'!C20</f>
        <v>0</v>
      </c>
    </row>
    <row r="21" spans="1:6" s="487" customFormat="1" ht="12" customHeight="1" x14ac:dyDescent="0.2">
      <c r="A21" s="9" t="s">
        <v>49</v>
      </c>
      <c r="B21" s="140" t="s">
        <v>151</v>
      </c>
      <c r="C21" s="126"/>
      <c r="D21" s="126"/>
      <c r="E21" s="488">
        <f>'[2]1.1.sz.mell.'!C21</f>
        <v>0</v>
      </c>
    </row>
    <row r="22" spans="1:6" s="487" customFormat="1" ht="12" customHeight="1" x14ac:dyDescent="0.2">
      <c r="A22" s="9" t="s">
        <v>50</v>
      </c>
      <c r="B22" s="140" t="s">
        <v>290</v>
      </c>
      <c r="C22" s="126"/>
      <c r="D22" s="126"/>
      <c r="E22" s="488">
        <f>'[2]1.1.sz.mell.'!C22</f>
        <v>0</v>
      </c>
    </row>
    <row r="23" spans="1:6" s="487" customFormat="1" ht="12" customHeight="1" x14ac:dyDescent="0.2">
      <c r="A23" s="9" t="s">
        <v>51</v>
      </c>
      <c r="B23" s="140" t="s">
        <v>291</v>
      </c>
      <c r="C23" s="126"/>
      <c r="D23" s="126"/>
      <c r="E23" s="488">
        <f>'[2]1.1.sz.mell.'!C23</f>
        <v>0</v>
      </c>
    </row>
    <row r="24" spans="1:6" s="487" customFormat="1" ht="12" customHeight="1" x14ac:dyDescent="0.2">
      <c r="A24" s="9" t="s">
        <v>91</v>
      </c>
      <c r="B24" s="140" t="s">
        <v>152</v>
      </c>
      <c r="C24" s="126">
        <v>19406479</v>
      </c>
      <c r="D24" s="126">
        <v>28610000</v>
      </c>
      <c r="E24" s="488">
        <f>'[2]1.1.sz.mell.'!C24</f>
        <v>26294000</v>
      </c>
    </row>
    <row r="25" spans="1:6" s="487" customFormat="1" ht="12" customHeight="1" thickBot="1" x14ac:dyDescent="0.25">
      <c r="A25" s="11" t="s">
        <v>92</v>
      </c>
      <c r="B25" s="326" t="s">
        <v>153</v>
      </c>
      <c r="C25" s="128">
        <v>3383715</v>
      </c>
      <c r="D25" s="128">
        <v>23378065</v>
      </c>
      <c r="E25" s="488">
        <f>'[2]1.1.sz.mell.'!C25</f>
        <v>24794000</v>
      </c>
    </row>
    <row r="26" spans="1:6" s="487" customFormat="1" ht="12" customHeight="1" thickBot="1" x14ac:dyDescent="0.25">
      <c r="A26" s="15" t="s">
        <v>93</v>
      </c>
      <c r="B26" s="16" t="s">
        <v>528</v>
      </c>
      <c r="C26" s="131">
        <f>SUM(C27:C35)</f>
        <v>82480381</v>
      </c>
      <c r="D26" s="131">
        <f>SUM(D27:D35)</f>
        <v>83304269</v>
      </c>
      <c r="E26" s="489">
        <f>SUM(E27:E35)</f>
        <v>75900000</v>
      </c>
      <c r="F26" s="490"/>
    </row>
    <row r="27" spans="1:6" s="487" customFormat="1" ht="12" customHeight="1" x14ac:dyDescent="0.2">
      <c r="A27" s="10" t="s">
        <v>154</v>
      </c>
      <c r="B27" s="140" t="s">
        <v>529</v>
      </c>
      <c r="C27" s="491"/>
      <c r="D27" s="126">
        <v>8145</v>
      </c>
      <c r="E27" s="492"/>
    </row>
    <row r="28" spans="1:6" s="487" customFormat="1" ht="12" customHeight="1" x14ac:dyDescent="0.2">
      <c r="A28" s="10" t="s">
        <v>155</v>
      </c>
      <c r="B28" s="140" t="s">
        <v>419</v>
      </c>
      <c r="C28" s="126">
        <v>6631633</v>
      </c>
      <c r="D28" s="126">
        <v>7617536</v>
      </c>
      <c r="E28" s="331">
        <f>'[2]1.1.sz.mell.'!C27</f>
        <v>7500000</v>
      </c>
    </row>
    <row r="29" spans="1:6" s="487" customFormat="1" ht="12" customHeight="1" x14ac:dyDescent="0.2">
      <c r="A29" s="10" t="s">
        <v>156</v>
      </c>
      <c r="B29" s="140" t="s">
        <v>446</v>
      </c>
      <c r="C29" s="126">
        <v>408911</v>
      </c>
      <c r="D29" s="126">
        <v>1239523</v>
      </c>
      <c r="E29" s="333">
        <f>'[2]1.1.sz.mell.'!C28</f>
        <v>1000000</v>
      </c>
    </row>
    <row r="30" spans="1:6" s="487" customFormat="1" ht="12" customHeight="1" x14ac:dyDescent="0.2">
      <c r="A30" s="10" t="s">
        <v>157</v>
      </c>
      <c r="B30" s="140" t="s">
        <v>447</v>
      </c>
      <c r="C30" s="126">
        <v>8953633</v>
      </c>
      <c r="D30" s="126">
        <v>8618855</v>
      </c>
      <c r="E30" s="333">
        <f>'[2]1.1.sz.mell.'!C29</f>
        <v>9000000</v>
      </c>
    </row>
    <row r="31" spans="1:6" s="487" customFormat="1" ht="12" customHeight="1" x14ac:dyDescent="0.2">
      <c r="A31" s="10" t="s">
        <v>422</v>
      </c>
      <c r="B31" s="140" t="s">
        <v>420</v>
      </c>
      <c r="C31" s="126">
        <v>59830786</v>
      </c>
      <c r="D31" s="126">
        <v>58669262</v>
      </c>
      <c r="E31" s="493">
        <f>'[2]1.1.sz.mell.'!C30</f>
        <v>51000000</v>
      </c>
    </row>
    <row r="32" spans="1:6" s="487" customFormat="1" ht="12" customHeight="1" x14ac:dyDescent="0.2">
      <c r="A32" s="10" t="s">
        <v>423</v>
      </c>
      <c r="B32" s="140" t="s">
        <v>421</v>
      </c>
      <c r="C32" s="126"/>
      <c r="D32" s="126"/>
      <c r="E32" s="331">
        <f>'[2]1.1.sz.mell.'!C31</f>
        <v>500000</v>
      </c>
    </row>
    <row r="33" spans="1:5" s="487" customFormat="1" ht="12" customHeight="1" x14ac:dyDescent="0.2">
      <c r="A33" s="10" t="s">
        <v>424</v>
      </c>
      <c r="B33" s="140" t="s">
        <v>158</v>
      </c>
      <c r="C33" s="126">
        <v>6353906</v>
      </c>
      <c r="D33" s="126">
        <v>6808170</v>
      </c>
      <c r="E33" s="331">
        <f>'[2]1.1.sz.mell.'!C32</f>
        <v>6500000</v>
      </c>
    </row>
    <row r="34" spans="1:5" s="487" customFormat="1" ht="12" customHeight="1" x14ac:dyDescent="0.2">
      <c r="A34" s="10" t="s">
        <v>448</v>
      </c>
      <c r="B34" s="140" t="s">
        <v>159</v>
      </c>
      <c r="C34" s="126"/>
      <c r="D34" s="126"/>
      <c r="E34" s="493">
        <f>'[2]1.1.sz.mell.'!C33</f>
        <v>0</v>
      </c>
    </row>
    <row r="35" spans="1:5" s="487" customFormat="1" ht="12" customHeight="1" thickBot="1" x14ac:dyDescent="0.25">
      <c r="A35" s="10" t="s">
        <v>530</v>
      </c>
      <c r="B35" s="326" t="s">
        <v>160</v>
      </c>
      <c r="C35" s="128">
        <v>301512</v>
      </c>
      <c r="D35" s="128">
        <v>342778</v>
      </c>
      <c r="E35" s="332">
        <f>'[2]1.1.sz.mell.'!C34</f>
        <v>400000</v>
      </c>
    </row>
    <row r="36" spans="1:5" s="487" customFormat="1" ht="12" customHeight="1" thickBot="1" x14ac:dyDescent="0.25">
      <c r="A36" s="15" t="s">
        <v>9</v>
      </c>
      <c r="B36" s="16" t="s">
        <v>297</v>
      </c>
      <c r="C36" s="125">
        <f>SUM(C37:C47)</f>
        <v>35700859</v>
      </c>
      <c r="D36" s="125">
        <f>SUM(D37:D47)</f>
        <v>31231584</v>
      </c>
      <c r="E36" s="70">
        <f>SUM(E37:E47)</f>
        <v>36542000</v>
      </c>
    </row>
    <row r="37" spans="1:5" s="487" customFormat="1" ht="12" customHeight="1" x14ac:dyDescent="0.2">
      <c r="A37" s="10" t="s">
        <v>52</v>
      </c>
      <c r="B37" s="139" t="s">
        <v>163</v>
      </c>
      <c r="C37" s="127"/>
      <c r="D37" s="127"/>
      <c r="E37" s="488">
        <f>'[2]1.1.sz.mell.'!C36</f>
        <v>0</v>
      </c>
    </row>
    <row r="38" spans="1:5" s="487" customFormat="1" ht="12" customHeight="1" x14ac:dyDescent="0.2">
      <c r="A38" s="9" t="s">
        <v>53</v>
      </c>
      <c r="B38" s="140" t="s">
        <v>164</v>
      </c>
      <c r="C38" s="126">
        <v>13075353</v>
      </c>
      <c r="D38" s="126">
        <v>9654645</v>
      </c>
      <c r="E38" s="488">
        <f>'[2]1.1.sz.mell.'!C37</f>
        <v>15565000</v>
      </c>
    </row>
    <row r="39" spans="1:5" s="487" customFormat="1" ht="12" customHeight="1" x14ac:dyDescent="0.2">
      <c r="A39" s="9" t="s">
        <v>54</v>
      </c>
      <c r="B39" s="140" t="s">
        <v>165</v>
      </c>
      <c r="C39" s="126">
        <v>1030789</v>
      </c>
      <c r="D39" s="126">
        <f>399835+21990</f>
        <v>421825</v>
      </c>
      <c r="E39" s="488">
        <f>'[2]1.1.sz.mell.'!C38</f>
        <v>356000</v>
      </c>
    </row>
    <row r="40" spans="1:5" s="487" customFormat="1" ht="12" customHeight="1" x14ac:dyDescent="0.2">
      <c r="A40" s="9" t="s">
        <v>95</v>
      </c>
      <c r="B40" s="140" t="s">
        <v>166</v>
      </c>
      <c r="C40" s="126">
        <v>13742138</v>
      </c>
      <c r="D40" s="126">
        <v>14098599</v>
      </c>
      <c r="E40" s="488">
        <f>'[2]1.1.sz.mell.'!C39</f>
        <v>12624000</v>
      </c>
    </row>
    <row r="41" spans="1:5" s="487" customFormat="1" ht="12" customHeight="1" x14ac:dyDescent="0.2">
      <c r="A41" s="9" t="s">
        <v>96</v>
      </c>
      <c r="B41" s="140" t="s">
        <v>167</v>
      </c>
      <c r="C41" s="126"/>
      <c r="D41" s="126"/>
      <c r="E41" s="488">
        <f>'[2]1.1.sz.mell.'!C40</f>
        <v>0</v>
      </c>
    </row>
    <row r="42" spans="1:5" s="487" customFormat="1" ht="12" customHeight="1" x14ac:dyDescent="0.2">
      <c r="A42" s="9" t="s">
        <v>97</v>
      </c>
      <c r="B42" s="140" t="s">
        <v>168</v>
      </c>
      <c r="C42" s="126">
        <v>2571388</v>
      </c>
      <c r="D42" s="126">
        <v>5102998</v>
      </c>
      <c r="E42" s="488">
        <f>'[2]1.1.sz.mell.'!C41</f>
        <v>6410000</v>
      </c>
    </row>
    <row r="43" spans="1:5" s="487" customFormat="1" ht="12" customHeight="1" x14ac:dyDescent="0.2">
      <c r="A43" s="9" t="s">
        <v>98</v>
      </c>
      <c r="B43" s="140" t="s">
        <v>169</v>
      </c>
      <c r="C43" s="126"/>
      <c r="D43" s="126">
        <v>668953</v>
      </c>
      <c r="E43" s="488">
        <f>'[2]1.1.sz.mell.'!C42</f>
        <v>500000</v>
      </c>
    </row>
    <row r="44" spans="1:5" s="487" customFormat="1" ht="12" customHeight="1" x14ac:dyDescent="0.2">
      <c r="A44" s="9" t="s">
        <v>99</v>
      </c>
      <c r="B44" s="140" t="s">
        <v>426</v>
      </c>
      <c r="C44" s="126">
        <v>2914122</v>
      </c>
      <c r="D44" s="126">
        <f>2872+139</f>
        <v>3011</v>
      </c>
      <c r="E44" s="488">
        <f>'[2]1.1.sz.mell.'!C43</f>
        <v>6000</v>
      </c>
    </row>
    <row r="45" spans="1:5" s="487" customFormat="1" ht="12" customHeight="1" x14ac:dyDescent="0.2">
      <c r="A45" s="9" t="s">
        <v>161</v>
      </c>
      <c r="B45" s="140" t="s">
        <v>171</v>
      </c>
      <c r="C45" s="129"/>
      <c r="D45" s="129"/>
      <c r="E45" s="488">
        <f>'[2]1.1.sz.mell.'!C44</f>
        <v>0</v>
      </c>
    </row>
    <row r="46" spans="1:5" s="487" customFormat="1" ht="12" customHeight="1" x14ac:dyDescent="0.2">
      <c r="A46" s="11" t="s">
        <v>162</v>
      </c>
      <c r="B46" s="141" t="s">
        <v>299</v>
      </c>
      <c r="C46" s="130">
        <v>688891</v>
      </c>
      <c r="D46" s="130">
        <v>81380</v>
      </c>
      <c r="E46" s="488">
        <f>'[2]1.1.sz.mell.'!C45</f>
        <v>0</v>
      </c>
    </row>
    <row r="47" spans="1:5" s="487" customFormat="1" ht="12" customHeight="1" thickBot="1" x14ac:dyDescent="0.25">
      <c r="A47" s="11" t="s">
        <v>298</v>
      </c>
      <c r="B47" s="73" t="s">
        <v>172</v>
      </c>
      <c r="C47" s="130">
        <v>1678178</v>
      </c>
      <c r="D47" s="130">
        <f>1166355+33818</f>
        <v>1200173</v>
      </c>
      <c r="E47" s="488">
        <f>'[2]1.1.sz.mell.'!C46</f>
        <v>1081000</v>
      </c>
    </row>
    <row r="48" spans="1:5" s="487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2000000</v>
      </c>
      <c r="E48" s="70">
        <f>SUM(E49:E53)</f>
        <v>4000000</v>
      </c>
    </row>
    <row r="49" spans="1:5" s="487" customFormat="1" ht="12" customHeight="1" x14ac:dyDescent="0.2">
      <c r="A49" s="10" t="s">
        <v>55</v>
      </c>
      <c r="B49" s="139" t="s">
        <v>177</v>
      </c>
      <c r="C49" s="169"/>
      <c r="D49" s="169"/>
      <c r="E49" s="494">
        <f>'[2]1.1.sz.mell.'!C48</f>
        <v>0</v>
      </c>
    </row>
    <row r="50" spans="1:5" s="487" customFormat="1" ht="12" customHeight="1" x14ac:dyDescent="0.2">
      <c r="A50" s="9" t="s">
        <v>56</v>
      </c>
      <c r="B50" s="140" t="s">
        <v>178</v>
      </c>
      <c r="C50" s="129"/>
      <c r="D50" s="129">
        <v>2000000</v>
      </c>
      <c r="E50" s="494">
        <f>'[2]1.1.sz.mell.'!C49</f>
        <v>4000000</v>
      </c>
    </row>
    <row r="51" spans="1:5" s="487" customFormat="1" ht="12" customHeight="1" x14ac:dyDescent="0.2">
      <c r="A51" s="9" t="s">
        <v>174</v>
      </c>
      <c r="B51" s="140" t="s">
        <v>179</v>
      </c>
      <c r="C51" s="129"/>
      <c r="D51" s="129"/>
      <c r="E51" s="494">
        <f>'[2]1.1.sz.mell.'!C50</f>
        <v>0</v>
      </c>
    </row>
    <row r="52" spans="1:5" s="487" customFormat="1" ht="12" customHeight="1" x14ac:dyDescent="0.2">
      <c r="A52" s="9" t="s">
        <v>175</v>
      </c>
      <c r="B52" s="140" t="s">
        <v>180</v>
      </c>
      <c r="C52" s="129"/>
      <c r="D52" s="129"/>
      <c r="E52" s="494">
        <f>'[2]1.1.sz.mell.'!C51</f>
        <v>0</v>
      </c>
    </row>
    <row r="53" spans="1:5" s="487" customFormat="1" ht="12" customHeight="1" thickBot="1" x14ac:dyDescent="0.25">
      <c r="A53" s="11" t="s">
        <v>176</v>
      </c>
      <c r="B53" s="73" t="s">
        <v>181</v>
      </c>
      <c r="C53" s="130"/>
      <c r="D53" s="130"/>
      <c r="E53" s="494">
        <f>'[2]1.1.sz.mell.'!C52</f>
        <v>0</v>
      </c>
    </row>
    <row r="54" spans="1:5" s="487" customFormat="1" ht="12" customHeight="1" thickBot="1" x14ac:dyDescent="0.25">
      <c r="A54" s="15" t="s">
        <v>100</v>
      </c>
      <c r="B54" s="16" t="s">
        <v>182</v>
      </c>
      <c r="C54" s="125">
        <f>SUM(C55:C57)</f>
        <v>583500</v>
      </c>
      <c r="D54" s="125">
        <f>SUM(D55:D57)</f>
        <v>1522043</v>
      </c>
      <c r="E54" s="70">
        <f>SUM(E55:E57)</f>
        <v>100000</v>
      </c>
    </row>
    <row r="55" spans="1:5" s="487" customFormat="1" ht="12" customHeight="1" x14ac:dyDescent="0.2">
      <c r="A55" s="10" t="s">
        <v>57</v>
      </c>
      <c r="B55" s="139" t="s">
        <v>183</v>
      </c>
      <c r="C55" s="127"/>
      <c r="D55" s="127"/>
      <c r="E55" s="488">
        <f>'[2]1.1.sz.mell.'!C54</f>
        <v>0</v>
      </c>
    </row>
    <row r="56" spans="1:5" s="487" customFormat="1" ht="12" customHeight="1" x14ac:dyDescent="0.2">
      <c r="A56" s="9" t="s">
        <v>58</v>
      </c>
      <c r="B56" s="140" t="s">
        <v>292</v>
      </c>
      <c r="C56" s="126"/>
      <c r="D56" s="126"/>
      <c r="E56" s="488">
        <f>'[2]1.1.sz.mell.'!C55</f>
        <v>0</v>
      </c>
    </row>
    <row r="57" spans="1:5" s="487" customFormat="1" ht="12" customHeight="1" x14ac:dyDescent="0.2">
      <c r="A57" s="9" t="s">
        <v>186</v>
      </c>
      <c r="B57" s="140" t="s">
        <v>184</v>
      </c>
      <c r="C57" s="126">
        <v>583500</v>
      </c>
      <c r="D57" s="126">
        <v>1522043</v>
      </c>
      <c r="E57" s="488">
        <f>'[2]1.1.sz.mell.'!C56</f>
        <v>100000</v>
      </c>
    </row>
    <row r="58" spans="1:5" s="487" customFormat="1" ht="12" customHeight="1" thickBot="1" x14ac:dyDescent="0.25">
      <c r="A58" s="11" t="s">
        <v>187</v>
      </c>
      <c r="B58" s="73" t="s">
        <v>185</v>
      </c>
      <c r="C58" s="128"/>
      <c r="D58" s="128"/>
      <c r="E58" s="488">
        <f>'[2]1.1.sz.mell.'!C57</f>
        <v>0</v>
      </c>
    </row>
    <row r="59" spans="1:5" s="487" customFormat="1" ht="12" customHeight="1" thickBot="1" x14ac:dyDescent="0.25">
      <c r="A59" s="15" t="s">
        <v>12</v>
      </c>
      <c r="B59" s="71" t="s">
        <v>188</v>
      </c>
      <c r="C59" s="125">
        <f>SUM(C60:C62)</f>
        <v>1591896</v>
      </c>
      <c r="D59" s="125">
        <f>SUM(D60:D62)</f>
        <v>2363368</v>
      </c>
      <c r="E59" s="70">
        <f>SUM(E60:E62)</f>
        <v>800000</v>
      </c>
    </row>
    <row r="60" spans="1:5" s="487" customFormat="1" ht="12" customHeight="1" x14ac:dyDescent="0.2">
      <c r="A60" s="10" t="s">
        <v>101</v>
      </c>
      <c r="B60" s="139" t="s">
        <v>190</v>
      </c>
      <c r="C60" s="129"/>
      <c r="D60" s="129"/>
      <c r="E60" s="495">
        <f>'[2]1.1.sz.mell.'!C59</f>
        <v>0</v>
      </c>
    </row>
    <row r="61" spans="1:5" s="487" customFormat="1" ht="12" customHeight="1" x14ac:dyDescent="0.2">
      <c r="A61" s="9" t="s">
        <v>102</v>
      </c>
      <c r="B61" s="140" t="s">
        <v>293</v>
      </c>
      <c r="C61" s="129"/>
      <c r="D61" s="129"/>
      <c r="E61" s="495">
        <f>'[2]1.1.sz.mell.'!C60</f>
        <v>0</v>
      </c>
    </row>
    <row r="62" spans="1:5" s="487" customFormat="1" ht="12" customHeight="1" x14ac:dyDescent="0.2">
      <c r="A62" s="9" t="s">
        <v>122</v>
      </c>
      <c r="B62" s="140" t="s">
        <v>191</v>
      </c>
      <c r="C62" s="129">
        <v>1591896</v>
      </c>
      <c r="D62" s="129">
        <v>2363368</v>
      </c>
      <c r="E62" s="495">
        <f>'[2]1.1.sz.mell.'!C61</f>
        <v>800000</v>
      </c>
    </row>
    <row r="63" spans="1:5" s="487" customFormat="1" ht="12" customHeight="1" thickBot="1" x14ac:dyDescent="0.25">
      <c r="A63" s="11" t="s">
        <v>189</v>
      </c>
      <c r="B63" s="73" t="s">
        <v>192</v>
      </c>
      <c r="C63" s="129"/>
      <c r="D63" s="129"/>
      <c r="E63" s="495">
        <f>'[2]1.1.sz.mell.'!C62</f>
        <v>0</v>
      </c>
    </row>
    <row r="64" spans="1:5" s="487" customFormat="1" ht="12" customHeight="1" thickBot="1" x14ac:dyDescent="0.25">
      <c r="A64" s="178" t="s">
        <v>339</v>
      </c>
      <c r="B64" s="16" t="s">
        <v>193</v>
      </c>
      <c r="C64" s="131">
        <f>+C5+C12+C19+C26+C36+C48+C54+C59</f>
        <v>416933928</v>
      </c>
      <c r="D64" s="131">
        <f>+D5+D12+D19+D26+D36+D48+D54+D59</f>
        <v>425232054</v>
      </c>
      <c r="E64" s="166">
        <f>+E5+E12+E19+E26+E36+E48+E54+E59</f>
        <v>410423582</v>
      </c>
    </row>
    <row r="65" spans="1:7" s="487" customFormat="1" ht="12" customHeight="1" thickBot="1" x14ac:dyDescent="0.25">
      <c r="A65" s="170" t="s">
        <v>194</v>
      </c>
      <c r="B65" s="71" t="s">
        <v>531</v>
      </c>
      <c r="C65" s="125">
        <f>SUM(C66:C68)</f>
        <v>61650413</v>
      </c>
      <c r="D65" s="125">
        <f>SUM(D66:D68)</f>
        <v>98240429</v>
      </c>
      <c r="E65" s="70">
        <f>SUM(E66:E68)</f>
        <v>73000000</v>
      </c>
    </row>
    <row r="66" spans="1:7" s="487" customFormat="1" ht="12" customHeight="1" x14ac:dyDescent="0.2">
      <c r="A66" s="10" t="s">
        <v>223</v>
      </c>
      <c r="B66" s="139" t="s">
        <v>196</v>
      </c>
      <c r="C66" s="129"/>
      <c r="D66" s="129">
        <v>38507648</v>
      </c>
      <c r="E66" s="495">
        <f>'[2]1.1.sz.mell.'!C65</f>
        <v>73000000</v>
      </c>
    </row>
    <row r="67" spans="1:7" s="487" customFormat="1" ht="12" customHeight="1" x14ac:dyDescent="0.2">
      <c r="A67" s="9" t="s">
        <v>232</v>
      </c>
      <c r="B67" s="140" t="s">
        <v>197</v>
      </c>
      <c r="C67" s="129">
        <v>61650413</v>
      </c>
      <c r="D67" s="129">
        <v>59732781</v>
      </c>
      <c r="E67" s="495">
        <f>'[2]1.1.sz.mell.'!C66</f>
        <v>0</v>
      </c>
    </row>
    <row r="68" spans="1:7" s="487" customFormat="1" ht="12" customHeight="1" thickBot="1" x14ac:dyDescent="0.25">
      <c r="A68" s="11" t="s">
        <v>233</v>
      </c>
      <c r="B68" s="496" t="s">
        <v>324</v>
      </c>
      <c r="C68" s="129"/>
      <c r="D68" s="129"/>
      <c r="E68" s="495">
        <f>'[2]1.1.sz.mell.'!C67</f>
        <v>0</v>
      </c>
    </row>
    <row r="69" spans="1:7" s="487" customFormat="1" ht="12" customHeight="1" thickBot="1" x14ac:dyDescent="0.25">
      <c r="A69" s="170" t="s">
        <v>199</v>
      </c>
      <c r="B69" s="71" t="s">
        <v>200</v>
      </c>
      <c r="C69" s="125">
        <f>SUM(C70:C73)</f>
        <v>400000000</v>
      </c>
      <c r="D69" s="125">
        <f>SUM(D70:D73)</f>
        <v>0</v>
      </c>
      <c r="E69" s="70">
        <f>SUM(E70:E73)</f>
        <v>0</v>
      </c>
    </row>
    <row r="70" spans="1:7" s="487" customFormat="1" ht="12" customHeight="1" x14ac:dyDescent="0.2">
      <c r="A70" s="10" t="s">
        <v>80</v>
      </c>
      <c r="B70" s="246" t="s">
        <v>201</v>
      </c>
      <c r="C70" s="129">
        <v>400000000</v>
      </c>
      <c r="D70" s="129"/>
      <c r="E70" s="495">
        <f>'[2]1.1.sz.mell.'!C69</f>
        <v>0</v>
      </c>
    </row>
    <row r="71" spans="1:7" s="487" customFormat="1" ht="13.5" customHeight="1" x14ac:dyDescent="0.25">
      <c r="A71" s="9" t="s">
        <v>81</v>
      </c>
      <c r="B71" s="246" t="s">
        <v>434</v>
      </c>
      <c r="C71" s="129"/>
      <c r="D71" s="129"/>
      <c r="E71" s="495">
        <f>'[2]1.1.sz.mell.'!C70</f>
        <v>0</v>
      </c>
      <c r="G71" s="497"/>
    </row>
    <row r="72" spans="1:7" s="487" customFormat="1" ht="12" customHeight="1" x14ac:dyDescent="0.2">
      <c r="A72" s="9" t="s">
        <v>224</v>
      </c>
      <c r="B72" s="246" t="s">
        <v>202</v>
      </c>
      <c r="C72" s="129"/>
      <c r="D72" s="129"/>
      <c r="E72" s="495">
        <f>'[2]1.1.sz.mell.'!C71</f>
        <v>0</v>
      </c>
    </row>
    <row r="73" spans="1:7" s="487" customFormat="1" ht="12" customHeight="1" thickBot="1" x14ac:dyDescent="0.25">
      <c r="A73" s="11" t="s">
        <v>225</v>
      </c>
      <c r="B73" s="247" t="s">
        <v>435</v>
      </c>
      <c r="C73" s="129"/>
      <c r="D73" s="129"/>
      <c r="E73" s="495">
        <f>'[2]1.1.sz.mell.'!C72</f>
        <v>0</v>
      </c>
    </row>
    <row r="74" spans="1:7" s="487" customFormat="1" ht="12" customHeight="1" thickBot="1" x14ac:dyDescent="0.25">
      <c r="A74" s="170" t="s">
        <v>203</v>
      </c>
      <c r="B74" s="71" t="s">
        <v>204</v>
      </c>
      <c r="C74" s="125">
        <f>SUM(C75:C76)</f>
        <v>127835638</v>
      </c>
      <c r="D74" s="125">
        <f>SUM(D75:D76)</f>
        <v>432850753</v>
      </c>
      <c r="E74" s="70">
        <f>SUM(E75:E76)</f>
        <v>269021313</v>
      </c>
    </row>
    <row r="75" spans="1:7" s="487" customFormat="1" ht="12" customHeight="1" x14ac:dyDescent="0.2">
      <c r="A75" s="10" t="s">
        <v>226</v>
      </c>
      <c r="B75" s="139" t="s">
        <v>205</v>
      </c>
      <c r="C75" s="129">
        <v>127835638</v>
      </c>
      <c r="D75" s="129">
        <v>432850753</v>
      </c>
      <c r="E75" s="495">
        <f>'[2]1.1.sz.mell.'!C74</f>
        <v>269021313</v>
      </c>
    </row>
    <row r="76" spans="1:7" s="487" customFormat="1" ht="12" customHeight="1" thickBot="1" x14ac:dyDescent="0.25">
      <c r="A76" s="11" t="s">
        <v>227</v>
      </c>
      <c r="B76" s="73" t="s">
        <v>206</v>
      </c>
      <c r="C76" s="129"/>
      <c r="D76" s="129"/>
      <c r="E76" s="495">
        <f>'[2]1.1.sz.mell.'!C75</f>
        <v>0</v>
      </c>
    </row>
    <row r="77" spans="1:7" s="487" customFormat="1" ht="12" customHeight="1" thickBot="1" x14ac:dyDescent="0.25">
      <c r="A77" s="170" t="s">
        <v>207</v>
      </c>
      <c r="B77" s="71" t="s">
        <v>208</v>
      </c>
      <c r="C77" s="125">
        <f>SUM(C78:C80)</f>
        <v>405483584</v>
      </c>
      <c r="D77" s="125">
        <f>SUM(D78:D80)</f>
        <v>7423543</v>
      </c>
      <c r="E77" s="70">
        <f>SUM(E78:E80)</f>
        <v>0</v>
      </c>
    </row>
    <row r="78" spans="1:7" s="487" customFormat="1" ht="12" customHeight="1" x14ac:dyDescent="0.2">
      <c r="A78" s="10" t="s">
        <v>228</v>
      </c>
      <c r="B78" s="139" t="s">
        <v>209</v>
      </c>
      <c r="C78" s="129">
        <v>5483584</v>
      </c>
      <c r="D78" s="129">
        <v>7423543</v>
      </c>
      <c r="E78" s="495">
        <f>'[2]1.1.sz.mell.'!C77</f>
        <v>0</v>
      </c>
    </row>
    <row r="79" spans="1:7" s="487" customFormat="1" ht="12" customHeight="1" x14ac:dyDescent="0.2">
      <c r="A79" s="9" t="s">
        <v>229</v>
      </c>
      <c r="B79" s="140" t="s">
        <v>210</v>
      </c>
      <c r="C79" s="129"/>
      <c r="D79" s="129"/>
      <c r="E79" s="495">
        <f>'[2]1.1.sz.mell.'!C78</f>
        <v>0</v>
      </c>
    </row>
    <row r="80" spans="1:7" s="487" customFormat="1" ht="12" customHeight="1" thickBot="1" x14ac:dyDescent="0.25">
      <c r="A80" s="11" t="s">
        <v>230</v>
      </c>
      <c r="B80" s="73" t="s">
        <v>457</v>
      </c>
      <c r="C80" s="129">
        <v>400000000</v>
      </c>
      <c r="D80" s="129"/>
      <c r="E80" s="495">
        <f>'[2]1.1.sz.mell.'!C79</f>
        <v>0</v>
      </c>
    </row>
    <row r="81" spans="1:6" s="487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70">
        <f>SUM(E82:E85)</f>
        <v>0</v>
      </c>
    </row>
    <row r="82" spans="1:6" s="487" customFormat="1" ht="12" customHeight="1" x14ac:dyDescent="0.2">
      <c r="A82" s="142" t="s">
        <v>212</v>
      </c>
      <c r="B82" s="139" t="s">
        <v>213</v>
      </c>
      <c r="C82" s="129"/>
      <c r="D82" s="129"/>
      <c r="E82" s="495">
        <f>'[2]1.1.sz.mell.'!C81</f>
        <v>0</v>
      </c>
    </row>
    <row r="83" spans="1:6" s="487" customFormat="1" ht="12" customHeight="1" x14ac:dyDescent="0.2">
      <c r="A83" s="143" t="s">
        <v>214</v>
      </c>
      <c r="B83" s="140" t="s">
        <v>215</v>
      </c>
      <c r="C83" s="129"/>
      <c r="D83" s="129"/>
      <c r="E83" s="495">
        <f>'[2]1.1.sz.mell.'!C82</f>
        <v>0</v>
      </c>
    </row>
    <row r="84" spans="1:6" s="487" customFormat="1" ht="12" customHeight="1" x14ac:dyDescent="0.2">
      <c r="A84" s="143" t="s">
        <v>216</v>
      </c>
      <c r="B84" s="140" t="s">
        <v>217</v>
      </c>
      <c r="C84" s="129"/>
      <c r="D84" s="129"/>
      <c r="E84" s="495">
        <f>'[2]1.1.sz.mell.'!C83</f>
        <v>0</v>
      </c>
    </row>
    <row r="85" spans="1:6" s="487" customFormat="1" ht="12" customHeight="1" thickBot="1" x14ac:dyDescent="0.25">
      <c r="A85" s="144" t="s">
        <v>218</v>
      </c>
      <c r="B85" s="73" t="s">
        <v>219</v>
      </c>
      <c r="C85" s="129"/>
      <c r="D85" s="129"/>
      <c r="E85" s="495">
        <f>'[2]1.1.sz.mell.'!C84</f>
        <v>0</v>
      </c>
    </row>
    <row r="86" spans="1:6" s="487" customFormat="1" ht="12" customHeight="1" thickBot="1" x14ac:dyDescent="0.25">
      <c r="A86" s="170" t="s">
        <v>220</v>
      </c>
      <c r="B86" s="71" t="s">
        <v>338</v>
      </c>
      <c r="C86" s="172"/>
      <c r="D86" s="172"/>
      <c r="E86" s="498"/>
    </row>
    <row r="87" spans="1:6" s="487" customFormat="1" ht="12" customHeight="1" thickBot="1" x14ac:dyDescent="0.25">
      <c r="A87" s="170" t="s">
        <v>222</v>
      </c>
      <c r="B87" s="71" t="s">
        <v>221</v>
      </c>
      <c r="C87" s="172"/>
      <c r="D87" s="172"/>
      <c r="E87" s="498"/>
    </row>
    <row r="88" spans="1:6" s="487" customFormat="1" ht="13.5" thickBot="1" x14ac:dyDescent="0.25">
      <c r="A88" s="170" t="s">
        <v>234</v>
      </c>
      <c r="B88" s="145" t="s">
        <v>341</v>
      </c>
      <c r="C88" s="131">
        <f>+C65+C69+C74+C77+C81+C87+C86</f>
        <v>994969635</v>
      </c>
      <c r="D88" s="131">
        <f>+D65+D69+D74+D77+D81+D87+D86</f>
        <v>538514725</v>
      </c>
      <c r="E88" s="166">
        <f>+E65+E69+E74+E77+E81+E87+E86</f>
        <v>342021313</v>
      </c>
    </row>
    <row r="89" spans="1:6" s="487" customFormat="1" ht="13.5" thickBot="1" x14ac:dyDescent="0.25">
      <c r="A89" s="171" t="s">
        <v>340</v>
      </c>
      <c r="B89" s="146" t="s">
        <v>342</v>
      </c>
      <c r="C89" s="131">
        <f>+C64+C88</f>
        <v>1411903563</v>
      </c>
      <c r="D89" s="131">
        <f>+D64+D88</f>
        <v>963746779</v>
      </c>
      <c r="E89" s="166">
        <f>+E64+E88</f>
        <v>752444895</v>
      </c>
    </row>
    <row r="90" spans="1:6" s="487" customFormat="1" ht="12" customHeight="1" x14ac:dyDescent="0.2">
      <c r="A90" s="716" t="s">
        <v>33</v>
      </c>
      <c r="B90" s="716"/>
      <c r="C90" s="716"/>
      <c r="D90" s="716"/>
      <c r="E90" s="716"/>
    </row>
    <row r="91" spans="1:6" s="487" customFormat="1" ht="12" customHeight="1" thickBot="1" x14ac:dyDescent="0.25">
      <c r="A91" s="718" t="s">
        <v>83</v>
      </c>
      <c r="B91" s="718"/>
      <c r="C91" s="480"/>
      <c r="D91" s="394"/>
      <c r="E91" s="75" t="str">
        <f>E2</f>
        <v>Forintban</v>
      </c>
    </row>
    <row r="92" spans="1:6" s="487" customFormat="1" ht="24" customHeight="1" thickBot="1" x14ac:dyDescent="0.25">
      <c r="A92" s="481" t="s">
        <v>485</v>
      </c>
      <c r="B92" s="482" t="s">
        <v>532</v>
      </c>
      <c r="C92" s="482" t="str">
        <f>+C3</f>
        <v>2018. évi tény</v>
      </c>
      <c r="D92" s="482" t="str">
        <f>+D3</f>
        <v>2019. évi várható</v>
      </c>
      <c r="E92" s="484" t="str">
        <f>+E3</f>
        <v>2020. évi előirányzat</v>
      </c>
      <c r="F92" s="499"/>
    </row>
    <row r="93" spans="1:6" s="487" customFormat="1" ht="12" customHeight="1" thickBot="1" x14ac:dyDescent="0.25">
      <c r="A93" s="21" t="s">
        <v>350</v>
      </c>
      <c r="B93" s="22" t="s">
        <v>351</v>
      </c>
      <c r="C93" s="22" t="s">
        <v>352</v>
      </c>
      <c r="D93" s="22" t="s">
        <v>354</v>
      </c>
      <c r="E93" s="485" t="s">
        <v>353</v>
      </c>
      <c r="F93" s="499"/>
    </row>
    <row r="94" spans="1:6" s="487" customFormat="1" ht="15" customHeight="1" thickBot="1" x14ac:dyDescent="0.25">
      <c r="A94" s="17" t="s">
        <v>5</v>
      </c>
      <c r="B94" s="20" t="s">
        <v>300</v>
      </c>
      <c r="C94" s="124">
        <f>C95+C96+C97+C98+C99+C112</f>
        <v>342733727</v>
      </c>
      <c r="D94" s="124">
        <f>D95+D96+D97+D98+D99+D112</f>
        <v>423313190</v>
      </c>
      <c r="E94" s="180">
        <f>E95+E96+E97+E98+E99+E112</f>
        <v>456196352</v>
      </c>
      <c r="F94" s="499"/>
    </row>
    <row r="95" spans="1:6" s="487" customFormat="1" ht="12.95" customHeight="1" x14ac:dyDescent="0.2">
      <c r="A95" s="12" t="s">
        <v>59</v>
      </c>
      <c r="B95" s="5" t="s">
        <v>34</v>
      </c>
      <c r="C95" s="184">
        <v>128106983</v>
      </c>
      <c r="D95" s="184">
        <f>83783268+64237988</f>
        <v>148021256</v>
      </c>
      <c r="E95" s="336">
        <f>'[2]1.1.sz.mell.'!C94</f>
        <v>147553500</v>
      </c>
    </row>
    <row r="96" spans="1:6" ht="16.5" customHeight="1" x14ac:dyDescent="0.25">
      <c r="A96" s="9" t="s">
        <v>60</v>
      </c>
      <c r="B96" s="3" t="s">
        <v>103</v>
      </c>
      <c r="C96" s="126">
        <v>25054106</v>
      </c>
      <c r="D96" s="126">
        <f>14255882+12107628</f>
        <v>26363510</v>
      </c>
      <c r="E96" s="500">
        <f>'[2]1.1.sz.mell.'!C95</f>
        <v>26445000</v>
      </c>
    </row>
    <row r="97" spans="1:5" x14ac:dyDescent="0.25">
      <c r="A97" s="9" t="s">
        <v>61</v>
      </c>
      <c r="B97" s="3" t="s">
        <v>78</v>
      </c>
      <c r="C97" s="128">
        <v>80494683</v>
      </c>
      <c r="D97" s="128">
        <f>117847663+8418164</f>
        <v>126265827</v>
      </c>
      <c r="E97" s="500">
        <f>'[2]1.1.sz.mell.'!C96</f>
        <v>152882000</v>
      </c>
    </row>
    <row r="98" spans="1:5" s="486" customFormat="1" ht="12" customHeight="1" x14ac:dyDescent="0.2">
      <c r="A98" s="9" t="s">
        <v>62</v>
      </c>
      <c r="B98" s="6" t="s">
        <v>104</v>
      </c>
      <c r="C98" s="128">
        <v>6016000</v>
      </c>
      <c r="D98" s="128">
        <v>3765000</v>
      </c>
      <c r="E98" s="500">
        <f>'[2]1.1.sz.mell.'!C97</f>
        <v>5390000</v>
      </c>
    </row>
    <row r="99" spans="1:5" ht="12" customHeight="1" x14ac:dyDescent="0.25">
      <c r="A99" s="9" t="s">
        <v>70</v>
      </c>
      <c r="B99" s="14" t="s">
        <v>105</v>
      </c>
      <c r="C99" s="128">
        <v>103061955</v>
      </c>
      <c r="D99" s="128">
        <v>118897597</v>
      </c>
      <c r="E99" s="331">
        <f>'[2]1.1.sz.mell.'!C98</f>
        <v>122899000</v>
      </c>
    </row>
    <row r="100" spans="1:5" ht="12" customHeight="1" x14ac:dyDescent="0.25">
      <c r="A100" s="9" t="s">
        <v>63</v>
      </c>
      <c r="B100" s="3" t="s">
        <v>305</v>
      </c>
      <c r="C100" s="128"/>
      <c r="D100" s="128">
        <v>3870076</v>
      </c>
      <c r="E100" s="331">
        <f>'[2]1.1.sz.mell.'!C99</f>
        <v>705000</v>
      </c>
    </row>
    <row r="101" spans="1:5" ht="12" customHeight="1" x14ac:dyDescent="0.25">
      <c r="A101" s="9" t="s">
        <v>64</v>
      </c>
      <c r="B101" s="50" t="s">
        <v>304</v>
      </c>
      <c r="C101" s="128"/>
      <c r="D101" s="128"/>
      <c r="E101" s="493">
        <f>'[2]1.1.sz.mell.'!C100</f>
        <v>0</v>
      </c>
    </row>
    <row r="102" spans="1:5" ht="12" customHeight="1" x14ac:dyDescent="0.25">
      <c r="A102" s="9" t="s">
        <v>71</v>
      </c>
      <c r="B102" s="50" t="s">
        <v>303</v>
      </c>
      <c r="C102" s="128">
        <v>471533</v>
      </c>
      <c r="D102" s="128"/>
      <c r="E102" s="331">
        <f>'[2]1.1.sz.mell.'!C101</f>
        <v>0</v>
      </c>
    </row>
    <row r="103" spans="1:5" ht="12" customHeight="1" x14ac:dyDescent="0.25">
      <c r="A103" s="9" t="s">
        <v>72</v>
      </c>
      <c r="B103" s="48" t="s">
        <v>237</v>
      </c>
      <c r="C103" s="128"/>
      <c r="D103" s="128"/>
      <c r="E103" s="493">
        <f>'[2]1.1.sz.mell.'!C102</f>
        <v>0</v>
      </c>
    </row>
    <row r="104" spans="1:5" ht="12" customHeight="1" x14ac:dyDescent="0.25">
      <c r="A104" s="9" t="s">
        <v>73</v>
      </c>
      <c r="B104" s="49" t="s">
        <v>238</v>
      </c>
      <c r="C104" s="128"/>
      <c r="D104" s="128"/>
      <c r="E104" s="500">
        <f>'[2]1.1.sz.mell.'!C103</f>
        <v>0</v>
      </c>
    </row>
    <row r="105" spans="1:5" ht="12" customHeight="1" x14ac:dyDescent="0.25">
      <c r="A105" s="9" t="s">
        <v>74</v>
      </c>
      <c r="B105" s="49" t="s">
        <v>239</v>
      </c>
      <c r="C105" s="128"/>
      <c r="D105" s="128"/>
      <c r="E105" s="331">
        <f>'[2]1.1.sz.mell.'!C104</f>
        <v>0</v>
      </c>
    </row>
    <row r="106" spans="1:5" ht="12" customHeight="1" x14ac:dyDescent="0.25">
      <c r="A106" s="9" t="s">
        <v>76</v>
      </c>
      <c r="B106" s="48" t="s">
        <v>240</v>
      </c>
      <c r="C106" s="128">
        <v>95884022</v>
      </c>
      <c r="D106" s="128">
        <v>108379721</v>
      </c>
      <c r="E106" s="331">
        <f>'[2]1.1.sz.mell.'!C105</f>
        <v>121744000</v>
      </c>
    </row>
    <row r="107" spans="1:5" ht="12" customHeight="1" x14ac:dyDescent="0.25">
      <c r="A107" s="9" t="s">
        <v>106</v>
      </c>
      <c r="B107" s="48" t="s">
        <v>241</v>
      </c>
      <c r="C107" s="128"/>
      <c r="D107" s="128"/>
      <c r="E107" s="493">
        <f>'[2]1.1.sz.mell.'!C106</f>
        <v>0</v>
      </c>
    </row>
    <row r="108" spans="1:5" ht="12" customHeight="1" x14ac:dyDescent="0.25">
      <c r="A108" s="9" t="s">
        <v>235</v>
      </c>
      <c r="B108" s="49" t="s">
        <v>242</v>
      </c>
      <c r="C108" s="128"/>
      <c r="D108" s="128"/>
      <c r="E108" s="500">
        <f>'[2]1.1.sz.mell.'!C107</f>
        <v>0</v>
      </c>
    </row>
    <row r="109" spans="1:5" ht="12" customHeight="1" x14ac:dyDescent="0.25">
      <c r="A109" s="8" t="s">
        <v>236</v>
      </c>
      <c r="B109" s="50" t="s">
        <v>243</v>
      </c>
      <c r="C109" s="128"/>
      <c r="D109" s="128"/>
      <c r="E109" s="500">
        <f>'[2]1.1.sz.mell.'!C108</f>
        <v>0</v>
      </c>
    </row>
    <row r="110" spans="1:5" ht="12" customHeight="1" x14ac:dyDescent="0.25">
      <c r="A110" s="9" t="s">
        <v>301</v>
      </c>
      <c r="B110" s="50" t="s">
        <v>244</v>
      </c>
      <c r="C110" s="128"/>
      <c r="D110" s="128"/>
      <c r="E110" s="500">
        <f>'[2]1.1.sz.mell.'!C109</f>
        <v>0</v>
      </c>
    </row>
    <row r="111" spans="1:5" ht="12" customHeight="1" x14ac:dyDescent="0.25">
      <c r="A111" s="11" t="s">
        <v>302</v>
      </c>
      <c r="B111" s="50" t="s">
        <v>245</v>
      </c>
      <c r="C111" s="128">
        <v>6706400</v>
      </c>
      <c r="D111" s="128">
        <v>6647800</v>
      </c>
      <c r="E111" s="331">
        <f>'[2]1.1.sz.mell.'!C110</f>
        <v>450000</v>
      </c>
    </row>
    <row r="112" spans="1:5" ht="12" customHeight="1" x14ac:dyDescent="0.25">
      <c r="A112" s="9" t="s">
        <v>306</v>
      </c>
      <c r="B112" s="6" t="s">
        <v>35</v>
      </c>
      <c r="C112" s="126"/>
      <c r="D112" s="126"/>
      <c r="E112" s="493">
        <f>'[2]1.1.sz.mell.'!C111</f>
        <v>1026852</v>
      </c>
    </row>
    <row r="113" spans="1:5" ht="12" customHeight="1" x14ac:dyDescent="0.25">
      <c r="A113" s="9" t="s">
        <v>307</v>
      </c>
      <c r="B113" s="3" t="s">
        <v>309</v>
      </c>
      <c r="C113" s="126"/>
      <c r="D113" s="126"/>
      <c r="E113" s="500">
        <f>'[2]1.1.sz.mell.'!C112</f>
        <v>200000</v>
      </c>
    </row>
    <row r="114" spans="1:5" ht="12" customHeight="1" thickBot="1" x14ac:dyDescent="0.3">
      <c r="A114" s="13" t="s">
        <v>308</v>
      </c>
      <c r="B114" s="177" t="s">
        <v>310</v>
      </c>
      <c r="C114" s="185"/>
      <c r="D114" s="185"/>
      <c r="E114" s="332">
        <f>'[2]1.1.sz.mell.'!C113</f>
        <v>826852</v>
      </c>
    </row>
    <row r="115" spans="1:5" ht="12" customHeight="1" thickBot="1" x14ac:dyDescent="0.3">
      <c r="A115" s="175" t="s">
        <v>6</v>
      </c>
      <c r="B115" s="176" t="s">
        <v>246</v>
      </c>
      <c r="C115" s="186">
        <f>+C116+C118+C120</f>
        <v>164389473</v>
      </c>
      <c r="D115" s="186">
        <f>+D116+D118+D120</f>
        <v>210773439</v>
      </c>
      <c r="E115" s="262">
        <f>+E116+E118+E120</f>
        <v>284725000</v>
      </c>
    </row>
    <row r="116" spans="1:5" ht="12" customHeight="1" x14ac:dyDescent="0.25">
      <c r="A116" s="10" t="s">
        <v>65</v>
      </c>
      <c r="B116" s="3" t="s">
        <v>121</v>
      </c>
      <c r="C116" s="127">
        <v>164389473</v>
      </c>
      <c r="D116" s="127">
        <f>210703256+70183</f>
        <v>210773439</v>
      </c>
      <c r="E116" s="488">
        <f>'[2]1.1.sz.mell.'!C115</f>
        <v>283725000</v>
      </c>
    </row>
    <row r="117" spans="1:5" x14ac:dyDescent="0.25">
      <c r="A117" s="10" t="s">
        <v>66</v>
      </c>
      <c r="B117" s="7" t="s">
        <v>250</v>
      </c>
      <c r="C117" s="127">
        <v>90419311</v>
      </c>
      <c r="D117" s="127">
        <v>192474599</v>
      </c>
      <c r="E117" s="488">
        <f>'[2]1.1.sz.mell.'!C116</f>
        <v>265669000</v>
      </c>
    </row>
    <row r="118" spans="1:5" ht="12" customHeight="1" x14ac:dyDescent="0.25">
      <c r="A118" s="10" t="s">
        <v>67</v>
      </c>
      <c r="B118" s="7" t="s">
        <v>107</v>
      </c>
      <c r="C118" s="126"/>
      <c r="D118" s="126"/>
      <c r="E118" s="488">
        <f>'[2]1.1.sz.mell.'!C117</f>
        <v>0</v>
      </c>
    </row>
    <row r="119" spans="1:5" ht="12" customHeight="1" x14ac:dyDescent="0.25">
      <c r="A119" s="10" t="s">
        <v>68</v>
      </c>
      <c r="B119" s="7" t="s">
        <v>251</v>
      </c>
      <c r="C119" s="126"/>
      <c r="D119" s="126"/>
      <c r="E119" s="488">
        <f>'[2]1.1.sz.mell.'!C118</f>
        <v>0</v>
      </c>
    </row>
    <row r="120" spans="1:5" ht="12" customHeight="1" x14ac:dyDescent="0.25">
      <c r="A120" s="10" t="s">
        <v>69</v>
      </c>
      <c r="B120" s="73" t="s">
        <v>123</v>
      </c>
      <c r="C120" s="126"/>
      <c r="D120" s="126"/>
      <c r="E120" s="488">
        <f>'[2]1.1.sz.mell.'!C119</f>
        <v>1000000</v>
      </c>
    </row>
    <row r="121" spans="1:5" ht="12" customHeight="1" x14ac:dyDescent="0.25">
      <c r="A121" s="10" t="s">
        <v>75</v>
      </c>
      <c r="B121" s="72" t="s">
        <v>294</v>
      </c>
      <c r="C121" s="126"/>
      <c r="D121" s="126"/>
      <c r="E121" s="488">
        <f>'[2]1.1.sz.mell.'!C120</f>
        <v>0</v>
      </c>
    </row>
    <row r="122" spans="1:5" ht="12" customHeight="1" x14ac:dyDescent="0.25">
      <c r="A122" s="10" t="s">
        <v>77</v>
      </c>
      <c r="B122" s="135" t="s">
        <v>256</v>
      </c>
      <c r="C122" s="126"/>
      <c r="D122" s="126"/>
      <c r="E122" s="488">
        <f>'[2]1.1.sz.mell.'!C121</f>
        <v>0</v>
      </c>
    </row>
    <row r="123" spans="1:5" ht="12" customHeight="1" x14ac:dyDescent="0.25">
      <c r="A123" s="10" t="s">
        <v>108</v>
      </c>
      <c r="B123" s="49" t="s">
        <v>239</v>
      </c>
      <c r="C123" s="126"/>
      <c r="D123" s="126"/>
      <c r="E123" s="488">
        <f>'[2]1.1.sz.mell.'!C122</f>
        <v>1000000</v>
      </c>
    </row>
    <row r="124" spans="1:5" ht="12" customHeight="1" x14ac:dyDescent="0.25">
      <c r="A124" s="10" t="s">
        <v>109</v>
      </c>
      <c r="B124" s="49" t="s">
        <v>255</v>
      </c>
      <c r="C124" s="126"/>
      <c r="D124" s="126"/>
      <c r="E124" s="488">
        <f>'[2]1.1.sz.mell.'!C123</f>
        <v>0</v>
      </c>
    </row>
    <row r="125" spans="1:5" ht="12" customHeight="1" x14ac:dyDescent="0.25">
      <c r="A125" s="10" t="s">
        <v>110</v>
      </c>
      <c r="B125" s="49" t="s">
        <v>254</v>
      </c>
      <c r="C125" s="126"/>
      <c r="D125" s="126"/>
      <c r="E125" s="488">
        <f>'[2]1.1.sz.mell.'!C124</f>
        <v>0</v>
      </c>
    </row>
    <row r="126" spans="1:5" ht="12" customHeight="1" x14ac:dyDescent="0.25">
      <c r="A126" s="10" t="s">
        <v>247</v>
      </c>
      <c r="B126" s="49" t="s">
        <v>242</v>
      </c>
      <c r="C126" s="126"/>
      <c r="D126" s="126"/>
      <c r="E126" s="488">
        <f>'[2]1.1.sz.mell.'!C125</f>
        <v>0</v>
      </c>
    </row>
    <row r="127" spans="1:5" ht="12" customHeight="1" x14ac:dyDescent="0.25">
      <c r="A127" s="10" t="s">
        <v>248</v>
      </c>
      <c r="B127" s="49" t="s">
        <v>253</v>
      </c>
      <c r="C127" s="126"/>
      <c r="D127" s="126"/>
      <c r="E127" s="488">
        <f>'[2]1.1.sz.mell.'!C126</f>
        <v>0</v>
      </c>
    </row>
    <row r="128" spans="1:5" ht="12" customHeight="1" thickBot="1" x14ac:dyDescent="0.3">
      <c r="A128" s="8" t="s">
        <v>249</v>
      </c>
      <c r="B128" s="49" t="s">
        <v>252</v>
      </c>
      <c r="C128" s="128"/>
      <c r="D128" s="128"/>
      <c r="E128" s="488">
        <f>'[2]1.1.sz.mell.'!C127</f>
        <v>0</v>
      </c>
    </row>
    <row r="129" spans="1:5" ht="12" customHeight="1" thickBot="1" x14ac:dyDescent="0.3">
      <c r="A129" s="15" t="s">
        <v>7</v>
      </c>
      <c r="B129" s="45" t="s">
        <v>311</v>
      </c>
      <c r="C129" s="125">
        <f>+C94+C115</f>
        <v>507123200</v>
      </c>
      <c r="D129" s="125">
        <f>+D94+D115</f>
        <v>634086629</v>
      </c>
      <c r="E129" s="70">
        <f>+E94+E115</f>
        <v>740921352</v>
      </c>
    </row>
    <row r="130" spans="1:5" ht="12" customHeight="1" thickBot="1" x14ac:dyDescent="0.3">
      <c r="A130" s="15" t="s">
        <v>8</v>
      </c>
      <c r="B130" s="45" t="s">
        <v>312</v>
      </c>
      <c r="C130" s="125">
        <f>+C131+C132+C133</f>
        <v>61650413</v>
      </c>
      <c r="D130" s="125">
        <f>+D131+D132+D133</f>
        <v>59732781</v>
      </c>
      <c r="E130" s="70">
        <f>+E131+E132+E133</f>
        <v>4100000</v>
      </c>
    </row>
    <row r="131" spans="1:5" ht="12" customHeight="1" x14ac:dyDescent="0.25">
      <c r="A131" s="10" t="s">
        <v>154</v>
      </c>
      <c r="B131" s="7" t="s">
        <v>319</v>
      </c>
      <c r="C131" s="126"/>
      <c r="D131" s="126"/>
      <c r="E131" s="501">
        <f>'[2]1.1.sz.mell.'!C130</f>
        <v>4100000</v>
      </c>
    </row>
    <row r="132" spans="1:5" ht="12" customHeight="1" x14ac:dyDescent="0.25">
      <c r="A132" s="10" t="s">
        <v>155</v>
      </c>
      <c r="B132" s="7" t="s">
        <v>320</v>
      </c>
      <c r="C132" s="126">
        <v>61650413</v>
      </c>
      <c r="D132" s="126">
        <v>59732781</v>
      </c>
      <c r="E132" s="501">
        <f>'[2]1.1.sz.mell.'!C131</f>
        <v>0</v>
      </c>
    </row>
    <row r="133" spans="1:5" ht="12" customHeight="1" thickBot="1" x14ac:dyDescent="0.3">
      <c r="A133" s="8" t="s">
        <v>156</v>
      </c>
      <c r="B133" s="7" t="s">
        <v>321</v>
      </c>
      <c r="C133" s="126"/>
      <c r="D133" s="126"/>
      <c r="E133" s="501">
        <f>'[2]1.1.sz.mell.'!C132</f>
        <v>0</v>
      </c>
    </row>
    <row r="134" spans="1:5" ht="12" customHeight="1" thickBot="1" x14ac:dyDescent="0.3">
      <c r="A134" s="15" t="s">
        <v>9</v>
      </c>
      <c r="B134" s="45" t="s">
        <v>313</v>
      </c>
      <c r="C134" s="125">
        <f>SUM(C135:C140)</f>
        <v>400000000</v>
      </c>
      <c r="D134" s="125">
        <f>SUM(D135:D140)</f>
        <v>0</v>
      </c>
      <c r="E134" s="70">
        <f>SUM(E135:E140)</f>
        <v>0</v>
      </c>
    </row>
    <row r="135" spans="1:5" ht="12" customHeight="1" x14ac:dyDescent="0.25">
      <c r="A135" s="10" t="s">
        <v>52</v>
      </c>
      <c r="B135" s="4" t="s">
        <v>322</v>
      </c>
      <c r="C135" s="126">
        <v>400000000</v>
      </c>
      <c r="D135" s="126"/>
      <c r="E135" s="501">
        <f>'[2]1.1.sz.mell.'!C134</f>
        <v>0</v>
      </c>
    </row>
    <row r="136" spans="1:5" ht="12" customHeight="1" x14ac:dyDescent="0.25">
      <c r="A136" s="10" t="s">
        <v>53</v>
      </c>
      <c r="B136" s="4" t="s">
        <v>314</v>
      </c>
      <c r="C136" s="126"/>
      <c r="D136" s="126"/>
      <c r="E136" s="501">
        <f>'[2]1.1.sz.mell.'!C135</f>
        <v>0</v>
      </c>
    </row>
    <row r="137" spans="1:5" ht="12" customHeight="1" x14ac:dyDescent="0.25">
      <c r="A137" s="10" t="s">
        <v>54</v>
      </c>
      <c r="B137" s="4" t="s">
        <v>315</v>
      </c>
      <c r="C137" s="126"/>
      <c r="D137" s="126"/>
      <c r="E137" s="501">
        <f>'[2]1.1.sz.mell.'!C136</f>
        <v>0</v>
      </c>
    </row>
    <row r="138" spans="1:5" ht="12" customHeight="1" x14ac:dyDescent="0.25">
      <c r="A138" s="10" t="s">
        <v>95</v>
      </c>
      <c r="B138" s="4" t="s">
        <v>316</v>
      </c>
      <c r="C138" s="126"/>
      <c r="D138" s="126"/>
      <c r="E138" s="501">
        <f>'[2]1.1.sz.mell.'!C137</f>
        <v>0</v>
      </c>
    </row>
    <row r="139" spans="1:5" ht="12" customHeight="1" x14ac:dyDescent="0.25">
      <c r="A139" s="10" t="s">
        <v>96</v>
      </c>
      <c r="B139" s="4" t="s">
        <v>317</v>
      </c>
      <c r="C139" s="126"/>
      <c r="D139" s="126"/>
      <c r="E139" s="501">
        <f>'[2]1.1.sz.mell.'!C138</f>
        <v>0</v>
      </c>
    </row>
    <row r="140" spans="1:5" ht="12" customHeight="1" thickBot="1" x14ac:dyDescent="0.3">
      <c r="A140" s="8" t="s">
        <v>97</v>
      </c>
      <c r="B140" s="4" t="s">
        <v>318</v>
      </c>
      <c r="C140" s="126"/>
      <c r="D140" s="126"/>
      <c r="E140" s="501">
        <f>'[2]1.1.sz.mell.'!C139</f>
        <v>0</v>
      </c>
    </row>
    <row r="141" spans="1:5" ht="12" customHeight="1" thickBot="1" x14ac:dyDescent="0.3">
      <c r="A141" s="15" t="s">
        <v>10</v>
      </c>
      <c r="B141" s="45" t="s">
        <v>326</v>
      </c>
      <c r="C141" s="131">
        <f>+C142+C143+C144+C145</f>
        <v>5700859</v>
      </c>
      <c r="D141" s="131">
        <f>+D142+D143+D144+D145</f>
        <v>5483584</v>
      </c>
      <c r="E141" s="166">
        <f>+E142+E143+E144+E145</f>
        <v>7423543</v>
      </c>
    </row>
    <row r="142" spans="1:5" ht="12" customHeight="1" x14ac:dyDescent="0.25">
      <c r="A142" s="10" t="s">
        <v>55</v>
      </c>
      <c r="B142" s="4" t="s">
        <v>257</v>
      </c>
      <c r="C142" s="126"/>
      <c r="D142" s="126"/>
      <c r="E142" s="501">
        <f>'[2]1.1.sz.mell.'!C141</f>
        <v>0</v>
      </c>
    </row>
    <row r="143" spans="1:5" ht="12" customHeight="1" x14ac:dyDescent="0.25">
      <c r="A143" s="10" t="s">
        <v>56</v>
      </c>
      <c r="B143" s="4" t="s">
        <v>258</v>
      </c>
      <c r="C143" s="126">
        <v>5700859</v>
      </c>
      <c r="D143" s="126">
        <v>5483584</v>
      </c>
      <c r="E143" s="501">
        <f>'[2]1.1.sz.mell.'!C142</f>
        <v>7423543</v>
      </c>
    </row>
    <row r="144" spans="1:5" ht="12" customHeight="1" x14ac:dyDescent="0.25">
      <c r="A144" s="10" t="s">
        <v>174</v>
      </c>
      <c r="B144" s="4" t="s">
        <v>327</v>
      </c>
      <c r="C144" s="126"/>
      <c r="D144" s="126"/>
      <c r="E144" s="501">
        <f>'[2]1.1.sz.mell.'!C143</f>
        <v>0</v>
      </c>
    </row>
    <row r="145" spans="1:6" ht="12" customHeight="1" thickBot="1" x14ac:dyDescent="0.3">
      <c r="A145" s="8" t="s">
        <v>175</v>
      </c>
      <c r="B145" s="2" t="s">
        <v>276</v>
      </c>
      <c r="C145" s="126"/>
      <c r="D145" s="126"/>
      <c r="E145" s="501">
        <f>'[2]1.1.sz.mell.'!C144</f>
        <v>0</v>
      </c>
    </row>
    <row r="146" spans="1:6" ht="12" customHeight="1" thickBot="1" x14ac:dyDescent="0.3">
      <c r="A146" s="15" t="s">
        <v>11</v>
      </c>
      <c r="B146" s="45" t="s">
        <v>328</v>
      </c>
      <c r="C146" s="187">
        <f>SUM(C147:C151)</f>
        <v>0</v>
      </c>
      <c r="D146" s="187">
        <f>SUM(D147:D151)</f>
        <v>0</v>
      </c>
      <c r="E146" s="182">
        <f>SUM(E147:E151)</f>
        <v>0</v>
      </c>
    </row>
    <row r="147" spans="1:6" ht="12" customHeight="1" x14ac:dyDescent="0.25">
      <c r="A147" s="10" t="s">
        <v>57</v>
      </c>
      <c r="B147" s="4" t="s">
        <v>323</v>
      </c>
      <c r="C147" s="126"/>
      <c r="D147" s="126"/>
      <c r="E147" s="501">
        <f>'[2]1.1.sz.mell.'!C146</f>
        <v>0</v>
      </c>
    </row>
    <row r="148" spans="1:6" ht="12" customHeight="1" x14ac:dyDescent="0.25">
      <c r="A148" s="10" t="s">
        <v>58</v>
      </c>
      <c r="B148" s="4" t="s">
        <v>330</v>
      </c>
      <c r="C148" s="126"/>
      <c r="D148" s="126"/>
      <c r="E148" s="501">
        <f>'[2]1.1.sz.mell.'!C147</f>
        <v>0</v>
      </c>
    </row>
    <row r="149" spans="1:6" ht="12" customHeight="1" x14ac:dyDescent="0.25">
      <c r="A149" s="10" t="s">
        <v>186</v>
      </c>
      <c r="B149" s="4" t="s">
        <v>325</v>
      </c>
      <c r="C149" s="126"/>
      <c r="D149" s="126"/>
      <c r="E149" s="501">
        <f>'[2]1.1.sz.mell.'!C148</f>
        <v>0</v>
      </c>
    </row>
    <row r="150" spans="1:6" ht="12" customHeight="1" x14ac:dyDescent="0.25">
      <c r="A150" s="10" t="s">
        <v>187</v>
      </c>
      <c r="B150" s="4" t="s">
        <v>331</v>
      </c>
      <c r="C150" s="126"/>
      <c r="D150" s="126"/>
      <c r="E150" s="501">
        <f>'[2]1.1.sz.mell.'!C149</f>
        <v>0</v>
      </c>
    </row>
    <row r="151" spans="1:6" ht="12" customHeight="1" thickBot="1" x14ac:dyDescent="0.3">
      <c r="A151" s="10" t="s">
        <v>329</v>
      </c>
      <c r="B151" s="4" t="s">
        <v>332</v>
      </c>
      <c r="C151" s="126"/>
      <c r="D151" s="126"/>
      <c r="E151" s="501">
        <f>'[2]1.1.sz.mell.'!C150</f>
        <v>0</v>
      </c>
    </row>
    <row r="152" spans="1:6" ht="12" customHeight="1" thickBot="1" x14ac:dyDescent="0.3">
      <c r="A152" s="15" t="s">
        <v>12</v>
      </c>
      <c r="B152" s="45" t="s">
        <v>333</v>
      </c>
      <c r="C152" s="188"/>
      <c r="D152" s="188"/>
      <c r="E152" s="502"/>
    </row>
    <row r="153" spans="1:6" ht="12" customHeight="1" thickBot="1" x14ac:dyDescent="0.3">
      <c r="A153" s="15" t="s">
        <v>13</v>
      </c>
      <c r="B153" s="45" t="s">
        <v>334</v>
      </c>
      <c r="C153" s="188"/>
      <c r="D153" s="188"/>
      <c r="E153" s="502"/>
    </row>
    <row r="154" spans="1:6" ht="15" customHeight="1" thickBot="1" x14ac:dyDescent="0.3">
      <c r="A154" s="15" t="s">
        <v>14</v>
      </c>
      <c r="B154" s="45" t="s">
        <v>336</v>
      </c>
      <c r="C154" s="189">
        <f>+C130+C134+C141+C146+C152+C153</f>
        <v>467351272</v>
      </c>
      <c r="D154" s="189">
        <f>+D130+D134+D141+D146+D152+D153</f>
        <v>65216365</v>
      </c>
      <c r="E154" s="183">
        <f>+E130+E134+E141+E146+E152+E153</f>
        <v>11523543</v>
      </c>
      <c r="F154" s="503"/>
    </row>
    <row r="155" spans="1:6" s="487" customFormat="1" ht="13.5" thickBot="1" x14ac:dyDescent="0.25">
      <c r="A155" s="74" t="s">
        <v>15</v>
      </c>
      <c r="B155" s="112" t="s">
        <v>335</v>
      </c>
      <c r="C155" s="189">
        <f>+C129+C154</f>
        <v>974474472</v>
      </c>
      <c r="D155" s="189">
        <f>+D129+D154</f>
        <v>699302994</v>
      </c>
      <c r="E155" s="183">
        <f>+E129+E154</f>
        <v>752444895</v>
      </c>
    </row>
    <row r="156" spans="1:6" x14ac:dyDescent="0.25">
      <c r="C156" s="504"/>
    </row>
    <row r="157" spans="1:6" x14ac:dyDescent="0.25">
      <c r="C157" s="504"/>
    </row>
    <row r="158" spans="1:6" x14ac:dyDescent="0.25">
      <c r="C158" s="504"/>
    </row>
    <row r="159" spans="1:6" ht="16.5" customHeight="1" x14ac:dyDescent="0.25">
      <c r="C159" s="504"/>
    </row>
    <row r="160" spans="1:6" x14ac:dyDescent="0.25">
      <c r="C160" s="504"/>
    </row>
    <row r="161" spans="3:3" x14ac:dyDescent="0.25">
      <c r="C161" s="504"/>
    </row>
    <row r="162" spans="3:3" x14ac:dyDescent="0.25">
      <c r="C162" s="504"/>
    </row>
    <row r="163" spans="3:3" x14ac:dyDescent="0.25">
      <c r="C163" s="504"/>
    </row>
    <row r="164" spans="3:3" x14ac:dyDescent="0.25">
      <c r="C164" s="504"/>
    </row>
    <row r="165" spans="3:3" x14ac:dyDescent="0.25">
      <c r="C165" s="504"/>
    </row>
    <row r="166" spans="3:3" x14ac:dyDescent="0.25">
      <c r="C166" s="504"/>
    </row>
    <row r="167" spans="3:3" x14ac:dyDescent="0.25">
      <c r="C167" s="504"/>
    </row>
    <row r="168" spans="3:3" x14ac:dyDescent="0.25">
      <c r="C168" s="504"/>
    </row>
  </sheetData>
  <mergeCells count="4">
    <mergeCell ref="A1:E1"/>
    <mergeCell ref="A2:B2"/>
    <mergeCell ref="A90:E90"/>
    <mergeCell ref="A91:B91"/>
  </mergeCells>
  <pageMargins left="0.7" right="0.7" top="0.75" bottom="0.75" header="0.3" footer="0.3"/>
  <pageSetup paperSize="9" scale="74" orientation="portrait" r:id="rId1"/>
  <headerFooter>
    <oddHeader>&amp;R&amp;"Times New Roman CE,Félkövér" 11. számú melléklet a 6/2020. (II. 25.)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Layout" zoomScaleNormal="100" zoomScaleSheetLayoutView="93" workbookViewId="0">
      <selection activeCell="G20" sqref="G20"/>
    </sheetView>
  </sheetViews>
  <sheetFormatPr defaultRowHeight="12.75" x14ac:dyDescent="0.2"/>
  <cols>
    <col min="1" max="1" width="6.83203125" style="53" customWidth="1"/>
    <col min="2" max="2" width="49.6640625" style="30" customWidth="1"/>
    <col min="3" max="8" width="12.83203125" style="30" customWidth="1"/>
    <col min="9" max="9" width="14.33203125" style="30" customWidth="1"/>
    <col min="10" max="16384" width="9.33203125" style="30"/>
  </cols>
  <sheetData>
    <row r="1" spans="1:9" ht="75.75" customHeight="1" x14ac:dyDescent="0.2">
      <c r="A1" s="776" t="s">
        <v>533</v>
      </c>
      <c r="B1" s="776"/>
      <c r="C1" s="776"/>
      <c r="D1" s="776"/>
      <c r="E1" s="776"/>
      <c r="F1" s="776"/>
      <c r="G1" s="776"/>
      <c r="H1" s="776"/>
      <c r="I1" s="776"/>
    </row>
    <row r="2" spans="1:9" ht="20.25" customHeight="1" thickBot="1" x14ac:dyDescent="0.3">
      <c r="I2" s="505" t="str">
        <f>'[2]11. sz. mell'!E2</f>
        <v>Forintban</v>
      </c>
    </row>
    <row r="3" spans="1:9" s="506" customFormat="1" ht="26.25" customHeight="1" x14ac:dyDescent="0.2">
      <c r="A3" s="777" t="s">
        <v>47</v>
      </c>
      <c r="B3" s="779" t="s">
        <v>534</v>
      </c>
      <c r="C3" s="777" t="s">
        <v>535</v>
      </c>
      <c r="D3" s="777" t="str">
        <f>+CONCATENATE(LEFT([2]ÖSSZEFÜGGÉSEK!A5,4)," előtti kifizetés")</f>
        <v>2020 előtti kifizetés</v>
      </c>
      <c r="E3" s="781" t="s">
        <v>536</v>
      </c>
      <c r="F3" s="782"/>
      <c r="G3" s="782"/>
      <c r="H3" s="783"/>
      <c r="I3" s="779" t="s">
        <v>493</v>
      </c>
    </row>
    <row r="4" spans="1:9" s="509" customFormat="1" ht="32.25" customHeight="1" thickBot="1" x14ac:dyDescent="0.25">
      <c r="A4" s="778"/>
      <c r="B4" s="780"/>
      <c r="C4" s="780"/>
      <c r="D4" s="778"/>
      <c r="E4" s="507" t="str">
        <f>+CONCATENATE(LEFT([2]ÖSSZEFÜGGÉSEK!A5,4),".")</f>
        <v>2020.</v>
      </c>
      <c r="F4" s="507" t="str">
        <f>+CONCATENATE(LEFT([2]ÖSSZEFÜGGÉSEK!A5,4)+1,".")</f>
        <v>2021.</v>
      </c>
      <c r="G4" s="507" t="str">
        <f>+CONCATENATE(LEFT([2]ÖSSZEFÜGGÉSEK!A5,4)+2,".")</f>
        <v>2022.</v>
      </c>
      <c r="H4" s="508" t="str">
        <f>+CONCATENATE(LEFT([2]ÖSSZEFÜGGÉSEK!A5,4)+2,".",CHAR(10)," után")</f>
        <v>2022.
 után</v>
      </c>
      <c r="I4" s="780"/>
    </row>
    <row r="5" spans="1:9" s="515" customFormat="1" ht="12.95" customHeight="1" thickBot="1" x14ac:dyDescent="0.25">
      <c r="A5" s="510" t="s">
        <v>350</v>
      </c>
      <c r="B5" s="511" t="s">
        <v>351</v>
      </c>
      <c r="C5" s="512" t="s">
        <v>352</v>
      </c>
      <c r="D5" s="511" t="s">
        <v>354</v>
      </c>
      <c r="E5" s="510" t="s">
        <v>353</v>
      </c>
      <c r="F5" s="512" t="s">
        <v>355</v>
      </c>
      <c r="G5" s="512" t="s">
        <v>356</v>
      </c>
      <c r="H5" s="513" t="s">
        <v>357</v>
      </c>
      <c r="I5" s="514" t="s">
        <v>537</v>
      </c>
    </row>
    <row r="6" spans="1:9" ht="24.75" customHeight="1" thickBot="1" x14ac:dyDescent="0.25">
      <c r="A6" s="516" t="s">
        <v>5</v>
      </c>
      <c r="B6" s="517" t="s">
        <v>538</v>
      </c>
      <c r="C6" s="518"/>
      <c r="D6" s="519">
        <f>+D7+D8</f>
        <v>0</v>
      </c>
      <c r="E6" s="520">
        <f>+E7+E8</f>
        <v>0</v>
      </c>
      <c r="F6" s="521">
        <f>+F7+F8</f>
        <v>0</v>
      </c>
      <c r="G6" s="521">
        <f>+G7+G8</f>
        <v>0</v>
      </c>
      <c r="H6" s="522">
        <f>+H7+H8</f>
        <v>0</v>
      </c>
      <c r="I6" s="523">
        <f t="shared" ref="I6:I18" si="0">SUM(D6:H6)</f>
        <v>0</v>
      </c>
    </row>
    <row r="7" spans="1:9" ht="20.100000000000001" customHeight="1" x14ac:dyDescent="0.2">
      <c r="A7" s="524" t="s">
        <v>6</v>
      </c>
      <c r="B7" s="525" t="s">
        <v>539</v>
      </c>
      <c r="C7" s="526"/>
      <c r="D7" s="527"/>
      <c r="E7" s="528"/>
      <c r="F7" s="529"/>
      <c r="G7" s="529"/>
      <c r="H7" s="530"/>
      <c r="I7" s="531">
        <f t="shared" si="0"/>
        <v>0</v>
      </c>
    </row>
    <row r="8" spans="1:9" ht="20.100000000000001" customHeight="1" thickBot="1" x14ac:dyDescent="0.25">
      <c r="A8" s="524" t="s">
        <v>7</v>
      </c>
      <c r="B8" s="525" t="s">
        <v>539</v>
      </c>
      <c r="C8" s="526"/>
      <c r="D8" s="527"/>
      <c r="E8" s="528"/>
      <c r="F8" s="529"/>
      <c r="G8" s="529"/>
      <c r="H8" s="530"/>
      <c r="I8" s="531">
        <f t="shared" si="0"/>
        <v>0</v>
      </c>
    </row>
    <row r="9" spans="1:9" ht="26.1" customHeight="1" thickBot="1" x14ac:dyDescent="0.25">
      <c r="A9" s="516" t="s">
        <v>8</v>
      </c>
      <c r="B9" s="517" t="s">
        <v>540</v>
      </c>
      <c r="C9" s="518"/>
      <c r="D9" s="519">
        <f>+D10+D11</f>
        <v>0</v>
      </c>
      <c r="E9" s="520">
        <f>+E10+E11</f>
        <v>0</v>
      </c>
      <c r="F9" s="521">
        <f>+F10+F11</f>
        <v>0</v>
      </c>
      <c r="G9" s="521">
        <f>+G10+G11</f>
        <v>0</v>
      </c>
      <c r="H9" s="522">
        <f>+H10+H11</f>
        <v>0</v>
      </c>
      <c r="I9" s="523">
        <f t="shared" si="0"/>
        <v>0</v>
      </c>
    </row>
    <row r="10" spans="1:9" ht="20.100000000000001" customHeight="1" x14ac:dyDescent="0.2">
      <c r="A10" s="524" t="s">
        <v>9</v>
      </c>
      <c r="B10" s="525" t="s">
        <v>539</v>
      </c>
      <c r="C10" s="526"/>
      <c r="D10" s="527"/>
      <c r="E10" s="528"/>
      <c r="F10" s="529"/>
      <c r="G10" s="529"/>
      <c r="H10" s="530"/>
      <c r="I10" s="531">
        <f t="shared" si="0"/>
        <v>0</v>
      </c>
    </row>
    <row r="11" spans="1:9" ht="20.100000000000001" customHeight="1" thickBot="1" x14ac:dyDescent="0.25">
      <c r="A11" s="524" t="s">
        <v>10</v>
      </c>
      <c r="B11" s="525" t="s">
        <v>539</v>
      </c>
      <c r="C11" s="526"/>
      <c r="D11" s="527"/>
      <c r="E11" s="528"/>
      <c r="F11" s="529"/>
      <c r="G11" s="529"/>
      <c r="H11" s="530"/>
      <c r="I11" s="531">
        <f t="shared" si="0"/>
        <v>0</v>
      </c>
    </row>
    <row r="12" spans="1:9" ht="20.100000000000001" customHeight="1" thickBot="1" x14ac:dyDescent="0.25">
      <c r="A12" s="516" t="s">
        <v>11</v>
      </c>
      <c r="B12" s="517" t="s">
        <v>541</v>
      </c>
      <c r="C12" s="518"/>
      <c r="D12" s="519">
        <f>+D13</f>
        <v>40482785</v>
      </c>
      <c r="E12" s="520">
        <f>+E13+E14</f>
        <v>326648513</v>
      </c>
      <c r="F12" s="521">
        <f>+F13</f>
        <v>0</v>
      </c>
      <c r="G12" s="521">
        <f>+G13</f>
        <v>0</v>
      </c>
      <c r="H12" s="522">
        <f>+H13</f>
        <v>0</v>
      </c>
      <c r="I12" s="523">
        <f t="shared" si="0"/>
        <v>367131298</v>
      </c>
    </row>
    <row r="13" spans="1:9" ht="22.5" x14ac:dyDescent="0.2">
      <c r="A13" s="532" t="s">
        <v>12</v>
      </c>
      <c r="B13" s="533" t="s">
        <v>451</v>
      </c>
      <c r="C13" s="534" t="s">
        <v>542</v>
      </c>
      <c r="D13" s="527">
        <v>40482785</v>
      </c>
      <c r="E13" s="528">
        <v>13494262</v>
      </c>
      <c r="F13" s="529"/>
      <c r="G13" s="529"/>
      <c r="H13" s="530"/>
      <c r="I13" s="531">
        <f t="shared" si="0"/>
        <v>53977047</v>
      </c>
    </row>
    <row r="14" spans="1:9" ht="23.25" thickBot="1" x14ac:dyDescent="0.25">
      <c r="A14" s="28" t="s">
        <v>13</v>
      </c>
      <c r="B14" s="535" t="s">
        <v>452</v>
      </c>
      <c r="C14" s="536" t="s">
        <v>542</v>
      </c>
      <c r="D14" s="537"/>
      <c r="E14" s="538">
        <v>313154251</v>
      </c>
      <c r="F14" s="539"/>
      <c r="G14" s="539"/>
      <c r="H14" s="540"/>
      <c r="I14" s="531">
        <f t="shared" si="0"/>
        <v>313154251</v>
      </c>
    </row>
    <row r="15" spans="1:9" ht="20.100000000000001" customHeight="1" thickBot="1" x14ac:dyDescent="0.25">
      <c r="A15" s="524" t="s">
        <v>14</v>
      </c>
      <c r="B15" s="517" t="s">
        <v>543</v>
      </c>
      <c r="C15" s="518"/>
      <c r="D15" s="519">
        <f>+D16</f>
        <v>0</v>
      </c>
      <c r="E15" s="520">
        <f>+E16</f>
        <v>0</v>
      </c>
      <c r="F15" s="521">
        <f>+F16</f>
        <v>0</v>
      </c>
      <c r="G15" s="521">
        <f>+G16</f>
        <v>0</v>
      </c>
      <c r="H15" s="522">
        <f>+H16</f>
        <v>0</v>
      </c>
      <c r="I15" s="523">
        <f t="shared" si="0"/>
        <v>0</v>
      </c>
    </row>
    <row r="16" spans="1:9" ht="20.100000000000001" customHeight="1" thickBot="1" x14ac:dyDescent="0.25">
      <c r="A16" s="516" t="s">
        <v>15</v>
      </c>
      <c r="B16" s="541" t="s">
        <v>539</v>
      </c>
      <c r="C16" s="542"/>
      <c r="D16" s="543"/>
      <c r="E16" s="544"/>
      <c r="F16" s="545"/>
      <c r="G16" s="545"/>
      <c r="H16" s="546"/>
      <c r="I16" s="547">
        <f t="shared" si="0"/>
        <v>0</v>
      </c>
    </row>
    <row r="17" spans="1:9" ht="20.100000000000001" customHeight="1" thickBot="1" x14ac:dyDescent="0.25">
      <c r="A17" s="524" t="s">
        <v>16</v>
      </c>
      <c r="B17" s="548" t="s">
        <v>544</v>
      </c>
      <c r="C17" s="518"/>
      <c r="D17" s="519">
        <f>+D18</f>
        <v>0</v>
      </c>
      <c r="E17" s="520">
        <f>+E18</f>
        <v>0</v>
      </c>
      <c r="F17" s="521">
        <f>+F18</f>
        <v>0</v>
      </c>
      <c r="G17" s="521">
        <f>+G18</f>
        <v>0</v>
      </c>
      <c r="H17" s="522">
        <f>+H18</f>
        <v>0</v>
      </c>
      <c r="I17" s="523">
        <f t="shared" si="0"/>
        <v>0</v>
      </c>
    </row>
    <row r="18" spans="1:9" ht="20.100000000000001" customHeight="1" thickBot="1" x14ac:dyDescent="0.25">
      <c r="A18" s="516" t="s">
        <v>17</v>
      </c>
      <c r="B18" s="549" t="s">
        <v>539</v>
      </c>
      <c r="C18" s="550"/>
      <c r="D18" s="537"/>
      <c r="E18" s="538"/>
      <c r="F18" s="539"/>
      <c r="G18" s="539"/>
      <c r="H18" s="540"/>
      <c r="I18" s="551">
        <f t="shared" si="0"/>
        <v>0</v>
      </c>
    </row>
    <row r="19" spans="1:9" ht="20.100000000000001" customHeight="1" thickBot="1" x14ac:dyDescent="0.25">
      <c r="A19" s="774" t="s">
        <v>545</v>
      </c>
      <c r="B19" s="775"/>
      <c r="C19" s="552"/>
      <c r="D19" s="519">
        <f t="shared" ref="D19:I19" si="1">+D6+D9+D12+D15+D17</f>
        <v>40482785</v>
      </c>
      <c r="E19" s="520">
        <f t="shared" si="1"/>
        <v>326648513</v>
      </c>
      <c r="F19" s="521">
        <f t="shared" si="1"/>
        <v>0</v>
      </c>
      <c r="G19" s="521">
        <f t="shared" si="1"/>
        <v>0</v>
      </c>
      <c r="H19" s="522">
        <f t="shared" si="1"/>
        <v>0</v>
      </c>
      <c r="I19" s="523">
        <f t="shared" si="1"/>
        <v>367131298</v>
      </c>
    </row>
  </sheetData>
  <mergeCells count="8">
    <mergeCell ref="A19:B19"/>
    <mergeCell ref="A1:I1"/>
    <mergeCell ref="A3:A4"/>
    <mergeCell ref="B3:B4"/>
    <mergeCell ref="C3:C4"/>
    <mergeCell ref="D3:D4"/>
    <mergeCell ref="E3:H3"/>
    <mergeCell ref="I3:I4"/>
  </mergeCells>
  <pageMargins left="0.7" right="0.7" top="0.75" bottom="0.75" header="0.3" footer="0.3"/>
  <pageSetup paperSize="9" scale="66" orientation="portrait" r:id="rId1"/>
  <headerFooter>
    <oddHeader xml:space="preserve">&amp;R&amp;"Times New Roman CE,Félkövér" 12. számú melléklet a 6/2020. (II. 25.) önkormányzati rendelethez  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view="pageLayout" zoomScaleNormal="100" zoomScaleSheetLayoutView="89" workbookViewId="0">
      <selection activeCell="G20" sqref="G20"/>
    </sheetView>
  </sheetViews>
  <sheetFormatPr defaultRowHeight="12.75" x14ac:dyDescent="0.2"/>
  <cols>
    <col min="1" max="1" width="5.83203125" style="553" customWidth="1"/>
    <col min="2" max="2" width="54.83203125" style="1" customWidth="1"/>
    <col min="3" max="4" width="17.6640625" style="1" customWidth="1"/>
    <col min="5" max="16384" width="9.33203125" style="1"/>
  </cols>
  <sheetData>
    <row r="1" spans="1:4" ht="58.5" customHeight="1" x14ac:dyDescent="0.25">
      <c r="B1" s="784" t="s">
        <v>546</v>
      </c>
      <c r="C1" s="784"/>
      <c r="D1" s="784"/>
    </row>
    <row r="2" spans="1:4" s="556" customFormat="1" ht="16.5" thickBot="1" x14ac:dyDescent="0.3">
      <c r="A2" s="555"/>
      <c r="B2" s="554"/>
      <c r="D2" s="557" t="str">
        <f>'[2]12. sz. mell'!I2</f>
        <v>Forintban</v>
      </c>
    </row>
    <row r="3" spans="1:4" s="457" customFormat="1" ht="48" customHeight="1" thickBot="1" x14ac:dyDescent="0.25">
      <c r="A3" s="558" t="s">
        <v>485</v>
      </c>
      <c r="B3" s="455" t="s">
        <v>4</v>
      </c>
      <c r="C3" s="455" t="s">
        <v>547</v>
      </c>
      <c r="D3" s="456" t="s">
        <v>548</v>
      </c>
    </row>
    <row r="4" spans="1:4" s="457" customFormat="1" ht="14.1" customHeight="1" thickBot="1" x14ac:dyDescent="0.25">
      <c r="A4" s="559" t="s">
        <v>350</v>
      </c>
      <c r="B4" s="58" t="s">
        <v>351</v>
      </c>
      <c r="C4" s="58" t="s">
        <v>352</v>
      </c>
      <c r="D4" s="560" t="s">
        <v>354</v>
      </c>
    </row>
    <row r="5" spans="1:4" ht="18" customHeight="1" x14ac:dyDescent="0.2">
      <c r="A5" s="561" t="s">
        <v>5</v>
      </c>
      <c r="B5" s="562" t="s">
        <v>549</v>
      </c>
      <c r="C5" s="563"/>
      <c r="D5" s="564"/>
    </row>
    <row r="6" spans="1:4" ht="18" customHeight="1" x14ac:dyDescent="0.2">
      <c r="A6" s="565" t="s">
        <v>6</v>
      </c>
      <c r="B6" s="566" t="s">
        <v>550</v>
      </c>
      <c r="C6" s="567"/>
      <c r="D6" s="568"/>
    </row>
    <row r="7" spans="1:4" ht="18" customHeight="1" x14ac:dyDescent="0.2">
      <c r="A7" s="565" t="s">
        <v>7</v>
      </c>
      <c r="B7" s="566" t="s">
        <v>551</v>
      </c>
      <c r="C7" s="567"/>
      <c r="D7" s="568"/>
    </row>
    <row r="8" spans="1:4" ht="18" customHeight="1" x14ac:dyDescent="0.2">
      <c r="A8" s="565" t="s">
        <v>8</v>
      </c>
      <c r="B8" s="566" t="s">
        <v>552</v>
      </c>
      <c r="C8" s="567"/>
      <c r="D8" s="568"/>
    </row>
    <row r="9" spans="1:4" ht="18" customHeight="1" x14ac:dyDescent="0.2">
      <c r="A9" s="565" t="s">
        <v>9</v>
      </c>
      <c r="B9" s="566" t="s">
        <v>553</v>
      </c>
      <c r="C9" s="567">
        <v>22147800</v>
      </c>
      <c r="D9" s="568">
        <v>13860000</v>
      </c>
    </row>
    <row r="10" spans="1:4" ht="18" customHeight="1" x14ac:dyDescent="0.2">
      <c r="A10" s="565" t="s">
        <v>10</v>
      </c>
      <c r="B10" s="566" t="s">
        <v>554</v>
      </c>
      <c r="C10" s="567"/>
      <c r="D10" s="568"/>
    </row>
    <row r="11" spans="1:4" ht="18" customHeight="1" x14ac:dyDescent="0.2">
      <c r="A11" s="565" t="s">
        <v>11</v>
      </c>
      <c r="B11" s="569" t="s">
        <v>555</v>
      </c>
      <c r="C11" s="567"/>
      <c r="D11" s="568"/>
    </row>
    <row r="12" spans="1:4" ht="18" customHeight="1" x14ac:dyDescent="0.2">
      <c r="A12" s="565" t="s">
        <v>13</v>
      </c>
      <c r="B12" s="569" t="s">
        <v>556</v>
      </c>
      <c r="C12" s="567">
        <v>22147800</v>
      </c>
      <c r="D12" s="568">
        <v>13860000</v>
      </c>
    </row>
    <row r="13" spans="1:4" ht="18" customHeight="1" x14ac:dyDescent="0.2">
      <c r="A13" s="565" t="s">
        <v>14</v>
      </c>
      <c r="B13" s="569" t="s">
        <v>557</v>
      </c>
      <c r="C13" s="567"/>
      <c r="D13" s="568"/>
    </row>
    <row r="14" spans="1:4" ht="18" customHeight="1" x14ac:dyDescent="0.2">
      <c r="A14" s="565" t="s">
        <v>15</v>
      </c>
      <c r="B14" s="569" t="s">
        <v>558</v>
      </c>
      <c r="C14" s="567"/>
      <c r="D14" s="568"/>
    </row>
    <row r="15" spans="1:4" ht="22.5" customHeight="1" x14ac:dyDescent="0.2">
      <c r="A15" s="565" t="s">
        <v>16</v>
      </c>
      <c r="B15" s="569" t="s">
        <v>559</v>
      </c>
      <c r="C15" s="567"/>
      <c r="D15" s="568"/>
    </row>
    <row r="16" spans="1:4" ht="18" customHeight="1" x14ac:dyDescent="0.2">
      <c r="A16" s="565" t="s">
        <v>17</v>
      </c>
      <c r="B16" s="566" t="s">
        <v>560</v>
      </c>
      <c r="C16" s="567">
        <v>18042950</v>
      </c>
      <c r="D16" s="568">
        <v>1195061</v>
      </c>
    </row>
    <row r="17" spans="1:4" ht="18" customHeight="1" x14ac:dyDescent="0.2">
      <c r="A17" s="565" t="s">
        <v>18</v>
      </c>
      <c r="B17" s="566" t="s">
        <v>561</v>
      </c>
      <c r="C17" s="567"/>
      <c r="D17" s="568"/>
    </row>
    <row r="18" spans="1:4" ht="18" customHeight="1" x14ac:dyDescent="0.2">
      <c r="A18" s="565" t="s">
        <v>19</v>
      </c>
      <c r="B18" s="566" t="s">
        <v>562</v>
      </c>
      <c r="C18" s="567"/>
      <c r="D18" s="568"/>
    </row>
    <row r="19" spans="1:4" ht="18" customHeight="1" x14ac:dyDescent="0.2">
      <c r="A19" s="565" t="s">
        <v>20</v>
      </c>
      <c r="B19" s="566" t="s">
        <v>563</v>
      </c>
      <c r="C19" s="567"/>
      <c r="D19" s="568"/>
    </row>
    <row r="20" spans="1:4" ht="18" customHeight="1" x14ac:dyDescent="0.2">
      <c r="A20" s="565" t="s">
        <v>21</v>
      </c>
      <c r="B20" s="566" t="s">
        <v>564</v>
      </c>
      <c r="C20" s="567"/>
      <c r="D20" s="568"/>
    </row>
    <row r="21" spans="1:4" ht="18" customHeight="1" x14ac:dyDescent="0.2">
      <c r="A21" s="565" t="s">
        <v>22</v>
      </c>
      <c r="B21" s="570"/>
      <c r="C21" s="37"/>
      <c r="D21" s="568"/>
    </row>
    <row r="22" spans="1:4" ht="18" customHeight="1" x14ac:dyDescent="0.2">
      <c r="A22" s="565" t="s">
        <v>23</v>
      </c>
      <c r="B22" s="571"/>
      <c r="C22" s="37"/>
      <c r="D22" s="568"/>
    </row>
    <row r="23" spans="1:4" ht="18" customHeight="1" x14ac:dyDescent="0.2">
      <c r="A23" s="565" t="s">
        <v>24</v>
      </c>
      <c r="B23" s="571"/>
      <c r="C23" s="37"/>
      <c r="D23" s="568"/>
    </row>
    <row r="24" spans="1:4" ht="18" customHeight="1" x14ac:dyDescent="0.2">
      <c r="A24" s="565" t="s">
        <v>25</v>
      </c>
      <c r="B24" s="571"/>
      <c r="C24" s="37"/>
      <c r="D24" s="568"/>
    </row>
    <row r="25" spans="1:4" ht="18" customHeight="1" x14ac:dyDescent="0.2">
      <c r="A25" s="565" t="s">
        <v>26</v>
      </c>
      <c r="B25" s="571"/>
      <c r="C25" s="37"/>
      <c r="D25" s="568"/>
    </row>
    <row r="26" spans="1:4" ht="18" customHeight="1" x14ac:dyDescent="0.2">
      <c r="A26" s="565" t="s">
        <v>27</v>
      </c>
      <c r="B26" s="571"/>
      <c r="C26" s="37"/>
      <c r="D26" s="568"/>
    </row>
    <row r="27" spans="1:4" ht="18" customHeight="1" x14ac:dyDescent="0.2">
      <c r="A27" s="565" t="s">
        <v>28</v>
      </c>
      <c r="B27" s="571"/>
      <c r="C27" s="37"/>
      <c r="D27" s="568"/>
    </row>
    <row r="28" spans="1:4" ht="18" customHeight="1" x14ac:dyDescent="0.2">
      <c r="A28" s="565" t="s">
        <v>29</v>
      </c>
      <c r="B28" s="571"/>
      <c r="C28" s="37"/>
      <c r="D28" s="568"/>
    </row>
    <row r="29" spans="1:4" ht="18" customHeight="1" thickBot="1" x14ac:dyDescent="0.25">
      <c r="A29" s="572" t="s">
        <v>30</v>
      </c>
      <c r="B29" s="573"/>
      <c r="C29" s="574"/>
      <c r="D29" s="575"/>
    </row>
    <row r="30" spans="1:4" ht="18" customHeight="1" thickBot="1" x14ac:dyDescent="0.25">
      <c r="A30" s="576" t="s">
        <v>31</v>
      </c>
      <c r="B30" s="577" t="s">
        <v>506</v>
      </c>
      <c r="C30" s="578">
        <f>+C5+C6+C7+C8+C9+C16+C17+C18+C19+C20+C21+C22+C23+C24+C25+C26+C27+C28+C29</f>
        <v>40190750</v>
      </c>
      <c r="D30" s="579">
        <f>+D5+D6+D7+D8+D9+D16+D17+D18+D19+D20+D21+D22+D23+D24+D25+D26+D27+D28+D29</f>
        <v>15055061</v>
      </c>
    </row>
  </sheetData>
  <mergeCells count="1">
    <mergeCell ref="B1:D1"/>
  </mergeCells>
  <pageMargins left="0.7" right="0.7" top="0.75" bottom="0.75" header="0.3" footer="0.3"/>
  <pageSetup paperSize="9" orientation="portrait" r:id="rId1"/>
  <headerFooter>
    <oddHeader>&amp;R&amp;"Times New Roman CE,Félkövér" 13. számú melléklet a 6/2020. (II. 25.)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view="pageLayout" topLeftCell="C1" zoomScaleNormal="100" zoomScaleSheetLayoutView="220" workbookViewId="0">
      <selection activeCell="G20" sqref="G20"/>
    </sheetView>
  </sheetViews>
  <sheetFormatPr defaultRowHeight="15.75" x14ac:dyDescent="0.25"/>
  <cols>
    <col min="1" max="1" width="4.83203125" style="581" customWidth="1"/>
    <col min="2" max="2" width="31.1640625" style="580" customWidth="1"/>
    <col min="3" max="4" width="9" style="580" customWidth="1"/>
    <col min="5" max="5" width="9.5" style="580" customWidth="1"/>
    <col min="6" max="6" width="8.83203125" style="580" customWidth="1"/>
    <col min="7" max="7" width="8.6640625" style="580" customWidth="1"/>
    <col min="8" max="8" width="8.83203125" style="580" customWidth="1"/>
    <col min="9" max="9" width="8.1640625" style="580" customWidth="1"/>
    <col min="10" max="14" width="9.5" style="580" customWidth="1"/>
    <col min="15" max="15" width="12.6640625" style="581" customWidth="1"/>
    <col min="16" max="16384" width="9.33203125" style="580"/>
  </cols>
  <sheetData>
    <row r="1" spans="1:15" ht="54.75" customHeight="1" x14ac:dyDescent="0.25">
      <c r="A1" s="785" t="str">
        <f>+CONCATENATE("Előirányzat-felhasználási terv",CHAR(10),LEFT([2]ÖSSZEFÜGGÉSEK!A5,4),". évre")</f>
        <v>Előirányzat-felhasználási terv
2020. évre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</row>
    <row r="2" spans="1:15" ht="16.5" thickBot="1" x14ac:dyDescent="0.3">
      <c r="O2" s="582" t="str">
        <f>'[2]13. sz. mell'!D2</f>
        <v>Forintban</v>
      </c>
    </row>
    <row r="3" spans="1:15" s="581" customFormat="1" ht="26.1" customHeight="1" thickBot="1" x14ac:dyDescent="0.3">
      <c r="A3" s="583" t="s">
        <v>485</v>
      </c>
      <c r="B3" s="584" t="s">
        <v>40</v>
      </c>
      <c r="C3" s="584" t="s">
        <v>565</v>
      </c>
      <c r="D3" s="584" t="s">
        <v>566</v>
      </c>
      <c r="E3" s="584" t="s">
        <v>567</v>
      </c>
      <c r="F3" s="584" t="s">
        <v>568</v>
      </c>
      <c r="G3" s="584" t="s">
        <v>569</v>
      </c>
      <c r="H3" s="584" t="s">
        <v>570</v>
      </c>
      <c r="I3" s="584" t="s">
        <v>571</v>
      </c>
      <c r="J3" s="584" t="s">
        <v>572</v>
      </c>
      <c r="K3" s="584" t="s">
        <v>573</v>
      </c>
      <c r="L3" s="584" t="s">
        <v>574</v>
      </c>
      <c r="M3" s="584" t="s">
        <v>575</v>
      </c>
      <c r="N3" s="584" t="s">
        <v>576</v>
      </c>
      <c r="O3" s="585" t="s">
        <v>506</v>
      </c>
    </row>
    <row r="4" spans="1:15" s="587" customFormat="1" ht="15" customHeight="1" thickBot="1" x14ac:dyDescent="0.25">
      <c r="A4" s="586" t="s">
        <v>5</v>
      </c>
      <c r="B4" s="787" t="s">
        <v>37</v>
      </c>
      <c r="C4" s="788"/>
      <c r="D4" s="788"/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9"/>
    </row>
    <row r="5" spans="1:15" s="587" customFormat="1" ht="22.5" x14ac:dyDescent="0.2">
      <c r="A5" s="588" t="s">
        <v>6</v>
      </c>
      <c r="B5" s="589" t="s">
        <v>259</v>
      </c>
      <c r="C5" s="590">
        <v>15465715</v>
      </c>
      <c r="D5" s="590">
        <v>15465715</v>
      </c>
      <c r="E5" s="590">
        <v>15465715</v>
      </c>
      <c r="F5" s="590">
        <v>15465715</v>
      </c>
      <c r="G5" s="590">
        <v>15465715</v>
      </c>
      <c r="H5" s="590">
        <v>15465715</v>
      </c>
      <c r="I5" s="590">
        <v>15465715</v>
      </c>
      <c r="J5" s="590">
        <v>15465715</v>
      </c>
      <c r="K5" s="590">
        <v>15465715</v>
      </c>
      <c r="L5" s="590">
        <v>15465715</v>
      </c>
      <c r="M5" s="590">
        <v>15465715</v>
      </c>
      <c r="N5" s="590">
        <v>15465717</v>
      </c>
      <c r="O5" s="591">
        <f t="shared" ref="O5:O26" si="0">SUM(C5:N5)</f>
        <v>185588582</v>
      </c>
    </row>
    <row r="6" spans="1:15" s="596" customFormat="1" ht="22.5" x14ac:dyDescent="0.2">
      <c r="A6" s="592" t="s">
        <v>7</v>
      </c>
      <c r="B6" s="593" t="s">
        <v>577</v>
      </c>
      <c r="C6" s="594">
        <v>4059000</v>
      </c>
      <c r="D6" s="594">
        <v>4059000</v>
      </c>
      <c r="E6" s="594">
        <v>32500000</v>
      </c>
      <c r="F6" s="594">
        <v>4058000</v>
      </c>
      <c r="G6" s="594">
        <v>4060000</v>
      </c>
      <c r="H6" s="594">
        <v>4070000</v>
      </c>
      <c r="I6" s="594">
        <v>4070000</v>
      </c>
      <c r="J6" s="594">
        <v>4060000</v>
      </c>
      <c r="K6" s="594">
        <v>4060000</v>
      </c>
      <c r="L6" s="594">
        <v>4060000</v>
      </c>
      <c r="M6" s="594">
        <v>4080000</v>
      </c>
      <c r="N6" s="594">
        <v>8063000</v>
      </c>
      <c r="O6" s="595">
        <f t="shared" si="0"/>
        <v>81199000</v>
      </c>
    </row>
    <row r="7" spans="1:15" s="596" customFormat="1" ht="22.5" x14ac:dyDescent="0.2">
      <c r="A7" s="592" t="s">
        <v>8</v>
      </c>
      <c r="B7" s="597" t="s">
        <v>578</v>
      </c>
      <c r="C7" s="598"/>
      <c r="D7" s="598"/>
      <c r="E7" s="598">
        <v>869000</v>
      </c>
      <c r="F7" s="598"/>
      <c r="G7" s="598">
        <v>1500000</v>
      </c>
      <c r="H7" s="598"/>
      <c r="I7" s="598"/>
      <c r="J7" s="598"/>
      <c r="K7" s="598"/>
      <c r="L7" s="598">
        <v>23925000</v>
      </c>
      <c r="M7" s="598"/>
      <c r="N7" s="598"/>
      <c r="O7" s="599">
        <f t="shared" si="0"/>
        <v>26294000</v>
      </c>
    </row>
    <row r="8" spans="1:15" s="596" customFormat="1" ht="14.1" customHeight="1" x14ac:dyDescent="0.2">
      <c r="A8" s="592" t="s">
        <v>9</v>
      </c>
      <c r="B8" s="600" t="s">
        <v>94</v>
      </c>
      <c r="C8" s="594">
        <v>1455000</v>
      </c>
      <c r="D8" s="594">
        <v>1455000</v>
      </c>
      <c r="E8" s="594">
        <v>30000000</v>
      </c>
      <c r="F8" s="594">
        <v>1590000</v>
      </c>
      <c r="G8" s="594">
        <v>1590000</v>
      </c>
      <c r="H8" s="594">
        <v>1590000</v>
      </c>
      <c r="I8" s="594">
        <v>1644000</v>
      </c>
      <c r="J8" s="594">
        <v>1644000</v>
      </c>
      <c r="K8" s="594">
        <v>30000000</v>
      </c>
      <c r="L8" s="594">
        <v>1644000</v>
      </c>
      <c r="M8" s="594">
        <v>1644000</v>
      </c>
      <c r="N8" s="594">
        <v>1644000</v>
      </c>
      <c r="O8" s="595">
        <f t="shared" si="0"/>
        <v>75900000</v>
      </c>
    </row>
    <row r="9" spans="1:15" s="596" customFormat="1" ht="14.1" customHeight="1" x14ac:dyDescent="0.2">
      <c r="A9" s="592" t="s">
        <v>10</v>
      </c>
      <c r="B9" s="600" t="s">
        <v>287</v>
      </c>
      <c r="C9" s="594">
        <v>2200000</v>
      </c>
      <c r="D9" s="594">
        <v>2200000</v>
      </c>
      <c r="E9" s="594">
        <v>2556000</v>
      </c>
      <c r="F9" s="594">
        <v>2917000</v>
      </c>
      <c r="G9" s="594">
        <v>2300000</v>
      </c>
      <c r="H9" s="594">
        <v>3500000</v>
      </c>
      <c r="I9" s="594">
        <v>3200000</v>
      </c>
      <c r="J9" s="594">
        <v>3500000</v>
      </c>
      <c r="K9" s="594">
        <v>3200000</v>
      </c>
      <c r="L9" s="594">
        <v>3700000</v>
      </c>
      <c r="M9" s="594">
        <v>2617000</v>
      </c>
      <c r="N9" s="594">
        <v>4652000</v>
      </c>
      <c r="O9" s="595">
        <f t="shared" si="0"/>
        <v>36542000</v>
      </c>
    </row>
    <row r="10" spans="1:15" s="596" customFormat="1" ht="14.1" customHeight="1" x14ac:dyDescent="0.2">
      <c r="A10" s="592" t="s">
        <v>11</v>
      </c>
      <c r="B10" s="600" t="s">
        <v>2</v>
      </c>
      <c r="C10" s="594"/>
      <c r="D10" s="594"/>
      <c r="E10" s="594"/>
      <c r="F10" s="594"/>
      <c r="G10" s="594"/>
      <c r="H10" s="594"/>
      <c r="I10" s="594"/>
      <c r="J10" s="594">
        <v>4000000</v>
      </c>
      <c r="K10" s="594"/>
      <c r="L10" s="594"/>
      <c r="M10" s="594"/>
      <c r="N10" s="594"/>
      <c r="O10" s="595">
        <f t="shared" si="0"/>
        <v>4000000</v>
      </c>
    </row>
    <row r="11" spans="1:15" s="596" customFormat="1" ht="14.1" customHeight="1" x14ac:dyDescent="0.2">
      <c r="A11" s="592" t="s">
        <v>12</v>
      </c>
      <c r="B11" s="600" t="s">
        <v>261</v>
      </c>
      <c r="C11" s="594"/>
      <c r="D11" s="594"/>
      <c r="E11" s="594"/>
      <c r="F11" s="594"/>
      <c r="G11" s="594"/>
      <c r="H11" s="594">
        <v>100000</v>
      </c>
      <c r="I11" s="594"/>
      <c r="J11" s="594"/>
      <c r="K11" s="594"/>
      <c r="L11" s="594"/>
      <c r="M11" s="594"/>
      <c r="N11" s="594"/>
      <c r="O11" s="595">
        <f t="shared" si="0"/>
        <v>100000</v>
      </c>
    </row>
    <row r="12" spans="1:15" s="596" customFormat="1" ht="22.5" x14ac:dyDescent="0.2">
      <c r="A12" s="592" t="s">
        <v>13</v>
      </c>
      <c r="B12" s="593" t="s">
        <v>579</v>
      </c>
      <c r="C12" s="594">
        <v>240000</v>
      </c>
      <c r="D12" s="594"/>
      <c r="E12" s="594"/>
      <c r="F12" s="594"/>
      <c r="G12" s="594"/>
      <c r="H12" s="594">
        <v>240000</v>
      </c>
      <c r="I12" s="594"/>
      <c r="J12" s="594"/>
      <c r="K12" s="594"/>
      <c r="L12" s="594">
        <v>320000</v>
      </c>
      <c r="M12" s="594"/>
      <c r="N12" s="594"/>
      <c r="O12" s="595">
        <f t="shared" si="0"/>
        <v>800000</v>
      </c>
    </row>
    <row r="13" spans="1:15" s="596" customFormat="1" ht="14.1" customHeight="1" thickBot="1" x14ac:dyDescent="0.25">
      <c r="A13" s="592" t="s">
        <v>14</v>
      </c>
      <c r="B13" s="600" t="s">
        <v>580</v>
      </c>
      <c r="C13" s="594">
        <v>269021313</v>
      </c>
      <c r="D13" s="594"/>
      <c r="E13" s="594"/>
      <c r="F13" s="594"/>
      <c r="G13" s="594"/>
      <c r="H13" s="594"/>
      <c r="I13" s="594"/>
      <c r="J13" s="594">
        <v>73000000</v>
      </c>
      <c r="K13" s="594"/>
      <c r="L13" s="594"/>
      <c r="M13" s="594"/>
      <c r="N13" s="594"/>
      <c r="O13" s="595">
        <f t="shared" si="0"/>
        <v>342021313</v>
      </c>
    </row>
    <row r="14" spans="1:15" s="587" customFormat="1" ht="15.95" customHeight="1" thickBot="1" x14ac:dyDescent="0.25">
      <c r="A14" s="586" t="s">
        <v>15</v>
      </c>
      <c r="B14" s="601" t="s">
        <v>581</v>
      </c>
      <c r="C14" s="602">
        <f t="shared" ref="C14:N14" si="1">SUM(C5:C13)</f>
        <v>292441028</v>
      </c>
      <c r="D14" s="602">
        <f t="shared" si="1"/>
        <v>23179715</v>
      </c>
      <c r="E14" s="602">
        <f t="shared" si="1"/>
        <v>81390715</v>
      </c>
      <c r="F14" s="602">
        <f t="shared" si="1"/>
        <v>24030715</v>
      </c>
      <c r="G14" s="602">
        <f t="shared" si="1"/>
        <v>24915715</v>
      </c>
      <c r="H14" s="602">
        <f t="shared" si="1"/>
        <v>24965715</v>
      </c>
      <c r="I14" s="602">
        <f t="shared" si="1"/>
        <v>24379715</v>
      </c>
      <c r="J14" s="602">
        <f t="shared" si="1"/>
        <v>101669715</v>
      </c>
      <c r="K14" s="602">
        <f t="shared" si="1"/>
        <v>52725715</v>
      </c>
      <c r="L14" s="602">
        <f t="shared" si="1"/>
        <v>49114715</v>
      </c>
      <c r="M14" s="602">
        <f t="shared" si="1"/>
        <v>23806715</v>
      </c>
      <c r="N14" s="602">
        <f t="shared" si="1"/>
        <v>29824717</v>
      </c>
      <c r="O14" s="603">
        <f>SUM(C14:N14)</f>
        <v>752444895</v>
      </c>
    </row>
    <row r="15" spans="1:15" s="587" customFormat="1" ht="15" customHeight="1" thickBot="1" x14ac:dyDescent="0.25">
      <c r="A15" s="586" t="s">
        <v>16</v>
      </c>
      <c r="B15" s="787" t="s">
        <v>38</v>
      </c>
      <c r="C15" s="788"/>
      <c r="D15" s="788"/>
      <c r="E15" s="788"/>
      <c r="F15" s="788"/>
      <c r="G15" s="788"/>
      <c r="H15" s="788"/>
      <c r="I15" s="788"/>
      <c r="J15" s="788"/>
      <c r="K15" s="788"/>
      <c r="L15" s="788"/>
      <c r="M15" s="788"/>
      <c r="N15" s="788"/>
      <c r="O15" s="789"/>
    </row>
    <row r="16" spans="1:15" s="596" customFormat="1" ht="14.1" customHeight="1" x14ac:dyDescent="0.2">
      <c r="A16" s="604" t="s">
        <v>17</v>
      </c>
      <c r="B16" s="605" t="s">
        <v>41</v>
      </c>
      <c r="C16" s="598">
        <v>12297000</v>
      </c>
      <c r="D16" s="598">
        <v>12297000</v>
      </c>
      <c r="E16" s="598">
        <v>12297000</v>
      </c>
      <c r="F16" s="598">
        <v>12297000</v>
      </c>
      <c r="G16" s="598">
        <v>12297000</v>
      </c>
      <c r="H16" s="598">
        <v>12297000</v>
      </c>
      <c r="I16" s="598">
        <v>12297000</v>
      </c>
      <c r="J16" s="598">
        <v>12297000</v>
      </c>
      <c r="K16" s="598">
        <v>12297000</v>
      </c>
      <c r="L16" s="598">
        <v>12297000</v>
      </c>
      <c r="M16" s="598">
        <v>12297000</v>
      </c>
      <c r="N16" s="598">
        <v>12286500</v>
      </c>
      <c r="O16" s="599">
        <f t="shared" si="0"/>
        <v>147553500</v>
      </c>
    </row>
    <row r="17" spans="1:15" s="596" customFormat="1" ht="27" customHeight="1" x14ac:dyDescent="0.2">
      <c r="A17" s="592" t="s">
        <v>18</v>
      </c>
      <c r="B17" s="593" t="s">
        <v>103</v>
      </c>
      <c r="C17" s="594">
        <v>2203000</v>
      </c>
      <c r="D17" s="594">
        <v>2203000</v>
      </c>
      <c r="E17" s="594">
        <v>2203000</v>
      </c>
      <c r="F17" s="594">
        <v>2203000</v>
      </c>
      <c r="G17" s="594">
        <v>2203000</v>
      </c>
      <c r="H17" s="594">
        <v>2203000</v>
      </c>
      <c r="I17" s="594">
        <v>2203000</v>
      </c>
      <c r="J17" s="594">
        <v>2203000</v>
      </c>
      <c r="K17" s="594">
        <v>2203000</v>
      </c>
      <c r="L17" s="594">
        <v>2203000</v>
      </c>
      <c r="M17" s="594">
        <v>2203000</v>
      </c>
      <c r="N17" s="594">
        <v>2212000</v>
      </c>
      <c r="O17" s="595">
        <f t="shared" si="0"/>
        <v>26445000</v>
      </c>
    </row>
    <row r="18" spans="1:15" s="596" customFormat="1" ht="14.1" customHeight="1" x14ac:dyDescent="0.2">
      <c r="A18" s="592" t="s">
        <v>19</v>
      </c>
      <c r="B18" s="600" t="s">
        <v>78</v>
      </c>
      <c r="C18" s="594">
        <v>11240000</v>
      </c>
      <c r="D18" s="594">
        <v>12340000</v>
      </c>
      <c r="E18" s="594">
        <v>13340000</v>
      </c>
      <c r="F18" s="594">
        <v>17340000</v>
      </c>
      <c r="G18" s="594">
        <v>10540000</v>
      </c>
      <c r="H18" s="594">
        <v>17340000</v>
      </c>
      <c r="I18" s="594">
        <v>12540000</v>
      </c>
      <c r="J18" s="594">
        <v>11640000</v>
      </c>
      <c r="K18" s="594">
        <v>12340000</v>
      </c>
      <c r="L18" s="594">
        <v>13727000</v>
      </c>
      <c r="M18" s="594">
        <v>11040000</v>
      </c>
      <c r="N18" s="594">
        <v>9455000</v>
      </c>
      <c r="O18" s="595">
        <f t="shared" si="0"/>
        <v>152882000</v>
      </c>
    </row>
    <row r="19" spans="1:15" s="596" customFormat="1" ht="14.1" customHeight="1" x14ac:dyDescent="0.2">
      <c r="A19" s="592" t="s">
        <v>20</v>
      </c>
      <c r="B19" s="600" t="s">
        <v>104</v>
      </c>
      <c r="C19" s="594">
        <v>200000</v>
      </c>
      <c r="D19" s="594">
        <v>200000</v>
      </c>
      <c r="E19" s="594">
        <v>500000</v>
      </c>
      <c r="F19" s="594">
        <v>400000</v>
      </c>
      <c r="G19" s="594">
        <v>500000</v>
      </c>
      <c r="H19" s="594">
        <v>600000</v>
      </c>
      <c r="I19" s="594">
        <v>400000</v>
      </c>
      <c r="J19" s="594">
        <v>400000</v>
      </c>
      <c r="K19" s="594">
        <v>500000</v>
      </c>
      <c r="L19" s="594">
        <v>500000</v>
      </c>
      <c r="M19" s="594">
        <v>500000</v>
      </c>
      <c r="N19" s="594">
        <v>690000</v>
      </c>
      <c r="O19" s="595">
        <f t="shared" si="0"/>
        <v>5390000</v>
      </c>
    </row>
    <row r="20" spans="1:15" s="596" customFormat="1" ht="14.1" customHeight="1" x14ac:dyDescent="0.2">
      <c r="A20" s="592" t="s">
        <v>21</v>
      </c>
      <c r="B20" s="600" t="s">
        <v>105</v>
      </c>
      <c r="C20" s="594">
        <v>10241000</v>
      </c>
      <c r="D20" s="594">
        <v>10241000</v>
      </c>
      <c r="E20" s="594">
        <v>10241000</v>
      </c>
      <c r="F20" s="594">
        <v>10241000</v>
      </c>
      <c r="G20" s="594">
        <v>10241000</v>
      </c>
      <c r="H20" s="594">
        <v>11261000</v>
      </c>
      <c r="I20" s="594">
        <v>11261000</v>
      </c>
      <c r="J20" s="594">
        <v>9200000</v>
      </c>
      <c r="K20" s="594">
        <v>10870000</v>
      </c>
      <c r="L20" s="594">
        <v>9800000</v>
      </c>
      <c r="M20" s="594">
        <v>9400000</v>
      </c>
      <c r="N20" s="594">
        <v>9902000</v>
      </c>
      <c r="O20" s="595">
        <f t="shared" si="0"/>
        <v>122899000</v>
      </c>
    </row>
    <row r="21" spans="1:15" s="596" customFormat="1" ht="14.1" customHeight="1" x14ac:dyDescent="0.2">
      <c r="A21" s="592" t="s">
        <v>22</v>
      </c>
      <c r="B21" s="600" t="s">
        <v>582</v>
      </c>
      <c r="C21" s="594">
        <v>1026852</v>
      </c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5">
        <f t="shared" si="0"/>
        <v>1026852</v>
      </c>
    </row>
    <row r="22" spans="1:15" s="596" customFormat="1" ht="14.1" customHeight="1" x14ac:dyDescent="0.2">
      <c r="A22" s="592" t="s">
        <v>23</v>
      </c>
      <c r="B22" s="600" t="s">
        <v>121</v>
      </c>
      <c r="C22" s="594">
        <v>3886000</v>
      </c>
      <c r="D22" s="594">
        <v>2100000</v>
      </c>
      <c r="E22" s="594">
        <v>11900000</v>
      </c>
      <c r="F22" s="594">
        <v>62620000</v>
      </c>
      <c r="G22" s="594">
        <v>3600000</v>
      </c>
      <c r="H22" s="594">
        <v>59020000</v>
      </c>
      <c r="I22" s="594">
        <v>1190000</v>
      </c>
      <c r="J22" s="594">
        <v>62620000</v>
      </c>
      <c r="K22" s="594">
        <v>3789000</v>
      </c>
      <c r="L22" s="594">
        <v>70000000</v>
      </c>
      <c r="M22" s="594">
        <v>1000000</v>
      </c>
      <c r="N22" s="594">
        <v>2000000</v>
      </c>
      <c r="O22" s="595">
        <f t="shared" si="0"/>
        <v>283725000</v>
      </c>
    </row>
    <row r="23" spans="1:15" s="596" customFormat="1" x14ac:dyDescent="0.2">
      <c r="A23" s="592" t="s">
        <v>24</v>
      </c>
      <c r="B23" s="593" t="s">
        <v>107</v>
      </c>
      <c r="C23" s="594"/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5">
        <f t="shared" si="0"/>
        <v>0</v>
      </c>
    </row>
    <row r="24" spans="1:15" s="596" customFormat="1" ht="14.1" customHeight="1" x14ac:dyDescent="0.2">
      <c r="A24" s="592" t="s">
        <v>25</v>
      </c>
      <c r="B24" s="600" t="s">
        <v>123</v>
      </c>
      <c r="C24" s="594"/>
      <c r="D24" s="594"/>
      <c r="E24" s="594"/>
      <c r="F24" s="594"/>
      <c r="G24" s="594"/>
      <c r="H24" s="594"/>
      <c r="I24" s="594"/>
      <c r="J24" s="594"/>
      <c r="K24" s="594">
        <v>1000000</v>
      </c>
      <c r="L24" s="594"/>
      <c r="M24" s="594"/>
      <c r="N24" s="594"/>
      <c r="O24" s="595">
        <f t="shared" si="0"/>
        <v>1000000</v>
      </c>
    </row>
    <row r="25" spans="1:15" s="596" customFormat="1" ht="14.1" customHeight="1" thickBot="1" x14ac:dyDescent="0.25">
      <c r="A25" s="592" t="s">
        <v>26</v>
      </c>
      <c r="B25" s="600" t="s">
        <v>583</v>
      </c>
      <c r="C25" s="594">
        <v>7423543</v>
      </c>
      <c r="D25" s="594"/>
      <c r="E25" s="594">
        <v>2050000</v>
      </c>
      <c r="F25" s="594"/>
      <c r="G25" s="594"/>
      <c r="H25" s="594"/>
      <c r="I25" s="594"/>
      <c r="J25" s="594"/>
      <c r="K25" s="594">
        <v>2050000</v>
      </c>
      <c r="L25" s="594"/>
      <c r="M25" s="594"/>
      <c r="N25" s="594"/>
      <c r="O25" s="595">
        <f t="shared" si="0"/>
        <v>11523543</v>
      </c>
    </row>
    <row r="26" spans="1:15" s="587" customFormat="1" ht="15.95" customHeight="1" thickBot="1" x14ac:dyDescent="0.25">
      <c r="A26" s="606" t="s">
        <v>27</v>
      </c>
      <c r="B26" s="601" t="s">
        <v>584</v>
      </c>
      <c r="C26" s="602">
        <f t="shared" ref="C26:N26" si="2">SUM(C16:C25)</f>
        <v>48517395</v>
      </c>
      <c r="D26" s="602">
        <f t="shared" si="2"/>
        <v>39381000</v>
      </c>
      <c r="E26" s="602">
        <f t="shared" si="2"/>
        <v>52531000</v>
      </c>
      <c r="F26" s="602">
        <f t="shared" si="2"/>
        <v>105101000</v>
      </c>
      <c r="G26" s="602">
        <f t="shared" si="2"/>
        <v>39381000</v>
      </c>
      <c r="H26" s="602">
        <f t="shared" si="2"/>
        <v>102721000</v>
      </c>
      <c r="I26" s="602">
        <f t="shared" si="2"/>
        <v>39891000</v>
      </c>
      <c r="J26" s="602">
        <f t="shared" si="2"/>
        <v>98360000</v>
      </c>
      <c r="K26" s="602">
        <f t="shared" si="2"/>
        <v>45049000</v>
      </c>
      <c r="L26" s="602">
        <f t="shared" si="2"/>
        <v>108527000</v>
      </c>
      <c r="M26" s="602">
        <f t="shared" si="2"/>
        <v>36440000</v>
      </c>
      <c r="N26" s="602">
        <f t="shared" si="2"/>
        <v>36545500</v>
      </c>
      <c r="O26" s="603">
        <f t="shared" si="0"/>
        <v>752444895</v>
      </c>
    </row>
    <row r="27" spans="1:15" x14ac:dyDescent="0.25">
      <c r="A27" s="607"/>
    </row>
    <row r="28" spans="1:15" x14ac:dyDescent="0.25">
      <c r="B28" s="608"/>
      <c r="C28" s="609"/>
      <c r="D28" s="609"/>
      <c r="O28" s="580"/>
    </row>
    <row r="29" spans="1:15" x14ac:dyDescent="0.25">
      <c r="O29" s="580"/>
    </row>
    <row r="30" spans="1:15" x14ac:dyDescent="0.25">
      <c r="O30" s="580"/>
    </row>
    <row r="31" spans="1:15" x14ac:dyDescent="0.25">
      <c r="O31" s="580"/>
    </row>
    <row r="32" spans="1:15" x14ac:dyDescent="0.25">
      <c r="O32" s="580"/>
    </row>
    <row r="33" spans="15:15" x14ac:dyDescent="0.25">
      <c r="O33" s="580"/>
    </row>
    <row r="34" spans="15:15" x14ac:dyDescent="0.25">
      <c r="O34" s="580"/>
    </row>
    <row r="35" spans="15:15" x14ac:dyDescent="0.25">
      <c r="O35" s="580"/>
    </row>
    <row r="36" spans="15:15" x14ac:dyDescent="0.25">
      <c r="O36" s="580"/>
    </row>
    <row r="37" spans="15:15" x14ac:dyDescent="0.25">
      <c r="O37" s="580"/>
    </row>
    <row r="38" spans="15:15" x14ac:dyDescent="0.25">
      <c r="O38" s="580"/>
    </row>
    <row r="39" spans="15:15" x14ac:dyDescent="0.25">
      <c r="O39" s="580"/>
    </row>
    <row r="40" spans="15:15" x14ac:dyDescent="0.25">
      <c r="O40" s="580"/>
    </row>
    <row r="41" spans="15:15" x14ac:dyDescent="0.25">
      <c r="O41" s="580"/>
    </row>
    <row r="42" spans="15:15" x14ac:dyDescent="0.25">
      <c r="O42" s="580"/>
    </row>
    <row r="43" spans="15:15" x14ac:dyDescent="0.25">
      <c r="O43" s="580"/>
    </row>
    <row r="44" spans="15:15" x14ac:dyDescent="0.25">
      <c r="O44" s="580"/>
    </row>
    <row r="45" spans="15:15" x14ac:dyDescent="0.25">
      <c r="O45" s="580"/>
    </row>
    <row r="46" spans="15:15" x14ac:dyDescent="0.25">
      <c r="O46" s="580"/>
    </row>
    <row r="47" spans="15:15" x14ac:dyDescent="0.25">
      <c r="O47" s="580"/>
    </row>
    <row r="48" spans="15:15" x14ac:dyDescent="0.25">
      <c r="O48" s="580"/>
    </row>
    <row r="49" spans="15:15" x14ac:dyDescent="0.25">
      <c r="O49" s="580"/>
    </row>
    <row r="50" spans="15:15" x14ac:dyDescent="0.25">
      <c r="O50" s="580"/>
    </row>
    <row r="51" spans="15:15" x14ac:dyDescent="0.25">
      <c r="O51" s="580"/>
    </row>
    <row r="52" spans="15:15" x14ac:dyDescent="0.25">
      <c r="O52" s="580"/>
    </row>
    <row r="53" spans="15:15" x14ac:dyDescent="0.25">
      <c r="O53" s="580"/>
    </row>
    <row r="54" spans="15:15" x14ac:dyDescent="0.25">
      <c r="O54" s="580"/>
    </row>
    <row r="55" spans="15:15" x14ac:dyDescent="0.25">
      <c r="O55" s="580"/>
    </row>
    <row r="56" spans="15:15" x14ac:dyDescent="0.25">
      <c r="O56" s="580"/>
    </row>
    <row r="57" spans="15:15" x14ac:dyDescent="0.25">
      <c r="O57" s="580"/>
    </row>
    <row r="58" spans="15:15" x14ac:dyDescent="0.25">
      <c r="O58" s="580"/>
    </row>
    <row r="59" spans="15:15" x14ac:dyDescent="0.25">
      <c r="O59" s="580"/>
    </row>
    <row r="60" spans="15:15" x14ac:dyDescent="0.25">
      <c r="O60" s="580"/>
    </row>
    <row r="61" spans="15:15" x14ac:dyDescent="0.25">
      <c r="O61" s="580"/>
    </row>
    <row r="62" spans="15:15" x14ac:dyDescent="0.25">
      <c r="O62" s="580"/>
    </row>
    <row r="63" spans="15:15" x14ac:dyDescent="0.25">
      <c r="O63" s="580"/>
    </row>
    <row r="64" spans="15:15" x14ac:dyDescent="0.25">
      <c r="O64" s="580"/>
    </row>
    <row r="65" spans="15:15" x14ac:dyDescent="0.25">
      <c r="O65" s="580"/>
    </row>
    <row r="66" spans="15:15" x14ac:dyDescent="0.25">
      <c r="O66" s="580"/>
    </row>
    <row r="67" spans="15:15" x14ac:dyDescent="0.25">
      <c r="O67" s="580"/>
    </row>
    <row r="68" spans="15:15" x14ac:dyDescent="0.25">
      <c r="O68" s="580"/>
    </row>
    <row r="69" spans="15:15" x14ac:dyDescent="0.25">
      <c r="O69" s="580"/>
    </row>
    <row r="70" spans="15:15" x14ac:dyDescent="0.25">
      <c r="O70" s="580"/>
    </row>
    <row r="71" spans="15:15" x14ac:dyDescent="0.25">
      <c r="O71" s="580"/>
    </row>
    <row r="72" spans="15:15" x14ac:dyDescent="0.25">
      <c r="O72" s="580"/>
    </row>
    <row r="73" spans="15:15" x14ac:dyDescent="0.25">
      <c r="O73" s="580"/>
    </row>
    <row r="74" spans="15:15" x14ac:dyDescent="0.25">
      <c r="O74" s="580"/>
    </row>
    <row r="75" spans="15:15" x14ac:dyDescent="0.25">
      <c r="O75" s="580"/>
    </row>
    <row r="76" spans="15:15" x14ac:dyDescent="0.25">
      <c r="O76" s="580"/>
    </row>
    <row r="77" spans="15:15" x14ac:dyDescent="0.25">
      <c r="O77" s="580"/>
    </row>
    <row r="78" spans="15:15" x14ac:dyDescent="0.25">
      <c r="O78" s="580"/>
    </row>
    <row r="79" spans="15:15" x14ac:dyDescent="0.25">
      <c r="O79" s="580"/>
    </row>
    <row r="80" spans="15:15" x14ac:dyDescent="0.25">
      <c r="O80" s="580"/>
    </row>
    <row r="81" spans="15:15" x14ac:dyDescent="0.25">
      <c r="O81" s="580"/>
    </row>
  </sheetData>
  <mergeCells count="3">
    <mergeCell ref="A1:O1"/>
    <mergeCell ref="B4:O4"/>
    <mergeCell ref="B15:O15"/>
  </mergeCells>
  <pageMargins left="0.7" right="0.7" top="0.75" bottom="0.75" header="0.3" footer="0.3"/>
  <pageSetup paperSize="9" scale="61" orientation="portrait" r:id="rId1"/>
  <headerFooter>
    <oddHeader>&amp;R&amp;"Times New Roman CE,Félkövér" 14. számú melléklet a 6/2020. (II. 25.)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view="pageLayout" zoomScaleNormal="100" zoomScaleSheetLayoutView="124" workbookViewId="0">
      <selection activeCell="G20" sqref="G20"/>
    </sheetView>
  </sheetViews>
  <sheetFormatPr defaultRowHeight="12.75" x14ac:dyDescent="0.2"/>
  <cols>
    <col min="1" max="1" width="88.6640625" style="444" customWidth="1"/>
    <col min="2" max="2" width="27.83203125" style="444" customWidth="1"/>
    <col min="3" max="16384" width="9.33203125" style="444"/>
  </cols>
  <sheetData>
    <row r="1" spans="1:2" ht="47.25" customHeight="1" x14ac:dyDescent="0.2">
      <c r="A1" s="790" t="str">
        <f>+CONCATENATE("A ",LEFT([2]ÖSSZEFÜGGÉSEK!A5,4),". évi általános működés és ágazati feladatok támogatásának alakulása jogcímenként")</f>
        <v>A 2020. évi általános működés és ágazati feladatok támogatásának alakulása jogcímenként</v>
      </c>
      <c r="B1" s="790"/>
    </row>
    <row r="2" spans="1:2" ht="22.5" customHeight="1" thickBot="1" x14ac:dyDescent="0.3">
      <c r="A2" s="610"/>
      <c r="B2" s="611" t="s">
        <v>445</v>
      </c>
    </row>
    <row r="3" spans="1:2" s="614" customFormat="1" ht="24" customHeight="1" thickBot="1" x14ac:dyDescent="0.25">
      <c r="A3" s="612" t="s">
        <v>585</v>
      </c>
      <c r="B3" s="613" t="str">
        <f>+CONCATENATE(LEFT([2]ÖSSZEFÜGGÉSEK!A5,4),". évi támogatás összesen")</f>
        <v>2020. évi támogatás összesen</v>
      </c>
    </row>
    <row r="4" spans="1:2" s="617" customFormat="1" ht="13.5" thickBot="1" x14ac:dyDescent="0.25">
      <c r="A4" s="615" t="s">
        <v>350</v>
      </c>
      <c r="B4" s="616" t="s">
        <v>351</v>
      </c>
    </row>
    <row r="5" spans="1:2" x14ac:dyDescent="0.2">
      <c r="A5" s="618" t="s">
        <v>586</v>
      </c>
      <c r="B5" s="619">
        <v>61529220</v>
      </c>
    </row>
    <row r="6" spans="1:2" ht="12.75" customHeight="1" x14ac:dyDescent="0.2">
      <c r="A6" s="618" t="s">
        <v>587</v>
      </c>
      <c r="B6" s="619">
        <v>142200</v>
      </c>
    </row>
    <row r="7" spans="1:2" x14ac:dyDescent="0.2">
      <c r="A7" s="618" t="s">
        <v>588</v>
      </c>
      <c r="B7" s="619">
        <v>46775050</v>
      </c>
    </row>
    <row r="8" spans="1:2" x14ac:dyDescent="0.2">
      <c r="A8" s="618" t="s">
        <v>589</v>
      </c>
      <c r="B8" s="619">
        <v>6983580</v>
      </c>
    </row>
    <row r="9" spans="1:2" x14ac:dyDescent="0.2">
      <c r="A9" s="618" t="s">
        <v>590</v>
      </c>
      <c r="B9" s="619">
        <v>2268000</v>
      </c>
    </row>
    <row r="10" spans="1:2" x14ac:dyDescent="0.2">
      <c r="A10" s="618" t="s">
        <v>591</v>
      </c>
      <c r="B10" s="619">
        <v>396700</v>
      </c>
    </row>
    <row r="11" spans="1:2" x14ac:dyDescent="0.2">
      <c r="A11" s="618" t="s">
        <v>592</v>
      </c>
      <c r="B11" s="619">
        <v>9254000</v>
      </c>
    </row>
    <row r="12" spans="1:2" x14ac:dyDescent="0.2">
      <c r="A12" s="618" t="s">
        <v>593</v>
      </c>
      <c r="B12" s="619">
        <v>7057600</v>
      </c>
    </row>
    <row r="13" spans="1:2" ht="12.75" customHeight="1" x14ac:dyDescent="0.2">
      <c r="A13" s="618" t="s">
        <v>594</v>
      </c>
      <c r="B13" s="619">
        <v>32372844</v>
      </c>
    </row>
    <row r="14" spans="1:2" x14ac:dyDescent="0.2">
      <c r="A14" s="618" t="s">
        <v>595</v>
      </c>
      <c r="B14" s="619">
        <v>251488</v>
      </c>
    </row>
    <row r="15" spans="1:2" x14ac:dyDescent="0.2">
      <c r="A15" s="618" t="s">
        <v>596</v>
      </c>
      <c r="B15" s="619">
        <v>16181000</v>
      </c>
    </row>
    <row r="16" spans="1:2" x14ac:dyDescent="0.2">
      <c r="A16" s="618" t="s">
        <v>597</v>
      </c>
      <c r="B16" s="619">
        <v>2376900</v>
      </c>
    </row>
    <row r="17" spans="1:2" x14ac:dyDescent="0.2">
      <c r="A17" s="618"/>
      <c r="B17" s="619"/>
    </row>
    <row r="18" spans="1:2" x14ac:dyDescent="0.2">
      <c r="A18" s="618"/>
      <c r="B18" s="619"/>
    </row>
    <row r="19" spans="1:2" x14ac:dyDescent="0.2">
      <c r="A19" s="618"/>
      <c r="B19" s="619"/>
    </row>
    <row r="20" spans="1:2" x14ac:dyDescent="0.2">
      <c r="A20" s="618"/>
      <c r="B20" s="619"/>
    </row>
    <row r="21" spans="1:2" x14ac:dyDescent="0.2">
      <c r="A21" s="618"/>
      <c r="B21" s="619"/>
    </row>
    <row r="22" spans="1:2" x14ac:dyDescent="0.2">
      <c r="A22" s="618"/>
      <c r="B22" s="619"/>
    </row>
    <row r="23" spans="1:2" x14ac:dyDescent="0.2">
      <c r="A23" s="618"/>
      <c r="B23" s="619"/>
    </row>
    <row r="24" spans="1:2" ht="13.5" thickBot="1" x14ac:dyDescent="0.25">
      <c r="A24" s="620"/>
      <c r="B24" s="619"/>
    </row>
    <row r="25" spans="1:2" s="623" customFormat="1" ht="19.5" customHeight="1" thickBot="1" x14ac:dyDescent="0.25">
      <c r="A25" s="621" t="s">
        <v>506</v>
      </c>
      <c r="B25" s="622">
        <f>SUM(B5:B24)</f>
        <v>185588582</v>
      </c>
    </row>
  </sheetData>
  <mergeCells count="1">
    <mergeCell ref="A1:B1"/>
  </mergeCells>
  <pageMargins left="0.7" right="0.7" top="0.75" bottom="0.75" header="0.3" footer="0.3"/>
  <pageSetup paperSize="9" scale="84" orientation="portrait" r:id="rId1"/>
  <headerFooter>
    <oddHeader xml:space="preserve">&amp;R 15. számú melléklet a 6/2020. (II. 25.) önkormányzati rendelethez
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Layout" zoomScaleNormal="100" zoomScaleSheetLayoutView="136" workbookViewId="0">
      <selection activeCell="G20" sqref="G20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57.75" customHeight="1" x14ac:dyDescent="0.25">
      <c r="A1" s="791" t="str">
        <f>+CONCATENATE("K I M U T A T Á S",CHAR(10),"a ",LEFT([2]ÖSSZEFÜGGÉSEK!A5,4),". évben céljelleggel juttatott támogatásokról")</f>
        <v>K I M U T A T Á S
a 2020. évben céljelleggel juttatott támogatásokról</v>
      </c>
      <c r="B1" s="791"/>
      <c r="C1" s="791"/>
      <c r="D1" s="791"/>
    </row>
    <row r="2" spans="1:4" ht="17.25" customHeight="1" x14ac:dyDescent="0.25">
      <c r="A2" s="624"/>
      <c r="B2" s="624"/>
      <c r="C2" s="624"/>
      <c r="D2" s="624"/>
    </row>
    <row r="3" spans="1:4" ht="14.25" thickBot="1" x14ac:dyDescent="0.3">
      <c r="A3" s="59"/>
      <c r="B3" s="59"/>
      <c r="C3" s="792" t="str">
        <f>'[2]14. sz. mell'!O2</f>
        <v>Forintban</v>
      </c>
      <c r="D3" s="792"/>
    </row>
    <row r="4" spans="1:4" ht="42.75" customHeight="1" thickBot="1" x14ac:dyDescent="0.25">
      <c r="A4" s="625" t="s">
        <v>47</v>
      </c>
      <c r="B4" s="626" t="s">
        <v>598</v>
      </c>
      <c r="C4" s="626" t="s">
        <v>599</v>
      </c>
      <c r="D4" s="627" t="s">
        <v>600</v>
      </c>
    </row>
    <row r="5" spans="1:4" ht="15.95" customHeight="1" x14ac:dyDescent="0.2">
      <c r="A5" s="628" t="s">
        <v>5</v>
      </c>
      <c r="B5" s="629" t="s">
        <v>601</v>
      </c>
      <c r="C5" s="629" t="s">
        <v>602</v>
      </c>
      <c r="D5" s="630">
        <v>200000</v>
      </c>
    </row>
    <row r="6" spans="1:4" ht="15.95" customHeight="1" x14ac:dyDescent="0.2">
      <c r="A6" s="631" t="s">
        <v>6</v>
      </c>
      <c r="B6" s="632"/>
      <c r="C6" s="632"/>
      <c r="D6" s="633"/>
    </row>
    <row r="7" spans="1:4" ht="15.95" customHeight="1" x14ac:dyDescent="0.2">
      <c r="A7" s="631" t="s">
        <v>7</v>
      </c>
      <c r="B7" s="632"/>
      <c r="C7" s="632"/>
      <c r="D7" s="633"/>
    </row>
    <row r="8" spans="1:4" ht="15.95" customHeight="1" x14ac:dyDescent="0.2">
      <c r="A8" s="631" t="s">
        <v>8</v>
      </c>
      <c r="B8" s="632"/>
      <c r="C8" s="632"/>
      <c r="D8" s="633"/>
    </row>
    <row r="9" spans="1:4" ht="15.95" customHeight="1" x14ac:dyDescent="0.2">
      <c r="A9" s="631" t="s">
        <v>9</v>
      </c>
      <c r="B9" s="632"/>
      <c r="C9" s="632"/>
      <c r="D9" s="633"/>
    </row>
    <row r="10" spans="1:4" ht="15.95" customHeight="1" x14ac:dyDescent="0.2">
      <c r="A10" s="631" t="s">
        <v>10</v>
      </c>
      <c r="B10" s="632"/>
      <c r="C10" s="632"/>
      <c r="D10" s="633"/>
    </row>
    <row r="11" spans="1:4" ht="15.95" customHeight="1" x14ac:dyDescent="0.2">
      <c r="A11" s="631" t="s">
        <v>11</v>
      </c>
      <c r="B11" s="632"/>
      <c r="C11" s="632"/>
      <c r="D11" s="633"/>
    </row>
    <row r="12" spans="1:4" ht="15.95" customHeight="1" x14ac:dyDescent="0.2">
      <c r="A12" s="631" t="s">
        <v>12</v>
      </c>
      <c r="B12" s="632"/>
      <c r="C12" s="632"/>
      <c r="D12" s="633"/>
    </row>
    <row r="13" spans="1:4" ht="15.95" customHeight="1" x14ac:dyDescent="0.2">
      <c r="A13" s="631" t="s">
        <v>13</v>
      </c>
      <c r="B13" s="632"/>
      <c r="C13" s="632"/>
      <c r="D13" s="633"/>
    </row>
    <row r="14" spans="1:4" ht="15.95" customHeight="1" x14ac:dyDescent="0.2">
      <c r="A14" s="631" t="s">
        <v>14</v>
      </c>
      <c r="B14" s="632"/>
      <c r="C14" s="632"/>
      <c r="D14" s="633"/>
    </row>
    <row r="15" spans="1:4" ht="15.95" customHeight="1" x14ac:dyDescent="0.2">
      <c r="A15" s="631" t="s">
        <v>15</v>
      </c>
      <c r="B15" s="632"/>
      <c r="C15" s="632"/>
      <c r="D15" s="633"/>
    </row>
    <row r="16" spans="1:4" ht="15.95" customHeight="1" x14ac:dyDescent="0.2">
      <c r="A16" s="631" t="s">
        <v>16</v>
      </c>
      <c r="B16" s="632"/>
      <c r="C16" s="632"/>
      <c r="D16" s="633"/>
    </row>
    <row r="17" spans="1:4" ht="15.95" customHeight="1" x14ac:dyDescent="0.2">
      <c r="A17" s="631" t="s">
        <v>17</v>
      </c>
      <c r="B17" s="632"/>
      <c r="C17" s="632"/>
      <c r="D17" s="633"/>
    </row>
    <row r="18" spans="1:4" ht="15.95" customHeight="1" x14ac:dyDescent="0.2">
      <c r="A18" s="631" t="s">
        <v>18</v>
      </c>
      <c r="B18" s="632"/>
      <c r="C18" s="632"/>
      <c r="D18" s="633"/>
    </row>
    <row r="19" spans="1:4" ht="15.95" customHeight="1" x14ac:dyDescent="0.2">
      <c r="A19" s="631" t="s">
        <v>19</v>
      </c>
      <c r="B19" s="632"/>
      <c r="C19" s="632"/>
      <c r="D19" s="633"/>
    </row>
    <row r="20" spans="1:4" ht="15.95" customHeight="1" x14ac:dyDescent="0.2">
      <c r="A20" s="631" t="s">
        <v>20</v>
      </c>
      <c r="B20" s="632"/>
      <c r="C20" s="632"/>
      <c r="D20" s="633"/>
    </row>
    <row r="21" spans="1:4" ht="15.95" customHeight="1" x14ac:dyDescent="0.2">
      <c r="A21" s="631" t="s">
        <v>21</v>
      </c>
      <c r="B21" s="632"/>
      <c r="C21" s="632"/>
      <c r="D21" s="633"/>
    </row>
    <row r="22" spans="1:4" ht="15.95" customHeight="1" x14ac:dyDescent="0.2">
      <c r="A22" s="631" t="s">
        <v>22</v>
      </c>
      <c r="B22" s="632"/>
      <c r="C22" s="632"/>
      <c r="D22" s="633"/>
    </row>
    <row r="23" spans="1:4" ht="15.95" customHeight="1" x14ac:dyDescent="0.2">
      <c r="A23" s="631" t="s">
        <v>23</v>
      </c>
      <c r="B23" s="632"/>
      <c r="C23" s="632"/>
      <c r="D23" s="633"/>
    </row>
    <row r="24" spans="1:4" ht="15.95" customHeight="1" x14ac:dyDescent="0.2">
      <c r="A24" s="631" t="s">
        <v>24</v>
      </c>
      <c r="B24" s="632"/>
      <c r="C24" s="632"/>
      <c r="D24" s="633"/>
    </row>
    <row r="25" spans="1:4" ht="15.95" customHeight="1" x14ac:dyDescent="0.2">
      <c r="A25" s="631" t="s">
        <v>25</v>
      </c>
      <c r="B25" s="632"/>
      <c r="C25" s="632"/>
      <c r="D25" s="633"/>
    </row>
    <row r="26" spans="1:4" ht="15.95" customHeight="1" x14ac:dyDescent="0.2">
      <c r="A26" s="631" t="s">
        <v>26</v>
      </c>
      <c r="B26" s="632"/>
      <c r="C26" s="632"/>
      <c r="D26" s="633"/>
    </row>
    <row r="27" spans="1:4" ht="15.95" customHeight="1" x14ac:dyDescent="0.2">
      <c r="A27" s="631" t="s">
        <v>27</v>
      </c>
      <c r="B27" s="632"/>
      <c r="C27" s="632"/>
      <c r="D27" s="633"/>
    </row>
    <row r="28" spans="1:4" ht="15.95" customHeight="1" x14ac:dyDescent="0.2">
      <c r="A28" s="631" t="s">
        <v>28</v>
      </c>
      <c r="B28" s="632"/>
      <c r="C28" s="632"/>
      <c r="D28" s="633"/>
    </row>
    <row r="29" spans="1:4" ht="15.95" customHeight="1" x14ac:dyDescent="0.2">
      <c r="A29" s="631" t="s">
        <v>29</v>
      </c>
      <c r="B29" s="632"/>
      <c r="C29" s="632"/>
      <c r="D29" s="633"/>
    </row>
    <row r="30" spans="1:4" ht="15.95" customHeight="1" x14ac:dyDescent="0.2">
      <c r="A30" s="631" t="s">
        <v>30</v>
      </c>
      <c r="B30" s="632"/>
      <c r="C30" s="632"/>
      <c r="D30" s="633"/>
    </row>
    <row r="31" spans="1:4" ht="15.95" customHeight="1" x14ac:dyDescent="0.2">
      <c r="A31" s="631" t="s">
        <v>31</v>
      </c>
      <c r="B31" s="632"/>
      <c r="C31" s="632"/>
      <c r="D31" s="633"/>
    </row>
    <row r="32" spans="1:4" ht="15.95" customHeight="1" x14ac:dyDescent="0.2">
      <c r="A32" s="631" t="s">
        <v>32</v>
      </c>
      <c r="B32" s="632"/>
      <c r="C32" s="632"/>
      <c r="D32" s="633"/>
    </row>
    <row r="33" spans="1:4" ht="15.95" customHeight="1" x14ac:dyDescent="0.2">
      <c r="A33" s="631" t="s">
        <v>603</v>
      </c>
      <c r="B33" s="632"/>
      <c r="C33" s="632"/>
      <c r="D33" s="633"/>
    </row>
    <row r="34" spans="1:4" ht="15.95" customHeight="1" x14ac:dyDescent="0.2">
      <c r="A34" s="631" t="s">
        <v>604</v>
      </c>
      <c r="B34" s="632"/>
      <c r="C34" s="632"/>
      <c r="D34" s="634"/>
    </row>
    <row r="35" spans="1:4" ht="15.95" customHeight="1" x14ac:dyDescent="0.2">
      <c r="A35" s="631" t="s">
        <v>605</v>
      </c>
      <c r="B35" s="632"/>
      <c r="C35" s="632"/>
      <c r="D35" s="634"/>
    </row>
    <row r="36" spans="1:4" ht="15.95" customHeight="1" x14ac:dyDescent="0.2">
      <c r="A36" s="631" t="s">
        <v>606</v>
      </c>
      <c r="B36" s="632"/>
      <c r="C36" s="632"/>
      <c r="D36" s="634"/>
    </row>
    <row r="37" spans="1:4" ht="15.95" customHeight="1" thickBot="1" x14ac:dyDescent="0.25">
      <c r="A37" s="635" t="s">
        <v>607</v>
      </c>
      <c r="B37" s="636"/>
      <c r="C37" s="636"/>
      <c r="D37" s="637"/>
    </row>
    <row r="38" spans="1:4" ht="15.95" customHeight="1" thickBot="1" x14ac:dyDescent="0.25">
      <c r="A38" s="793" t="s">
        <v>506</v>
      </c>
      <c r="B38" s="794"/>
      <c r="C38" s="638"/>
      <c r="D38" s="639">
        <f>SUM(D5:D37)</f>
        <v>200000</v>
      </c>
    </row>
  </sheetData>
  <mergeCells count="3">
    <mergeCell ref="A1:D1"/>
    <mergeCell ref="C3:D3"/>
    <mergeCell ref="A38:B38"/>
  </mergeCells>
  <conditionalFormatting sqref="D3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 16. számú melléklet a 6/2020. (II. 25.)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3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661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'9.mell.2.tábl.'!C8+'9.mell.6.tábl.'!C8</f>
        <v>61671420</v>
      </c>
      <c r="D7" s="127">
        <f>'9.mell.2.tábl.'!D8+'9.mell.6.tábl.'!D8</f>
        <v>10468408</v>
      </c>
      <c r="E7" s="127">
        <f>'9.mell.2.tábl.'!E8+'9.mell.6.tábl.'!E8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'9.mell.2.tábl.'!C9+'9.mell.6.tábl.'!C9</f>
        <v>56423330</v>
      </c>
      <c r="D8" s="127">
        <f>'9.mell.2.tábl.'!D9+'9.mell.6.tábl.'!D9</f>
        <v>4319850</v>
      </c>
      <c r="E8" s="127">
        <f>'9.mell.2.tábl.'!E9+'9.mell.6.tábl.'!E9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'9.mell.2.tábl.'!C10+'9.mell.6.tábl.'!C10</f>
        <v>65116932</v>
      </c>
      <c r="D9" s="127">
        <f>'9.mell.2.tábl.'!D10+'9.mell.6.tábl.'!D10</f>
        <v>-1569285</v>
      </c>
      <c r="E9" s="127">
        <f>'9.mell.2.tábl.'!E10+'9.mell.6.tábl.'!E10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'9.mell.2.tábl.'!C11+'9.mell.6.tábl.'!C11</f>
        <v>2376900</v>
      </c>
      <c r="D10" s="127">
        <f>'9.mell.2.tábl.'!D11+'9.mell.6.tábl.'!D11</f>
        <v>1110298</v>
      </c>
      <c r="E10" s="127">
        <f>'9.mell.2.tábl.'!E11+'9.mell.6.tábl.'!E11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'9.mell.2.tábl.'!C12+'9.mell.6.tábl.'!C12</f>
        <v>0</v>
      </c>
      <c r="D11" s="127">
        <f>'9.mell.2.tábl.'!D12+'9.mell.6.tábl.'!D12</f>
        <v>4036800</v>
      </c>
      <c r="E11" s="127">
        <f>'9.mell.2.tábl.'!E12+'9.mell.6.tábl.'!E12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'9.mell.2.tábl.'!C13+'9.mell.6.tábl.'!C13</f>
        <v>0</v>
      </c>
      <c r="D12" s="127">
        <f>'9.mell.2.tábl.'!D13+'9.mell.6.tábl.'!D13</f>
        <v>2341545</v>
      </c>
      <c r="E12" s="127">
        <f>'9.mell.2.tábl.'!E13+'9.mell.6.tábl.'!E13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'9.mell.2.tábl.'!C15+'9.mell.6.tábl.'!C15</f>
        <v>0</v>
      </c>
      <c r="D14" s="127">
        <f>'9.mell.2.tábl.'!D15+'9.mell.6.tábl.'!D15</f>
        <v>0</v>
      </c>
      <c r="E14" s="127">
        <f>'9.mell.2.tábl.'!E15+'9.mell.6.tábl.'!E15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'9.mell.2.tábl.'!C16+'9.mell.6.tábl.'!C16</f>
        <v>0</v>
      </c>
      <c r="D15" s="127">
        <f>'9.mell.2.tábl.'!D16+'9.mell.6.tábl.'!D16</f>
        <v>0</v>
      </c>
      <c r="E15" s="127">
        <f>'9.mell.2.tábl.'!E16+'9.mell.6.tábl.'!E16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'9.mell.2.tábl.'!C17+'9.mell.6.tábl.'!C17</f>
        <v>0</v>
      </c>
      <c r="D16" s="127">
        <f>'9.mell.2.tábl.'!D17+'9.mell.6.tábl.'!D17</f>
        <v>0</v>
      </c>
      <c r="E16" s="127">
        <f>'9.mell.2.tábl.'!E17+'9.mell.6.tábl.'!E17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'9.mell.2.tábl.'!C18+'9.mell.6.tábl.'!C18</f>
        <v>0</v>
      </c>
      <c r="D17" s="127">
        <f>'9.mell.2.tábl.'!D18+'9.mell.6.tábl.'!D18</f>
        <v>0</v>
      </c>
      <c r="E17" s="127">
        <f>'9.mell.2.tábl.'!E18+'9.mell.6.tábl.'!E18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'9.mell.2.tábl.'!C19+'9.mell.6.tábl.'!C19</f>
        <v>81199000</v>
      </c>
      <c r="D18" s="127">
        <f>'9.mell.2.tábl.'!D19+'9.mell.6.tábl.'!D19</f>
        <v>-2638700</v>
      </c>
      <c r="E18" s="127">
        <f>'9.mell.2.tábl.'!E19+'9.mell.6.tábl.'!E19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'9.mell.2.tábl.'!C20+'9.mell.6.tábl.'!C20</f>
        <v>32055000</v>
      </c>
      <c r="D19" s="127">
        <f>'9.mell.2.tábl.'!D20+'9.mell.6.tábl.'!D20</f>
        <v>0</v>
      </c>
      <c r="E19" s="127">
        <f>'9.mell.2.tábl.'!E20+'9.mell.6.tábl.'!E20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'9.mell.2.tábl.'!C22+'9.mell.6.tábl.'!C22</f>
        <v>0</v>
      </c>
      <c r="D21" s="127">
        <f>'9.mell.2.tábl.'!D22+'9.mell.6.tábl.'!D22</f>
        <v>29325000</v>
      </c>
      <c r="E21" s="127">
        <f>'9.mell.2.tábl.'!E22+'9.mell.6.tábl.'!E22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'9.mell.2.tábl.'!C23+'9.mell.6.tábl.'!C23</f>
        <v>0</v>
      </c>
      <c r="D22" s="127">
        <f>'9.mell.2.tábl.'!D23+'9.mell.6.tábl.'!D23</f>
        <v>0</v>
      </c>
      <c r="E22" s="127">
        <f>'9.mell.2.tábl.'!E23+'9.mell.6.tábl.'!E23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'9.mell.2.tábl.'!C24+'9.mell.6.tábl.'!C24</f>
        <v>0</v>
      </c>
      <c r="D23" s="127">
        <f>'9.mell.2.tábl.'!D24+'9.mell.6.tábl.'!D24</f>
        <v>0</v>
      </c>
      <c r="E23" s="127">
        <f>'9.mell.2.tábl.'!E24+'9.mell.6.tábl.'!E24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'9.mell.2.tábl.'!C25+'9.mell.6.tábl.'!C25</f>
        <v>0</v>
      </c>
      <c r="D24" s="127">
        <f>'9.mell.2.tábl.'!D25+'9.mell.6.tábl.'!D25</f>
        <v>0</v>
      </c>
      <c r="E24" s="127">
        <f>'9.mell.2.tábl.'!E25+'9.mell.6.tábl.'!E25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'9.mell.2.tábl.'!C26+'9.mell.6.tábl.'!C26</f>
        <v>26294000</v>
      </c>
      <c r="D25" s="127">
        <f>'9.mell.2.tábl.'!D26+'9.mell.6.tábl.'!D26</f>
        <v>20860000</v>
      </c>
      <c r="E25" s="127">
        <f>'9.mell.2.tábl.'!E26+'9.mell.6.tábl.'!E26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'9.mell.2.tábl.'!C27+'9.mell.6.tábl.'!C27</f>
        <v>24794000</v>
      </c>
      <c r="D26" s="127">
        <f>'9.mell.2.tábl.'!D27+'9.mell.6.tábl.'!D27</f>
        <v>10275999</v>
      </c>
      <c r="E26" s="127">
        <f>'9.mell.2.tábl.'!E27+'9.mell.6.tábl.'!E27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+C28+C30+C31+C32+C33+C34+C35+C29</f>
        <v>75900000</v>
      </c>
      <c r="D27" s="131">
        <f>+D28+D30+D31+D32+D33+D34+D35+D29</f>
        <v>-6500000</v>
      </c>
      <c r="E27" s="131">
        <f>+E28+E30+E31+E32+E33+E34+E35+E29</f>
        <v>0</v>
      </c>
      <c r="F27" s="131">
        <f>+F28+F30+F31+F32+F33+F34+F35+F29</f>
        <v>-6500000</v>
      </c>
      <c r="G27" s="266">
        <f>+G28+G30+G31+G32+G33+G34+G35+G29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'9.mell.2.tábl.'!C29+'9.mell.6.tábl.'!C29</f>
        <v>7500000</v>
      </c>
      <c r="D28" s="168">
        <f>'9.mell.2.tábl.'!D29+'9.mell.6.tábl.'!D29</f>
        <v>0</v>
      </c>
      <c r="E28" s="168">
        <f>'9.mell.2.tábl.'!E29+'9.mell.6.tábl.'!E29</f>
        <v>0</v>
      </c>
      <c r="F28" s="168">
        <f t="shared" si="1"/>
        <v>0</v>
      </c>
      <c r="G28" s="263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'9.mell.2.tábl.'!C30+'9.mell.6.tábl.'!C30</f>
        <v>1000000</v>
      </c>
      <c r="D29" s="168">
        <f>'9.mell.2.tábl.'!D30+'9.mell.6.tábl.'!D30</f>
        <v>0</v>
      </c>
      <c r="E29" s="168">
        <f>'9.mell.2.tábl.'!E30+'9.mell.6.tábl.'!E30</f>
        <v>0</v>
      </c>
      <c r="F29" s="168"/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'9.mell.2.tábl.'!C31+'9.mell.6.tábl.'!C31</f>
        <v>9000000</v>
      </c>
      <c r="D30" s="168">
        <f>'9.mell.2.tábl.'!D31+'9.mell.6.tábl.'!D31</f>
        <v>0</v>
      </c>
      <c r="E30" s="168">
        <f>'9.mell.2.tábl.'!E31+'9.mell.6.tábl.'!E31</f>
        <v>0</v>
      </c>
      <c r="F30" s="168">
        <f t="shared" si="1"/>
        <v>0</v>
      </c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'9.mell.2.tábl.'!C32+'9.mell.6.tábl.'!C32</f>
        <v>51000000</v>
      </c>
      <c r="D31" s="168">
        <f>'9.mell.2.tábl.'!D32+'9.mell.6.tábl.'!D32</f>
        <v>0</v>
      </c>
      <c r="E31" s="168">
        <f>'9.mell.2.tábl.'!E32+'9.mell.6.tábl.'!E32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'9.mell.2.tábl.'!C33+'9.mell.6.tábl.'!C33</f>
        <v>500000</v>
      </c>
      <c r="D32" s="168">
        <f>'9.mell.2.tábl.'!D33+'9.mell.6.tábl.'!D33</f>
        <v>0</v>
      </c>
      <c r="E32" s="168">
        <f>'9.mell.2.tábl.'!E33+'9.mell.6.tábl.'!E33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'9.mell.2.tábl.'!C34+'9.mell.6.tábl.'!C34</f>
        <v>6500000</v>
      </c>
      <c r="D33" s="168">
        <f>'9.mell.2.tábl.'!D34+'9.mell.6.tábl.'!D34</f>
        <v>-6500000</v>
      </c>
      <c r="E33" s="168">
        <f>'9.mell.2.tábl.'!E34+'9.mell.6.tábl.'!E34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'9.mell.2.tábl.'!C35+'9.mell.6.tábl.'!C35</f>
        <v>0</v>
      </c>
      <c r="D34" s="168">
        <f>'9.mell.2.tábl.'!D35+'9.mell.6.tábl.'!D35</f>
        <v>0</v>
      </c>
      <c r="E34" s="168">
        <f>'9.mell.2.tábl.'!E35+'9.mell.6.tábl.'!E35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'9.mell.2.tábl.'!C36+'9.mell.6.tábl.'!C36</f>
        <v>400000</v>
      </c>
      <c r="D35" s="168">
        <f>'9.mell.2.tábl.'!D36+'9.mell.6.tábl.'!D36</f>
        <v>0</v>
      </c>
      <c r="E35" s="168">
        <f>'9.mell.2.tábl.'!E36+'9.mell.6.tábl.'!E36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19480000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19480000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'9.mell.2.tábl.'!C38+'9.mell.6.tábl.'!C38</f>
        <v>0</v>
      </c>
      <c r="D37" s="127">
        <f>'9.mell.2.tábl.'!D38+'9.mell.6.tábl.'!D38</f>
        <v>0</v>
      </c>
      <c r="E37" s="127">
        <f>'9.mell.2.tábl.'!E38+'9.mell.6.tábl.'!E38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'9.mell.2.tábl.'!C39+'9.mell.6.tábl.'!C39</f>
        <v>4335000</v>
      </c>
      <c r="D38" s="127">
        <f>'9.mell.2.tábl.'!D39+'9.mell.6.tábl.'!D39</f>
        <v>0</v>
      </c>
      <c r="E38" s="127">
        <f>'9.mell.2.tábl.'!E39+'9.mell.6.tábl.'!E39</f>
        <v>0</v>
      </c>
      <c r="F38" s="168">
        <f t="shared" si="1"/>
        <v>0</v>
      </c>
      <c r="G38" s="167">
        <f t="shared" si="5"/>
        <v>4335000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'9.mell.2.tábl.'!C40+'9.mell.6.tábl.'!C40</f>
        <v>346000</v>
      </c>
      <c r="D39" s="127">
        <f>'9.mell.2.tábl.'!D40+'9.mell.6.tábl.'!D40</f>
        <v>0</v>
      </c>
      <c r="E39" s="127">
        <f>'9.mell.2.tábl.'!E40+'9.mell.6.tábl.'!E40</f>
        <v>0</v>
      </c>
      <c r="F39" s="168">
        <f t="shared" si="1"/>
        <v>0</v>
      </c>
      <c r="G39" s="167">
        <f t="shared" si="5"/>
        <v>346000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'9.mell.2.tábl.'!C41+'9.mell.6.tábl.'!C41</f>
        <v>10824000</v>
      </c>
      <c r="D40" s="127">
        <f>'9.mell.2.tábl.'!D41+'9.mell.6.tábl.'!D41</f>
        <v>0</v>
      </c>
      <c r="E40" s="127">
        <f>'9.mell.2.tábl.'!E41+'9.mell.6.tábl.'!E41</f>
        <v>0</v>
      </c>
      <c r="F40" s="168">
        <f t="shared" si="1"/>
        <v>0</v>
      </c>
      <c r="G40" s="167">
        <f t="shared" si="5"/>
        <v>10824000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'9.mell.2.tábl.'!C42+'9.mell.6.tábl.'!C42</f>
        <v>0</v>
      </c>
      <c r="D41" s="127">
        <f>'9.mell.2.tábl.'!D42+'9.mell.6.tábl.'!D42</f>
        <v>0</v>
      </c>
      <c r="E41" s="127">
        <f>'9.mell.2.tábl.'!E42+'9.mell.6.tábl.'!E42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'9.mell.2.tábl.'!C43+'9.mell.6.tábl.'!C43</f>
        <v>2888000</v>
      </c>
      <c r="D42" s="127">
        <f>'9.mell.2.tábl.'!D43+'9.mell.6.tábl.'!D43</f>
        <v>0</v>
      </c>
      <c r="E42" s="127">
        <f>'9.mell.2.tábl.'!E43+'9.mell.6.tábl.'!E43</f>
        <v>0</v>
      </c>
      <c r="F42" s="168">
        <f t="shared" si="1"/>
        <v>0</v>
      </c>
      <c r="G42" s="167">
        <f t="shared" si="5"/>
        <v>2888000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'9.mell.2.tábl.'!C44+'9.mell.6.tábl.'!C44</f>
        <v>0</v>
      </c>
      <c r="D43" s="127">
        <f>'9.mell.2.tábl.'!D44+'9.mell.6.tábl.'!D44</f>
        <v>0</v>
      </c>
      <c r="E43" s="127">
        <f>'9.mell.2.tábl.'!E44+'9.mell.6.tábl.'!E44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'9.mell.2.tábl.'!C45+'9.mell.6.tábl.'!C45</f>
        <v>6000</v>
      </c>
      <c r="D44" s="127">
        <f>'9.mell.2.tábl.'!D45+'9.mell.6.tábl.'!D45</f>
        <v>0</v>
      </c>
      <c r="E44" s="127">
        <f>'9.mell.2.tábl.'!E45+'9.mell.6.tábl.'!E45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'9.mell.2.tábl.'!C46+'9.mell.6.tábl.'!C46</f>
        <v>0</v>
      </c>
      <c r="D45" s="127">
        <f>'9.mell.2.tábl.'!D46+'9.mell.6.tábl.'!D46</f>
        <v>0</v>
      </c>
      <c r="E45" s="127">
        <f>'9.mell.2.tábl.'!E46+'9.mell.6.tábl.'!E46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'9.mell.2.tábl.'!C47+'9.mell.6.tábl.'!C47</f>
        <v>0</v>
      </c>
      <c r="D46" s="127">
        <f>'9.mell.2.tábl.'!D47+'9.mell.6.tábl.'!D47</f>
        <v>0</v>
      </c>
      <c r="E46" s="127">
        <f>'9.mell.2.tábl.'!E47+'9.mell.6.tábl.'!E47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'9.mell.2.tábl.'!C48+'9.mell.6.tábl.'!C48</f>
        <v>1081000</v>
      </c>
      <c r="D47" s="127">
        <f>'9.mell.2.tábl.'!D48+'9.mell.6.tábl.'!D48</f>
        <v>0</v>
      </c>
      <c r="E47" s="127">
        <f>'9.mell.2.tábl.'!E48+'9.mell.6.tábl.'!E48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'9.mell.2.tábl.'!C50+'9.mell.6.tábl.'!C50</f>
        <v>0</v>
      </c>
      <c r="D49" s="169">
        <f>'9.mell.2.tábl.'!D50+'9.mell.6.tábl.'!D50</f>
        <v>0</v>
      </c>
      <c r="E49" s="169">
        <f>'9.mell.2.tábl.'!E50+'9.mell.6.tábl.'!E50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'9.mell.2.tábl.'!C51+'9.mell.6.tábl.'!C51</f>
        <v>4000000</v>
      </c>
      <c r="D50" s="169">
        <f>'9.mell.2.tábl.'!D51+'9.mell.6.tábl.'!D51</f>
        <v>0</v>
      </c>
      <c r="E50" s="169">
        <f>'9.mell.2.tábl.'!E51+'9.mell.6.tábl.'!E51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'9.mell.2.tábl.'!C52+'9.mell.6.tábl.'!C52</f>
        <v>0</v>
      </c>
      <c r="D51" s="169">
        <f>'9.mell.2.tábl.'!D52+'9.mell.6.tábl.'!D52</f>
        <v>0</v>
      </c>
      <c r="E51" s="169">
        <f>'9.mell.2.tábl.'!E52+'9.mell.6.tábl.'!E52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'9.mell.2.tábl.'!C53+'9.mell.6.tábl.'!C53</f>
        <v>0</v>
      </c>
      <c r="D52" s="169">
        <f>'9.mell.2.tábl.'!D53+'9.mell.6.tábl.'!D53</f>
        <v>0</v>
      </c>
      <c r="E52" s="169">
        <f>'9.mell.2.tábl.'!E53+'9.mell.6.tábl.'!E53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'9.mell.2.tábl.'!C54+'9.mell.6.tábl.'!C54</f>
        <v>0</v>
      </c>
      <c r="D53" s="169">
        <f>'9.mell.2.tábl.'!D54+'9.mell.6.tábl.'!D54</f>
        <v>0</v>
      </c>
      <c r="E53" s="169">
        <f>'9.mell.2.tábl.'!E54+'9.mell.6.tábl.'!E54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'9.mell.2.tábl.'!C56+'9.mell.6.tábl.'!C56</f>
        <v>0</v>
      </c>
      <c r="D55" s="127">
        <f>'9.mell.2.tábl.'!D56+'9.mell.6.tábl.'!D56</f>
        <v>0</v>
      </c>
      <c r="E55" s="127">
        <f>'9.mell.2.tábl.'!E56+'9.mell.6.tábl.'!E56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'9.mell.2.tábl.'!C57+'9.mell.6.tábl.'!C57</f>
        <v>0</v>
      </c>
      <c r="D56" s="127">
        <f>'9.mell.2.tábl.'!D57+'9.mell.6.tábl.'!D57</f>
        <v>0</v>
      </c>
      <c r="E56" s="127">
        <f>'9.mell.2.tábl.'!E57+'9.mell.6.tábl.'!E57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'9.mell.2.tábl.'!C58+'9.mell.6.tábl.'!C58</f>
        <v>0</v>
      </c>
      <c r="D57" s="127">
        <f>'9.mell.2.tábl.'!D58+'9.mell.6.tábl.'!D58</f>
        <v>0</v>
      </c>
      <c r="E57" s="127">
        <f>'9.mell.2.tábl.'!E58+'9.mell.6.tábl.'!E58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'9.mell.2.tábl.'!C59+'9.mell.6.tábl.'!C59</f>
        <v>0</v>
      </c>
      <c r="D58" s="127">
        <f>'9.mell.2.tábl.'!D59+'9.mell.6.tábl.'!D59</f>
        <v>0</v>
      </c>
      <c r="E58" s="127">
        <f>'9.mell.2.tábl.'!E59+'9.mell.6.tábl.'!E59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'9.mell.2.tábl.'!C61+'9.mell.6.tábl.'!C61</f>
        <v>0</v>
      </c>
      <c r="D60" s="129">
        <f>'9.mell.2.tábl.'!D61+'9.mell.6.tábl.'!D61</f>
        <v>0</v>
      </c>
      <c r="E60" s="129">
        <f>'9.mell.2.tábl.'!E61+'9.mell.6.tábl.'!E61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'9.mell.2.tábl.'!C62+'9.mell.6.tábl.'!C62</f>
        <v>0</v>
      </c>
      <c r="D61" s="129">
        <f>'9.mell.2.tábl.'!D62+'9.mell.6.tábl.'!D62</f>
        <v>0</v>
      </c>
      <c r="E61" s="129">
        <f>'9.mell.2.tábl.'!E62+'9.mell.6.tábl.'!E62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'9.mell.2.tábl.'!C63+'9.mell.6.tábl.'!C63</f>
        <v>800000</v>
      </c>
      <c r="D62" s="129">
        <f>'9.mell.2.tábl.'!D63+'9.mell.6.tábl.'!D63</f>
        <v>0</v>
      </c>
      <c r="E62" s="129">
        <f>'9.mell.2.tábl.'!E63+'9.mell.6.tábl.'!E63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'9.mell.2.tábl.'!C64+'9.mell.6.tábl.'!C64</f>
        <v>0</v>
      </c>
      <c r="D63" s="129">
        <f>'9.mell.2.tábl.'!D64+'9.mell.6.tábl.'!D64</f>
        <v>0</v>
      </c>
      <c r="E63" s="129">
        <f>'9.mell.2.tábl.'!E64+'9.mell.6.tábl.'!E64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393261582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455015498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'9.mell.2.tábl.'!C67+'9.mell.6.tábl.'!C67</f>
        <v>73000000</v>
      </c>
      <c r="D66" s="129">
        <f>'9.mell.2.tábl.'!D67+'9.mell.6.tábl.'!D67</f>
        <v>0</v>
      </c>
      <c r="E66" s="129">
        <f>'9.mell.2.tábl.'!E67+'9.mell.6.tábl.'!E67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'9.mell.2.tábl.'!C68+'9.mell.6.tábl.'!C68</f>
        <v>0</v>
      </c>
      <c r="D67" s="129">
        <f>'9.mell.2.tábl.'!D68+'9.mell.6.tábl.'!D68</f>
        <v>0</v>
      </c>
      <c r="E67" s="129">
        <f>'9.mell.2.tábl.'!E68+'9.mell.6.tábl.'!E68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'9.mell.2.tábl.'!C69+'9.mell.6.tábl.'!C69</f>
        <v>0</v>
      </c>
      <c r="D68" s="261">
        <f>'9.mell.2.tábl.'!D69+'9.mell.6.tábl.'!D69</f>
        <v>0</v>
      </c>
      <c r="E68" s="261">
        <f>'9.mell.2.tábl.'!E69+'9.mell.6.tábl.'!E69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'9.mell.2.tábl.'!C71+'9.mell.6.tábl.'!C71</f>
        <v>0</v>
      </c>
      <c r="D70" s="129">
        <f>'9.mell.2.tábl.'!D71+'9.mell.6.tábl.'!D71</f>
        <v>0</v>
      </c>
      <c r="E70" s="129">
        <f>'9.mell.2.tábl.'!E71+'9.mell.6.tábl.'!E71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'9.mell.2.tábl.'!C72+'9.mell.6.tábl.'!C72</f>
        <v>0</v>
      </c>
      <c r="D71" s="129">
        <f>'9.mell.2.tábl.'!D72+'9.mell.6.tábl.'!D72</f>
        <v>0</v>
      </c>
      <c r="E71" s="129">
        <f>'9.mell.2.tábl.'!E72+'9.mell.6.tábl.'!E72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'9.mell.2.tábl.'!C73+'9.mell.6.tábl.'!C73</f>
        <v>0</v>
      </c>
      <c r="D72" s="129">
        <f>'9.mell.2.tábl.'!D73+'9.mell.6.tábl.'!D73</f>
        <v>0</v>
      </c>
      <c r="E72" s="129">
        <f>'9.mell.2.tábl.'!E73+'9.mell.6.tábl.'!E73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'9.mell.2.tábl.'!C74+'9.mell.6.tábl.'!C74</f>
        <v>0</v>
      </c>
      <c r="D73" s="129">
        <f>'9.mell.2.tábl.'!D74+'9.mell.6.tábl.'!D74</f>
        <v>0</v>
      </c>
      <c r="E73" s="129">
        <f>'9.mell.2.tábl.'!E74+'9.mell.6.tábl.'!E74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'9.mell.2.tábl.'!C76+'9.mell.6.tábl.'!C76</f>
        <v>269021313</v>
      </c>
      <c r="D75" s="129">
        <f>'9.mell.2.tábl.'!D76+'9.mell.6.tábl.'!D76</f>
        <v>19767819</v>
      </c>
      <c r="E75" s="129">
        <f>'9.mell.2.tábl.'!E76+'9.mell.6.tábl.'!E76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'9.mell.2.tábl.'!C77+'9.mell.6.tábl.'!C77</f>
        <v>0</v>
      </c>
      <c r="D76" s="129">
        <f>'9.mell.2.tábl.'!D77+'9.mell.6.tábl.'!D77</f>
        <v>0</v>
      </c>
      <c r="E76" s="129">
        <f>'9.mell.2.tábl.'!E77+'9.mell.6.tábl.'!E77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'9.mell.2.tábl.'!C79+'9.mell.6.tábl.'!C80</f>
        <v>0</v>
      </c>
      <c r="D78" s="129">
        <f>'9.mell.2.tábl.'!D79+'9.mell.6.tábl.'!D80</f>
        <v>7684358</v>
      </c>
      <c r="E78" s="129">
        <f>'9.mell.2.tábl.'!E79+'9.mell.6.tábl.'!E80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'9.mell.2.tábl.'!C80+'9.mell.6.tábl.'!C81</f>
        <v>0</v>
      </c>
      <c r="D79" s="129">
        <f>'9.mell.2.tábl.'!D80+'9.mell.6.tábl.'!D81</f>
        <v>0</v>
      </c>
      <c r="E79" s="129">
        <f>'9.mell.2.tábl.'!E80+'9.mell.6.tábl.'!E81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/>
      <c r="D80" s="129">
        <f>'9.mell.2.tábl.'!D81+'9.mell.6.tábl.'!D82</f>
        <v>0</v>
      </c>
      <c r="E80" s="129">
        <f>'9.mell.2.tábl.'!E81+'9.mell.6.tábl.'!E82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'9.mell.2.tábl.'!C83+'9.mell.6.tábl.'!C84</f>
        <v>0</v>
      </c>
      <c r="D82" s="129">
        <f>'9.mell.2.tábl.'!D83+'9.mell.6.tábl.'!D84</f>
        <v>0</v>
      </c>
      <c r="E82" s="129">
        <f>'9.mell.2.tábl.'!E83+'9.mell.6.tábl.'!E84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'9.mell.2.tábl.'!C84+'9.mell.6.tábl.'!C85</f>
        <v>0</v>
      </c>
      <c r="D83" s="129">
        <f>'9.mell.2.tábl.'!D84+'9.mell.6.tábl.'!D85</f>
        <v>0</v>
      </c>
      <c r="E83" s="129">
        <f>'9.mell.2.tábl.'!E84+'9.mell.6.tábl.'!E85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'9.mell.2.tábl.'!C85+'9.mell.6.tábl.'!C86</f>
        <v>0</v>
      </c>
      <c r="D84" s="129">
        <f>'9.mell.2.tábl.'!D85+'9.mell.6.tábl.'!D86</f>
        <v>0</v>
      </c>
      <c r="E84" s="129">
        <f>'9.mell.2.tábl.'!E85+'9.mell.6.tábl.'!E86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'9.mell.2.tábl.'!C86+'9.mell.6.tábl.'!C87</f>
        <v>0</v>
      </c>
      <c r="D85" s="129">
        <f>'9.mell.2.tábl.'!D86+'9.mell.6.tábl.'!D87</f>
        <v>0</v>
      </c>
      <c r="E85" s="129">
        <f>'9.mell.2.tábl.'!E86+'9.mell.6.tábl.'!E87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1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735282895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824488988</v>
      </c>
    </row>
    <row r="90" spans="1:7" ht="16.5" customHeight="1" x14ac:dyDescent="0.25">
      <c r="A90" s="716" t="s">
        <v>662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351" t="s">
        <v>300</v>
      </c>
      <c r="C95" s="354">
        <f>C96+C97+C98+C99+C100+C113</f>
        <v>450539352</v>
      </c>
      <c r="D95" s="125">
        <f>D96+D97+D98+D99+D100+D113</f>
        <v>80871823</v>
      </c>
      <c r="E95" s="262">
        <f>E96+E97+E98+E99+E100+E113</f>
        <v>-1000000</v>
      </c>
      <c r="F95" s="352">
        <f>F96+F97+F98+F99+F100+F113</f>
        <v>79871823</v>
      </c>
      <c r="G95" s="262">
        <f>G96+G97+G98+G99+G100+G113</f>
        <v>530411175</v>
      </c>
    </row>
    <row r="96" spans="1:7" ht="12" customHeight="1" x14ac:dyDescent="0.25">
      <c r="A96" s="12" t="s">
        <v>59</v>
      </c>
      <c r="B96" s="5" t="s">
        <v>34</v>
      </c>
      <c r="C96" s="353">
        <f>'9.mell.2.tábl.'!C93+'9.mell.6.tábl.'!C94</f>
        <v>146102500</v>
      </c>
      <c r="D96" s="353">
        <f>'9.mell.2.tábl.'!D93+'9.mell.6.tábl.'!D94</f>
        <v>3657000</v>
      </c>
      <c r="E96" s="353">
        <f>'9.mell.2.tábl.'!E93+'9.mell.6.tábl.'!E94</f>
        <v>-15000</v>
      </c>
      <c r="F96" s="289">
        <f t="shared" ref="F96:F115" si="8">D96+E96</f>
        <v>3642000</v>
      </c>
      <c r="G96" s="228">
        <f t="shared" ref="G96:G115" si="9">C96+F96</f>
        <v>149744500</v>
      </c>
    </row>
    <row r="97" spans="1:7" ht="12" customHeight="1" x14ac:dyDescent="0.25">
      <c r="A97" s="9" t="s">
        <v>60</v>
      </c>
      <c r="B97" s="3" t="s">
        <v>103</v>
      </c>
      <c r="C97" s="350">
        <f>'9.mell.2.tábl.'!C94+'9.mell.6.tábl.'!C95</f>
        <v>26103000</v>
      </c>
      <c r="D97" s="350">
        <f>'9.mell.2.tábl.'!D94+'9.mell.6.tábl.'!D95</f>
        <v>-884000</v>
      </c>
      <c r="E97" s="350">
        <f>'9.mell.2.tábl.'!E94+'9.mell.6.tábl.'!E95</f>
        <v>0</v>
      </c>
      <c r="F97" s="290">
        <f t="shared" si="8"/>
        <v>-884000</v>
      </c>
      <c r="G97" s="224">
        <f t="shared" si="9"/>
        <v>25219000</v>
      </c>
    </row>
    <row r="98" spans="1:7" ht="12" customHeight="1" x14ac:dyDescent="0.25">
      <c r="A98" s="9" t="s">
        <v>61</v>
      </c>
      <c r="B98" s="3" t="s">
        <v>78</v>
      </c>
      <c r="C98" s="350">
        <f>'9.mell.2.tábl.'!C95+'9.mell.6.tábl.'!C96</f>
        <v>150568000</v>
      </c>
      <c r="D98" s="350">
        <f>'9.mell.2.tábl.'!D95+'9.mell.6.tábl.'!D96</f>
        <v>7156115</v>
      </c>
      <c r="E98" s="350">
        <f>'9.mell.2.tábl.'!E95+'9.mell.6.tábl.'!E96</f>
        <v>81000</v>
      </c>
      <c r="F98" s="291">
        <f t="shared" si="8"/>
        <v>7237115</v>
      </c>
      <c r="G98" s="225">
        <f t="shared" si="9"/>
        <v>157805115</v>
      </c>
    </row>
    <row r="99" spans="1:7" ht="12" customHeight="1" x14ac:dyDescent="0.25">
      <c r="A99" s="9" t="s">
        <v>62</v>
      </c>
      <c r="B99" s="6" t="s">
        <v>104</v>
      </c>
      <c r="C99" s="350">
        <f>'9.mell.2.tábl.'!C96+'9.mell.6.tábl.'!C97</f>
        <v>5390000</v>
      </c>
      <c r="D99" s="350">
        <f>'9.mell.2.tábl.'!D96+'9.mell.6.tábl.'!D97</f>
        <v>-385200</v>
      </c>
      <c r="E99" s="350">
        <f>'9.mell.2.tábl.'!E96+'9.mell.6.tábl.'!E97</f>
        <v>0</v>
      </c>
      <c r="F99" s="291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'9.mell.2.tábl.'!C97+'9.mell.6.tábl.'!C98</f>
        <v>121349000</v>
      </c>
      <c r="D100" s="350">
        <f>'9.mell.2.tábl.'!D97+'9.mell.6.tábl.'!D98</f>
        <v>2902629</v>
      </c>
      <c r="E100" s="350">
        <f>'9.mell.2.tábl.'!E97+'9.mell.6.tábl.'!E98</f>
        <v>0</v>
      </c>
      <c r="F100" s="291">
        <f t="shared" si="8"/>
        <v>2902629</v>
      </c>
      <c r="G100" s="225">
        <f t="shared" si="9"/>
        <v>124251629</v>
      </c>
    </row>
    <row r="101" spans="1:7" ht="12" customHeight="1" x14ac:dyDescent="0.25">
      <c r="A101" s="9" t="s">
        <v>63</v>
      </c>
      <c r="B101" s="3" t="s">
        <v>305</v>
      </c>
      <c r="C101" s="350">
        <f>'9.mell.2.tábl.'!C98+'9.mell.6.tábl.'!C99</f>
        <v>705000</v>
      </c>
      <c r="D101" s="350">
        <f>'9.mell.2.tábl.'!D98+'9.mell.6.tábl.'!D99</f>
        <v>0</v>
      </c>
      <c r="E101" s="350">
        <f>'9.mell.2.tábl.'!E98+'9.mell.6.tábl.'!E99</f>
        <v>0</v>
      </c>
      <c r="F101" s="291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50" t="s">
        <v>304</v>
      </c>
      <c r="C102" s="350">
        <f>'9.mell.2.tábl.'!C99+'9.mell.6.tábl.'!C100</f>
        <v>0</v>
      </c>
      <c r="D102" s="350">
        <f>'9.mell.2.tábl.'!D99+'9.mell.6.tábl.'!D100</f>
        <v>0</v>
      </c>
      <c r="E102" s="350">
        <f>'9.mell.2.tábl.'!E99+'9.mell.6.tábl.'!E100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'9.mell.2.tábl.'!C100+'9.mell.6.tábl.'!C101</f>
        <v>0</v>
      </c>
      <c r="D103" s="350">
        <f>'9.mell.2.tábl.'!D100+'9.mell.6.tábl.'!D101</f>
        <v>0</v>
      </c>
      <c r="E103" s="350">
        <f>'9.mell.2.tábl.'!E100+'9.mell.6.tábl.'!E101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'9.mell.2.tábl.'!C101+'9.mell.6.tábl.'!C102</f>
        <v>0</v>
      </c>
      <c r="D104" s="350">
        <f>'9.mell.2.tábl.'!D101+'9.mell.6.tábl.'!D102</f>
        <v>0</v>
      </c>
      <c r="E104" s="350">
        <f>'9.mell.2.tábl.'!E101+'9.mell.6.tábl.'!E102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'9.mell.2.tábl.'!C102+'9.mell.6.tábl.'!C103</f>
        <v>0</v>
      </c>
      <c r="D105" s="350">
        <f>'9.mell.2.tábl.'!D102+'9.mell.6.tábl.'!D103</f>
        <v>0</v>
      </c>
      <c r="E105" s="350">
        <f>'9.mell.2.tábl.'!E102+'9.mell.6.tábl.'!E103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'9.mell.2.tábl.'!C103+'9.mell.6.tábl.'!C104</f>
        <v>0</v>
      </c>
      <c r="D106" s="350">
        <f>'9.mell.2.tábl.'!D103+'9.mell.6.tábl.'!D104</f>
        <v>0</v>
      </c>
      <c r="E106" s="350">
        <f>'9.mell.2.tábl.'!E103+'9.mell.6.tábl.'!E104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'9.mell.2.tábl.'!C104+'9.mell.6.tábl.'!C105</f>
        <v>120644000</v>
      </c>
      <c r="D107" s="350">
        <f>'9.mell.2.tábl.'!D104+'9.mell.6.tábl.'!D105</f>
        <v>313629</v>
      </c>
      <c r="E107" s="350">
        <f>'9.mell.2.tábl.'!E104+'9.mell.6.tábl.'!E105</f>
        <v>0</v>
      </c>
      <c r="F107" s="291">
        <f t="shared" si="8"/>
        <v>313629</v>
      </c>
      <c r="G107" s="225">
        <f t="shared" si="9"/>
        <v>120957629</v>
      </c>
    </row>
    <row r="108" spans="1:7" ht="12" customHeight="1" x14ac:dyDescent="0.25">
      <c r="A108" s="9" t="s">
        <v>106</v>
      </c>
      <c r="B108" s="48" t="s">
        <v>241</v>
      </c>
      <c r="C108" s="350">
        <f>'9.mell.2.tábl.'!C105+'9.mell.6.tábl.'!C106</f>
        <v>0</v>
      </c>
      <c r="D108" s="350">
        <f>'9.mell.2.tábl.'!D105+'9.mell.6.tábl.'!D106</f>
        <v>0</v>
      </c>
      <c r="E108" s="350">
        <f>'9.mell.2.tábl.'!E105+'9.mell.6.tábl.'!E106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'9.mell.2.tábl.'!C106+'9.mell.6.tábl.'!C107</f>
        <v>0</v>
      </c>
      <c r="D109" s="350">
        <f>'9.mell.2.tábl.'!D106+'9.mell.6.tábl.'!D107</f>
        <v>0</v>
      </c>
      <c r="E109" s="350">
        <f>'9.mell.2.tábl.'!E106+'9.mell.6.tábl.'!E107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'9.mell.2.tábl.'!C107+'9.mell.6.tábl.'!C108</f>
        <v>0</v>
      </c>
      <c r="D110" s="350">
        <f>'9.mell.2.tábl.'!D107+'9.mell.6.tábl.'!D108</f>
        <v>0</v>
      </c>
      <c r="E110" s="350">
        <f>'9.mell.2.tábl.'!E107+'9.mell.6.tábl.'!E108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'9.mell.2.tábl.'!C108+'9.mell.6.tábl.'!C109</f>
        <v>0</v>
      </c>
      <c r="D111" s="350">
        <f>'9.mell.2.tábl.'!D108+'9.mell.6.tábl.'!D109</f>
        <v>0</v>
      </c>
      <c r="E111" s="350">
        <f>'9.mell.2.tábl.'!E108+'9.mell.6.tábl.'!E109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'9.mell.2.tábl.'!C109+'9.mell.6.tábl.'!C110</f>
        <v>0</v>
      </c>
      <c r="D112" s="350">
        <f>'9.mell.2.tábl.'!D109+'9.mell.6.tábl.'!D110</f>
        <v>2589000</v>
      </c>
      <c r="E112" s="350">
        <f>'9.mell.2.tábl.'!E109+'9.mell.6.tábl.'!E110</f>
        <v>0</v>
      </c>
      <c r="F112" s="291">
        <f t="shared" si="8"/>
        <v>2589000</v>
      </c>
      <c r="G112" s="225">
        <f t="shared" si="9"/>
        <v>2589000</v>
      </c>
    </row>
    <row r="113" spans="1:7" ht="12" customHeight="1" x14ac:dyDescent="0.25">
      <c r="A113" s="9" t="s">
        <v>306</v>
      </c>
      <c r="B113" s="6" t="s">
        <v>35</v>
      </c>
      <c r="C113" s="350">
        <f>'9.mell.2.tábl.'!C110+'9.mell.6.tábl.'!C111</f>
        <v>1026852</v>
      </c>
      <c r="D113" s="350">
        <f>'9.mell.2.tábl.'!D110+'9.mell.6.tábl.'!D111</f>
        <v>68425279</v>
      </c>
      <c r="E113" s="350">
        <f>'9.mell.2.tábl.'!E110+'9.mell.6.tábl.'!E111</f>
        <v>-1066000</v>
      </c>
      <c r="F113" s="290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" t="s">
        <v>309</v>
      </c>
      <c r="C114" s="350">
        <f>'9.mell.2.tábl.'!C111+'9.mell.6.tábl.'!C112</f>
        <v>200000</v>
      </c>
      <c r="D114" s="350">
        <f>'9.mell.2.tábl.'!D111+'9.mell.6.tábl.'!D112</f>
        <v>39383279</v>
      </c>
      <c r="E114" s="350">
        <f>'9.mell.2.tábl.'!E111+'9.mell.6.tábl.'!E112</f>
        <v>-1066000</v>
      </c>
      <c r="F114" s="290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177" t="s">
        <v>310</v>
      </c>
      <c r="C115" s="355">
        <f>'9.mell.2.tábl.'!C112+'9.mell.6.tábl.'!C113</f>
        <v>826852</v>
      </c>
      <c r="D115" s="355">
        <f>'9.mell.2.tábl.'!D112+'9.mell.6.tábl.'!D113</f>
        <v>29042000</v>
      </c>
      <c r="E115" s="355">
        <f>'9.mell.2.tábl.'!E112+'9.mell.6.tábl.'!E113</f>
        <v>0</v>
      </c>
      <c r="F115" s="292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7051270</v>
      </c>
      <c r="E116" s="186">
        <f>+E117+E119+E121</f>
        <v>0</v>
      </c>
      <c r="F116" s="186">
        <f>+F117+F119+F121</f>
        <v>7051270</v>
      </c>
      <c r="G116" s="181">
        <f>+G117+G119+G121</f>
        <v>291776270</v>
      </c>
    </row>
    <row r="117" spans="1:7" ht="12" customHeight="1" x14ac:dyDescent="0.25">
      <c r="A117" s="10" t="s">
        <v>65</v>
      </c>
      <c r="B117" s="3" t="s">
        <v>121</v>
      </c>
      <c r="C117" s="127">
        <f>'9.mell.2.tábl.'!C114+'9.mell.6.tábl.'!C115</f>
        <v>283725000</v>
      </c>
      <c r="D117" s="127">
        <f>'9.mell.2.tábl.'!D114+'9.mell.6.tábl.'!D115</f>
        <v>-6480730</v>
      </c>
      <c r="E117" s="127">
        <f>'9.mell.2.tábl.'!E114+'9.mell.6.tábl.'!E115</f>
        <v>0</v>
      </c>
      <c r="F117" s="168">
        <f t="shared" ref="F117:F129" si="10">D117+E117</f>
        <v>-6480730</v>
      </c>
      <c r="G117" s="167">
        <f t="shared" ref="G117:G129" si="11">C117+F117</f>
        <v>277244270</v>
      </c>
    </row>
    <row r="118" spans="1:7" ht="12" customHeight="1" x14ac:dyDescent="0.25">
      <c r="A118" s="10" t="s">
        <v>66</v>
      </c>
      <c r="B118" s="7" t="s">
        <v>250</v>
      </c>
      <c r="C118" s="127">
        <f>'9.mell.2.tábl.'!C115+'9.mell.6.tábl.'!C116</f>
        <v>265669000</v>
      </c>
      <c r="D118" s="127">
        <f>'9.mell.2.tábl.'!D115+'9.mell.6.tábl.'!D116</f>
        <v>1203000</v>
      </c>
      <c r="E118" s="127">
        <f>'9.mell.2.tábl.'!E115+'9.mell.6.tábl.'!E116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'9.mell.2.tábl.'!C116+'9.mell.6.tábl.'!C117</f>
        <v>0</v>
      </c>
      <c r="D119" s="127">
        <f>'9.mell.2.tábl.'!D116+'9.mell.6.tábl.'!D117</f>
        <v>13469000</v>
      </c>
      <c r="E119" s="127">
        <f>'9.mell.2.tábl.'!E116+'9.mell.6.tábl.'!E117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'9.mell.2.tábl.'!C117+'9.mell.6.tábl.'!C118</f>
        <v>0</v>
      </c>
      <c r="D120" s="127">
        <f>'9.mell.2.tábl.'!D117+'9.mell.6.tábl.'!D118</f>
        <v>0</v>
      </c>
      <c r="E120" s="127">
        <f>'9.mell.2.tábl.'!E117+'9.mell.6.tábl.'!E118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'9.mell.2.tábl.'!C118+'9.mell.6.tábl.'!C119</f>
        <v>1000000</v>
      </c>
      <c r="D121" s="127">
        <f>'9.mell.2.tábl.'!D118+'9.mell.6.tábl.'!D119</f>
        <v>63000</v>
      </c>
      <c r="E121" s="127">
        <f>'9.mell.2.tábl.'!E118+'9.mell.6.tábl.'!E119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'9.mell.2.tábl.'!C119+'9.mell.6.tábl.'!C120</f>
        <v>0</v>
      </c>
      <c r="D122" s="127">
        <f>'9.mell.2.tábl.'!D119+'9.mell.6.tábl.'!D120</f>
        <v>0</v>
      </c>
      <c r="E122" s="127">
        <f>'9.mell.2.tábl.'!E119+'9.mell.6.tábl.'!E120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'9.mell.2.tábl.'!C120+'9.mell.6.tábl.'!C121</f>
        <v>0</v>
      </c>
      <c r="D123" s="127">
        <f>'9.mell.2.tábl.'!D120+'9.mell.6.tábl.'!D121</f>
        <v>0</v>
      </c>
      <c r="E123" s="127">
        <f>'9.mell.2.tábl.'!E120+'9.mell.6.tábl.'!E121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'9.mell.2.tábl.'!C121+'9.mell.6.tábl.'!C122</f>
        <v>1000000</v>
      </c>
      <c r="D124" s="127">
        <f>'9.mell.2.tábl.'!D121+'9.mell.6.tábl.'!D122</f>
        <v>-1000000</v>
      </c>
      <c r="E124" s="127">
        <f>'9.mell.2.tábl.'!E121+'9.mell.6.tábl.'!E122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'9.mell.2.tábl.'!C122+'9.mell.6.tábl.'!C123</f>
        <v>0</v>
      </c>
      <c r="D125" s="127">
        <f>'9.mell.2.tábl.'!D122+'9.mell.6.tábl.'!D123</f>
        <v>1063000</v>
      </c>
      <c r="E125" s="127">
        <f>'9.mell.2.tábl.'!E122+'9.mell.6.tábl.'!E123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'9.mell.2.tábl.'!C123+'9.mell.6.tábl.'!C124</f>
        <v>0</v>
      </c>
      <c r="D126" s="127">
        <f>'9.mell.2.tábl.'!D123+'9.mell.6.tábl.'!D124</f>
        <v>0</v>
      </c>
      <c r="E126" s="127">
        <f>'9.mell.2.tábl.'!E123+'9.mell.6.tábl.'!E124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'9.mell.2.tábl.'!C124+'9.mell.6.tábl.'!C125</f>
        <v>0</v>
      </c>
      <c r="D127" s="127">
        <f>'9.mell.2.tábl.'!D124+'9.mell.6.tábl.'!D125</f>
        <v>0</v>
      </c>
      <c r="E127" s="127">
        <f>'9.mell.2.tábl.'!E124+'9.mell.6.tábl.'!E125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'9.mell.2.tábl.'!C125+'9.mell.6.tábl.'!C126</f>
        <v>0</v>
      </c>
      <c r="D128" s="127">
        <f>'9.mell.2.tábl.'!D125+'9.mell.6.tábl.'!D126</f>
        <v>0</v>
      </c>
      <c r="E128" s="127">
        <f>'9.mell.2.tábl.'!E125+'9.mell.6.tábl.'!E126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'9.mell.2.tábl.'!C126+'9.mell.6.tábl.'!C127</f>
        <v>0</v>
      </c>
      <c r="D129" s="127">
        <f>'9.mell.2.tábl.'!D126+'9.mell.6.tábl.'!D127</f>
        <v>0</v>
      </c>
      <c r="E129" s="127">
        <f>'9.mell.2.tábl.'!E126+'9.mell.6.tábl.'!E127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735264352</v>
      </c>
      <c r="D130" s="192">
        <f>+D95+D116</f>
        <v>87923093</v>
      </c>
      <c r="E130" s="125">
        <f>+E95+E116</f>
        <v>-1000000</v>
      </c>
      <c r="F130" s="125">
        <f>+F95+F116</f>
        <v>86923093</v>
      </c>
      <c r="G130" s="70">
        <f>+G95+G116</f>
        <v>822187445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'9.mell.2.tábl.'!C129+'9.mell.6.tábl.'!C129</f>
        <v>4100000</v>
      </c>
      <c r="D132" s="126">
        <f>'9.mell.2.tábl.'!D129+'9.mell.2.tábl.'!D129</f>
        <v>0</v>
      </c>
      <c r="E132" s="126">
        <f>'9.mell.2.tábl.'!E129+'9.mell.3.tábl.'!E130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'9.mell.2.tábl.'!C130+'9.mell.6.tábl.'!C130</f>
        <v>0</v>
      </c>
      <c r="D133" s="126">
        <f>'9.mell.2.tábl.'!D130+'9.mell.2.tábl.'!D130</f>
        <v>0</v>
      </c>
      <c r="E133" s="126">
        <f>'9.mell.2.tábl.'!E130+'9.mell.2.tábl.'!E130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'9.mell.2.tábl.'!C131+'9.mell.6.tábl.'!C131</f>
        <v>0</v>
      </c>
      <c r="D134" s="126">
        <f>'9.mell.2.tábl.'!D131+'9.mell.2.tábl.'!D131</f>
        <v>0</v>
      </c>
      <c r="E134" s="126">
        <f>'9.mell.2.tábl.'!E131+'9.mell.2.tábl.'!E131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'9.mell.2.tábl.'!C133+'9.mell.6.tábl.'!C134</f>
        <v>0</v>
      </c>
      <c r="D136" s="126">
        <f>'9.mell.2.tábl.'!D133+'9.mell.6.tábl.'!D134</f>
        <v>0</v>
      </c>
      <c r="E136" s="126">
        <f>'9.mell.2.tábl.'!E133+'9.mell.6.tábl.'!E134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'9.mell.2.tábl.'!C134+'9.mell.6.tábl.'!C135</f>
        <v>0</v>
      </c>
      <c r="D137" s="126">
        <f>'9.mell.2.tábl.'!D134+'9.mell.6.tábl.'!D135</f>
        <v>0</v>
      </c>
      <c r="E137" s="126">
        <f>'9.mell.2.tábl.'!E134+'9.mell.6.tábl.'!E135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'9.mell.2.tábl.'!C135+'9.mell.6.tábl.'!C136</f>
        <v>0</v>
      </c>
      <c r="D138" s="126">
        <f>'9.mell.2.tábl.'!D135+'9.mell.6.tábl.'!D136</f>
        <v>0</v>
      </c>
      <c r="E138" s="126">
        <f>'9.mell.2.tábl.'!E135+'9.mell.6.tábl.'!E136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'9.mell.2.tábl.'!C136+'9.mell.6.tábl.'!C137</f>
        <v>0</v>
      </c>
      <c r="D139" s="126">
        <f>'9.mell.2.tábl.'!D136+'9.mell.6.tábl.'!D137</f>
        <v>0</v>
      </c>
      <c r="E139" s="126">
        <f>'9.mell.2.tábl.'!E136+'9.mell.6.tábl.'!E137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'9.mell.2.tábl.'!C137+'9.mell.6.tábl.'!C138</f>
        <v>0</v>
      </c>
      <c r="D140" s="126">
        <f>'9.mell.2.tábl.'!D137+'9.mell.6.tábl.'!D138</f>
        <v>0</v>
      </c>
      <c r="E140" s="126">
        <f>'9.mell.2.tábl.'!E137+'9.mell.6.tábl.'!E138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'9.mell.2.tábl.'!C138+'9.mell.6.tábl.'!C139</f>
        <v>0</v>
      </c>
      <c r="D141" s="126">
        <f>'9.mell.2.tábl.'!D138+'9.mell.6.tábl.'!D139</f>
        <v>0</v>
      </c>
      <c r="E141" s="126">
        <f>'9.mell.2.tábl.'!E138+'9.mell.6.tábl.'!E139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'9.mell.2.tábl.'!C140+'9.mell.6.tábl.'!C141</f>
        <v>0</v>
      </c>
      <c r="D143" s="126">
        <f>'9.mell.2.tábl.'!D140+'9.mell.6.tábl.'!D141</f>
        <v>0</v>
      </c>
      <c r="E143" s="126">
        <f>'9.mell.2.tábl.'!E140+'9.mell.6.tábl.'!E141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'9.mell.2.tábl.'!C141+'9.mell.6.tábl.'!C142</f>
        <v>7423543</v>
      </c>
      <c r="D144" s="126">
        <f>'9.mell.2.tábl.'!D141+'9.mell.6.tábl.'!D142</f>
        <v>0</v>
      </c>
      <c r="E144" s="126">
        <f>'9.mell.2.tábl.'!E141+'9.mell.6.tábl.'!E142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'9.mell.2.tábl.'!C143</f>
        <v>0</v>
      </c>
      <c r="D145" s="126">
        <f>'9.mell.2.tábl.'!D143</f>
        <v>0</v>
      </c>
      <c r="E145" s="126">
        <f>'9.mell.2.tábl.'!E143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'9.mell.2.tábl.'!C144</f>
        <v>0</v>
      </c>
      <c r="D146" s="126">
        <f>'9.mell.2.tábl.'!D144</f>
        <v>0</v>
      </c>
      <c r="E146" s="126">
        <f>'9.mell.2.tábl.'!E144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'9.mell.2.tábl.'!C146+'9.mell.6.tábl.'!C147</f>
        <v>0</v>
      </c>
      <c r="D148" s="126">
        <f>'9.mell.2.tábl.'!D146+'9.mell.6.tábl.'!D147</f>
        <v>0</v>
      </c>
      <c r="E148" s="126">
        <f>'9.mell.2.tábl.'!E146+'9.mell.6.tábl.'!E147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'9.mell.2.tábl.'!C147+'9.mell.6.tábl.'!C148</f>
        <v>0</v>
      </c>
      <c r="D149" s="126">
        <f>'9.mell.2.tábl.'!D147+'9.mell.6.tábl.'!D148</f>
        <v>0</v>
      </c>
      <c r="E149" s="126">
        <f>'9.mell.2.tábl.'!E147+'9.mell.6.tábl.'!E148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'9.mell.2.tábl.'!C148+'9.mell.6.tábl.'!C149</f>
        <v>0</v>
      </c>
      <c r="D150" s="126">
        <f>'9.mell.2.tábl.'!D148+'9.mell.6.tábl.'!D149</f>
        <v>0</v>
      </c>
      <c r="E150" s="126">
        <f>'9.mell.2.tábl.'!E148+'9.mell.6.tábl.'!E149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'9.mell.2.tábl.'!C149+'9.mell.6.tábl.'!C150</f>
        <v>0</v>
      </c>
      <c r="D151" s="126">
        <f>'9.mell.2.tábl.'!D149+'9.mell.6.tábl.'!D150</f>
        <v>0</v>
      </c>
      <c r="E151" s="126">
        <f>'9.mell.2.tábl.'!E149+'9.mell.6.tábl.'!E150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'9.mell.2.tábl.'!C150+'9.mell.6.tábl.'!C151</f>
        <v>0</v>
      </c>
      <c r="D152" s="126">
        <f>'9.mell.2.tábl.'!D150+'9.mell.6.tábl.'!D151</f>
        <v>0</v>
      </c>
      <c r="E152" s="126">
        <f>'9.mell.2.tábl.'!E150+'9.mell.6.tábl.'!E151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746787895</v>
      </c>
      <c r="D156" s="199">
        <f>+D130+D155</f>
        <v>87923093</v>
      </c>
      <c r="E156" s="189">
        <f>+E130+E155</f>
        <v>-1000000</v>
      </c>
      <c r="F156" s="189">
        <f>+F130+F155</f>
        <v>86923093</v>
      </c>
      <c r="G156" s="183">
        <f>+G130+G155</f>
        <v>833710988</v>
      </c>
    </row>
    <row r="157" spans="1:11" ht="7.5" customHeight="1" x14ac:dyDescent="0.25"/>
    <row r="158" spans="1:11" x14ac:dyDescent="0.25">
      <c r="A158" s="727" t="s">
        <v>663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-342002770</v>
      </c>
      <c r="D160" s="125">
        <f>+D64-D130</f>
        <v>-26169177</v>
      </c>
      <c r="E160" s="125">
        <f>+E64-E130</f>
        <v>1000000</v>
      </c>
      <c r="F160" s="125">
        <f>+F64-F130</f>
        <v>-25169177</v>
      </c>
      <c r="G160" s="70">
        <f>+G64-G130</f>
        <v>-367171947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  <mergeCell ref="A158:G158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2. SÁGVÁR KÖZSÉG ÖNKORMÁNYZATA
2020. ÉVI KÖLTSÉGVETÉS KÖTELEZŐ FELADATAINAK  MÓDOSÍTOTT MÉRLEGE&amp;10
</oddHeader>
  </headerFooter>
  <rowBreaks count="2" manualBreakCount="2">
    <brk id="64" max="6" man="1"/>
    <brk id="89" max="6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view="pageLayout" zoomScaleNormal="100" zoomScaleSheetLayoutView="124" workbookViewId="0">
      <selection activeCell="G20" sqref="G20"/>
    </sheetView>
  </sheetViews>
  <sheetFormatPr defaultRowHeight="15.75" x14ac:dyDescent="0.25"/>
  <cols>
    <col min="1" max="1" width="9" style="113" customWidth="1"/>
    <col min="2" max="2" width="66.33203125" style="113" bestFit="1" customWidth="1"/>
    <col min="3" max="3" width="15.5" style="114" customWidth="1"/>
    <col min="4" max="5" width="15.5" style="113" customWidth="1"/>
    <col min="6" max="6" width="9" style="136" customWidth="1"/>
    <col min="7" max="16384" width="9.33203125" style="136"/>
  </cols>
  <sheetData>
    <row r="1" spans="1:5" ht="15.95" customHeight="1" x14ac:dyDescent="0.25">
      <c r="A1" s="716" t="s">
        <v>3</v>
      </c>
      <c r="B1" s="716"/>
      <c r="C1" s="716"/>
      <c r="D1" s="716"/>
      <c r="E1" s="716"/>
    </row>
    <row r="2" spans="1:5" ht="15.95" customHeight="1" thickBot="1" x14ac:dyDescent="0.3">
      <c r="A2" s="717" t="s">
        <v>82</v>
      </c>
      <c r="B2" s="717"/>
      <c r="D2" s="394"/>
      <c r="E2" s="75" t="str">
        <f>'[2]14. sz. mell'!O2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+CONCATENATE(LEFT([2]ÖSSZEFÜGGÉSEK!A5,4)+1,". évi")</f>
        <v>2021. évi</v>
      </c>
      <c r="D3" s="483" t="str">
        <f>+CONCATENATE(LEFT([2]ÖSSZEFÜGGÉSEK!A5,4)+2,". évi")</f>
        <v>2022. évi</v>
      </c>
      <c r="E3" s="484" t="str">
        <f>+CONCATENATE(LEFT([2]ÖSSZEFÜGGÉSEK!A5,4)+3,". évi")</f>
        <v>2023. évi</v>
      </c>
    </row>
    <row r="4" spans="1:5" s="137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138" customFormat="1" ht="12" customHeight="1" thickBot="1" x14ac:dyDescent="0.25">
      <c r="A5" s="15" t="s">
        <v>5</v>
      </c>
      <c r="B5" s="16" t="s">
        <v>608</v>
      </c>
      <c r="C5" s="172">
        <v>187000000</v>
      </c>
      <c r="D5" s="172">
        <v>188000000</v>
      </c>
      <c r="E5" s="498">
        <v>190000000</v>
      </c>
    </row>
    <row r="6" spans="1:5" s="138" customFormat="1" ht="12" customHeight="1" thickBot="1" x14ac:dyDescent="0.25">
      <c r="A6" s="15" t="s">
        <v>6</v>
      </c>
      <c r="B6" s="71" t="s">
        <v>260</v>
      </c>
      <c r="C6" s="172">
        <v>90000000</v>
      </c>
      <c r="D6" s="172">
        <v>92000000</v>
      </c>
      <c r="E6" s="498">
        <v>93000000</v>
      </c>
    </row>
    <row r="7" spans="1:5" s="138" customFormat="1" ht="12" customHeight="1" thickBot="1" x14ac:dyDescent="0.25">
      <c r="A7" s="15" t="s">
        <v>7</v>
      </c>
      <c r="B7" s="16" t="s">
        <v>268</v>
      </c>
      <c r="C7" s="172"/>
      <c r="D7" s="172"/>
      <c r="E7" s="498"/>
    </row>
    <row r="8" spans="1:5" s="138" customFormat="1" ht="12" customHeight="1" thickBot="1" x14ac:dyDescent="0.25">
      <c r="A8" s="15" t="s">
        <v>93</v>
      </c>
      <c r="B8" s="16" t="s">
        <v>609</v>
      </c>
      <c r="C8" s="131">
        <f>SUM(C9:C15)</f>
        <v>75900000</v>
      </c>
      <c r="D8" s="131">
        <f>SUM(D9:D15)</f>
        <v>76400000</v>
      </c>
      <c r="E8" s="166">
        <f>SUM(E9:E15)</f>
        <v>76350000</v>
      </c>
    </row>
    <row r="9" spans="1:5" s="138" customFormat="1" ht="12" customHeight="1" x14ac:dyDescent="0.2">
      <c r="A9" s="10" t="s">
        <v>154</v>
      </c>
      <c r="B9" s="139" t="s">
        <v>419</v>
      </c>
      <c r="C9" s="127">
        <v>7500000</v>
      </c>
      <c r="D9" s="127">
        <v>7500000</v>
      </c>
      <c r="E9" s="488">
        <v>7500000</v>
      </c>
    </row>
    <row r="10" spans="1:5" s="138" customFormat="1" ht="12" customHeight="1" x14ac:dyDescent="0.2">
      <c r="A10" s="9" t="s">
        <v>155</v>
      </c>
      <c r="B10" s="140" t="s">
        <v>446</v>
      </c>
      <c r="C10" s="126">
        <v>1000000</v>
      </c>
      <c r="D10" s="126">
        <v>1000000</v>
      </c>
      <c r="E10" s="501">
        <v>1000000</v>
      </c>
    </row>
    <row r="11" spans="1:5" s="138" customFormat="1" ht="12" customHeight="1" x14ac:dyDescent="0.2">
      <c r="A11" s="9" t="s">
        <v>156</v>
      </c>
      <c r="B11" s="140" t="s">
        <v>420</v>
      </c>
      <c r="C11" s="126">
        <v>51000000</v>
      </c>
      <c r="D11" s="126">
        <v>51000000</v>
      </c>
      <c r="E11" s="501">
        <v>51000000</v>
      </c>
    </row>
    <row r="12" spans="1:5" s="138" customFormat="1" ht="12" customHeight="1" x14ac:dyDescent="0.2">
      <c r="A12" s="9" t="s">
        <v>157</v>
      </c>
      <c r="B12" s="140" t="s">
        <v>610</v>
      </c>
      <c r="C12" s="126">
        <v>9000000</v>
      </c>
      <c r="D12" s="126">
        <v>9000000</v>
      </c>
      <c r="E12" s="501">
        <v>9000000</v>
      </c>
    </row>
    <row r="13" spans="1:5" s="138" customFormat="1" ht="12" customHeight="1" x14ac:dyDescent="0.2">
      <c r="A13" s="9" t="s">
        <v>422</v>
      </c>
      <c r="B13" s="140" t="s">
        <v>158</v>
      </c>
      <c r="C13" s="126">
        <v>6500000</v>
      </c>
      <c r="D13" s="126">
        <v>7000000</v>
      </c>
      <c r="E13" s="501">
        <v>7000000</v>
      </c>
    </row>
    <row r="14" spans="1:5" s="138" customFormat="1" ht="12" customHeight="1" x14ac:dyDescent="0.2">
      <c r="A14" s="9" t="s">
        <v>423</v>
      </c>
      <c r="B14" s="140" t="s">
        <v>159</v>
      </c>
      <c r="C14" s="126">
        <v>500000</v>
      </c>
      <c r="D14" s="126">
        <v>500000</v>
      </c>
      <c r="E14" s="501">
        <v>500000</v>
      </c>
    </row>
    <row r="15" spans="1:5" s="138" customFormat="1" ht="12" customHeight="1" thickBot="1" x14ac:dyDescent="0.25">
      <c r="A15" s="11" t="s">
        <v>424</v>
      </c>
      <c r="B15" s="326" t="s">
        <v>160</v>
      </c>
      <c r="C15" s="128">
        <v>400000</v>
      </c>
      <c r="D15" s="128">
        <v>400000</v>
      </c>
      <c r="E15" s="640">
        <v>350000</v>
      </c>
    </row>
    <row r="16" spans="1:5" s="138" customFormat="1" ht="12" customHeight="1" thickBot="1" x14ac:dyDescent="0.25">
      <c r="A16" s="15" t="s">
        <v>9</v>
      </c>
      <c r="B16" s="16" t="s">
        <v>611</v>
      </c>
      <c r="C16" s="172">
        <v>34000000</v>
      </c>
      <c r="D16" s="172">
        <v>33000000</v>
      </c>
      <c r="E16" s="498">
        <v>35000000</v>
      </c>
    </row>
    <row r="17" spans="1:6" s="138" customFormat="1" ht="12" customHeight="1" thickBot="1" x14ac:dyDescent="0.25">
      <c r="A17" s="15" t="s">
        <v>10</v>
      </c>
      <c r="B17" s="16" t="s">
        <v>2</v>
      </c>
      <c r="C17" s="172"/>
      <c r="D17" s="172"/>
      <c r="E17" s="498"/>
    </row>
    <row r="18" spans="1:6" s="138" customFormat="1" ht="12" customHeight="1" thickBot="1" x14ac:dyDescent="0.25">
      <c r="A18" s="15" t="s">
        <v>100</v>
      </c>
      <c r="B18" s="16" t="s">
        <v>612</v>
      </c>
      <c r="C18" s="172">
        <v>100000</v>
      </c>
      <c r="D18" s="172">
        <v>100000</v>
      </c>
      <c r="E18" s="498">
        <v>100000</v>
      </c>
    </row>
    <row r="19" spans="1:6" s="138" customFormat="1" ht="12" customHeight="1" thickBot="1" x14ac:dyDescent="0.25">
      <c r="A19" s="15" t="s">
        <v>12</v>
      </c>
      <c r="B19" s="71" t="s">
        <v>613</v>
      </c>
      <c r="C19" s="172"/>
      <c r="D19" s="172"/>
      <c r="E19" s="498"/>
    </row>
    <row r="20" spans="1:6" s="138" customFormat="1" ht="12" customHeight="1" thickBot="1" x14ac:dyDescent="0.25">
      <c r="A20" s="15" t="s">
        <v>13</v>
      </c>
      <c r="B20" s="16" t="s">
        <v>193</v>
      </c>
      <c r="C20" s="131">
        <f>+C5+C6+C7+C8+C16+C17+C18+C19</f>
        <v>387000000</v>
      </c>
      <c r="D20" s="131">
        <f>+D5+D6+D7+D8+D16+D17+D18+D19</f>
        <v>389500000</v>
      </c>
      <c r="E20" s="266">
        <f>+E5+E6+E7+E8+E16+E17+E18+E19</f>
        <v>394450000</v>
      </c>
    </row>
    <row r="21" spans="1:6" s="138" customFormat="1" ht="12" customHeight="1" thickBot="1" x14ac:dyDescent="0.25">
      <c r="A21" s="15" t="s">
        <v>14</v>
      </c>
      <c r="B21" s="16" t="s">
        <v>614</v>
      </c>
      <c r="C21" s="641">
        <v>32000000</v>
      </c>
      <c r="D21" s="641">
        <v>31000000</v>
      </c>
      <c r="E21" s="642">
        <v>30000000</v>
      </c>
    </row>
    <row r="22" spans="1:6" s="138" customFormat="1" ht="12" customHeight="1" thickBot="1" x14ac:dyDescent="0.25">
      <c r="A22" s="15" t="s">
        <v>15</v>
      </c>
      <c r="B22" s="16" t="s">
        <v>615</v>
      </c>
      <c r="C22" s="131">
        <f>+C20+C21</f>
        <v>419000000</v>
      </c>
      <c r="D22" s="131">
        <f>+D20+D21</f>
        <v>420500000</v>
      </c>
      <c r="E22" s="166">
        <f>+E20+E21</f>
        <v>424450000</v>
      </c>
    </row>
    <row r="23" spans="1:6" s="138" customFormat="1" ht="12" customHeight="1" x14ac:dyDescent="0.2">
      <c r="A23" s="643"/>
      <c r="B23" s="644"/>
      <c r="C23" s="645"/>
      <c r="D23" s="646"/>
      <c r="E23" s="647"/>
    </row>
    <row r="24" spans="1:6" s="138" customFormat="1" ht="12" customHeight="1" x14ac:dyDescent="0.2">
      <c r="A24" s="716" t="s">
        <v>33</v>
      </c>
      <c r="B24" s="716"/>
      <c r="C24" s="716"/>
      <c r="D24" s="716"/>
      <c r="E24" s="716"/>
    </row>
    <row r="25" spans="1:6" s="138" customFormat="1" ht="12" customHeight="1" thickBot="1" x14ac:dyDescent="0.25">
      <c r="A25" s="718" t="s">
        <v>83</v>
      </c>
      <c r="B25" s="718"/>
      <c r="C25" s="114"/>
      <c r="D25" s="394"/>
      <c r="E25" s="75" t="str">
        <f>E2</f>
        <v>Forintban</v>
      </c>
    </row>
    <row r="26" spans="1:6" s="138" customFormat="1" ht="24" customHeight="1" thickBot="1" x14ac:dyDescent="0.25">
      <c r="A26" s="481" t="s">
        <v>485</v>
      </c>
      <c r="B26" s="482" t="s">
        <v>532</v>
      </c>
      <c r="C26" s="482" t="str">
        <f>+C3</f>
        <v>2021. évi</v>
      </c>
      <c r="D26" s="482" t="str">
        <f>+D3</f>
        <v>2022. évi</v>
      </c>
      <c r="E26" s="484" t="str">
        <f>+E3</f>
        <v>2023. évi</v>
      </c>
      <c r="F26" s="648"/>
    </row>
    <row r="27" spans="1:6" s="138" customFormat="1" ht="12" customHeight="1" thickBot="1" x14ac:dyDescent="0.25">
      <c r="A27" s="133" t="s">
        <v>350</v>
      </c>
      <c r="B27" s="134" t="s">
        <v>351</v>
      </c>
      <c r="C27" s="134" t="s">
        <v>352</v>
      </c>
      <c r="D27" s="134" t="s">
        <v>354</v>
      </c>
      <c r="E27" s="649" t="s">
        <v>353</v>
      </c>
      <c r="F27" s="648"/>
    </row>
    <row r="28" spans="1:6" s="138" customFormat="1" ht="15" customHeight="1" thickBot="1" x14ac:dyDescent="0.25">
      <c r="A28" s="15" t="s">
        <v>5</v>
      </c>
      <c r="B28" s="19" t="s">
        <v>616</v>
      </c>
      <c r="C28" s="172">
        <v>356000000</v>
      </c>
      <c r="D28" s="172">
        <v>355050000</v>
      </c>
      <c r="E28" s="650">
        <v>348700000</v>
      </c>
      <c r="F28" s="648"/>
    </row>
    <row r="29" spans="1:6" ht="12" customHeight="1" thickBot="1" x14ac:dyDescent="0.3">
      <c r="A29" s="175" t="s">
        <v>6</v>
      </c>
      <c r="B29" s="651" t="s">
        <v>617</v>
      </c>
      <c r="C29" s="652">
        <f>+C30+C31+C32</f>
        <v>46500000</v>
      </c>
      <c r="D29" s="652">
        <f>+D30+D31+D32</f>
        <v>48550000</v>
      </c>
      <c r="E29" s="653">
        <f>+E30+E31+E32</f>
        <v>58650000</v>
      </c>
    </row>
    <row r="30" spans="1:6" ht="12" customHeight="1" x14ac:dyDescent="0.25">
      <c r="A30" s="10" t="s">
        <v>65</v>
      </c>
      <c r="B30" s="3" t="s">
        <v>121</v>
      </c>
      <c r="C30" s="127">
        <v>46500000</v>
      </c>
      <c r="D30" s="127">
        <v>48550000</v>
      </c>
      <c r="E30" s="488">
        <v>58650000</v>
      </c>
    </row>
    <row r="31" spans="1:6" ht="12" customHeight="1" x14ac:dyDescent="0.25">
      <c r="A31" s="10" t="s">
        <v>66</v>
      </c>
      <c r="B31" s="7" t="s">
        <v>107</v>
      </c>
      <c r="C31" s="126"/>
      <c r="D31" s="126"/>
      <c r="E31" s="501"/>
    </row>
    <row r="32" spans="1:6" ht="12" customHeight="1" thickBot="1" x14ac:dyDescent="0.3">
      <c r="A32" s="10" t="s">
        <v>67</v>
      </c>
      <c r="B32" s="73" t="s">
        <v>123</v>
      </c>
      <c r="C32" s="126"/>
      <c r="D32" s="126"/>
      <c r="E32" s="501"/>
    </row>
    <row r="33" spans="1:7" ht="12" customHeight="1" thickBot="1" x14ac:dyDescent="0.3">
      <c r="A33" s="15" t="s">
        <v>7</v>
      </c>
      <c r="B33" s="45" t="s">
        <v>311</v>
      </c>
      <c r="C33" s="125">
        <f>+C28+C29</f>
        <v>402500000</v>
      </c>
      <c r="D33" s="125">
        <f>+D28+D29</f>
        <v>403600000</v>
      </c>
      <c r="E33" s="70">
        <f>+E28+E29</f>
        <v>407350000</v>
      </c>
    </row>
    <row r="34" spans="1:7" ht="15" customHeight="1" thickBot="1" x14ac:dyDescent="0.3">
      <c r="A34" s="15" t="s">
        <v>8</v>
      </c>
      <c r="B34" s="45" t="s">
        <v>618</v>
      </c>
      <c r="C34" s="654">
        <v>16500000</v>
      </c>
      <c r="D34" s="654">
        <v>16900000</v>
      </c>
      <c r="E34" s="655">
        <v>17100000</v>
      </c>
      <c r="F34" s="149"/>
    </row>
    <row r="35" spans="1:7" s="138" customFormat="1" ht="13.5" thickBot="1" x14ac:dyDescent="0.25">
      <c r="A35" s="74" t="s">
        <v>9</v>
      </c>
      <c r="B35" s="112" t="s">
        <v>619</v>
      </c>
      <c r="C35" s="189">
        <f>+C33+C34</f>
        <v>419000000</v>
      </c>
      <c r="D35" s="189">
        <f>+D33+D34</f>
        <v>420500000</v>
      </c>
      <c r="E35" s="183">
        <f>+E33+E34</f>
        <v>424450000</v>
      </c>
    </row>
    <row r="36" spans="1:7" x14ac:dyDescent="0.25">
      <c r="C36" s="113"/>
    </row>
    <row r="37" spans="1:7" ht="16.5" customHeight="1" x14ac:dyDescent="0.25">
      <c r="C37" s="113"/>
    </row>
    <row r="38" spans="1:7" x14ac:dyDescent="0.25">
      <c r="C38" s="113"/>
    </row>
    <row r="39" spans="1:7" x14ac:dyDescent="0.25">
      <c r="C39" s="113"/>
    </row>
    <row r="40" spans="1:7" s="113" customFormat="1" x14ac:dyDescent="0.25">
      <c r="F40" s="136"/>
      <c r="G40" s="136"/>
    </row>
    <row r="41" spans="1:7" s="113" customFormat="1" x14ac:dyDescent="0.25">
      <c r="F41" s="136"/>
      <c r="G41" s="136"/>
    </row>
    <row r="42" spans="1:7" s="113" customFormat="1" x14ac:dyDescent="0.25">
      <c r="F42" s="136"/>
      <c r="G42" s="136"/>
    </row>
    <row r="43" spans="1:7" s="113" customFormat="1" x14ac:dyDescent="0.25">
      <c r="F43" s="136"/>
      <c r="G43" s="136"/>
    </row>
    <row r="44" spans="1:7" s="113" customFormat="1" x14ac:dyDescent="0.25">
      <c r="F44" s="136"/>
      <c r="G44" s="136"/>
    </row>
    <row r="45" spans="1:7" s="113" customFormat="1" x14ac:dyDescent="0.25">
      <c r="F45" s="136"/>
      <c r="G45" s="136"/>
    </row>
    <row r="46" spans="1:7" s="113" customFormat="1" x14ac:dyDescent="0.25">
      <c r="F46" s="136"/>
      <c r="G46" s="136"/>
    </row>
  </sheetData>
  <mergeCells count="4">
    <mergeCell ref="A1:E1"/>
    <mergeCell ref="A2:B2"/>
    <mergeCell ref="A24:E24"/>
    <mergeCell ref="A25:B25"/>
  </mergeCells>
  <pageMargins left="0.7" right="0.7" top="0.75" bottom="0.75" header="0.3" footer="0.3"/>
  <pageSetup paperSize="9" scale="80" orientation="portrait" verticalDpi="300" r:id="rId1"/>
  <headerFooter>
    <oddHeader>&amp;R&amp;"Times New Roman CE,Félkövér" 17. számú melléklet a 6/2020. (II. 25.)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664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'9.mell.3.tábl.'!C8+'9.mell.7-tábl.'!C8</f>
        <v>0</v>
      </c>
      <c r="D7" s="127">
        <f>'9.mell.3.tábl.'!D8+'9.mell.7-tábl.'!D8</f>
        <v>0</v>
      </c>
      <c r="E7" s="127">
        <f>'9.mell.3.tábl.'!E8+'9.mell.7-tábl.'!E8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'9.mell.3.tábl.'!C9+'9.mell.7-tábl.'!C9</f>
        <v>0</v>
      </c>
      <c r="D8" s="127">
        <f>'9.mell.3.tábl.'!D9+'9.mell.7-tábl.'!D9</f>
        <v>0</v>
      </c>
      <c r="E8" s="127">
        <f>'9.mell.3.tábl.'!E9+'9.mell.7-tábl.'!E9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'9.mell.3.tábl.'!C10+'9.mell.7-tábl.'!C10</f>
        <v>0</v>
      </c>
      <c r="D9" s="127">
        <f>'9.mell.3.tábl.'!D10+'9.mell.7-tábl.'!D10</f>
        <v>0</v>
      </c>
      <c r="E9" s="127">
        <f>'9.mell.3.tábl.'!E10+'9.mell.7-tábl.'!E10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'9.mell.3.tábl.'!C11+'9.mell.7-tábl.'!C11</f>
        <v>0</v>
      </c>
      <c r="D10" s="127">
        <f>'9.mell.3.tábl.'!D11+'9.mell.7-tábl.'!D11</f>
        <v>0</v>
      </c>
      <c r="E10" s="127">
        <f>'9.mell.3.tábl.'!E11+'9.mell.7-tábl.'!E11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'9.mell.3.tábl.'!C12+'9.mell.7-tábl.'!C12</f>
        <v>0</v>
      </c>
      <c r="D11" s="127">
        <f>'9.mell.3.tábl.'!D12+'9.mell.7-tábl.'!D12</f>
        <v>0</v>
      </c>
      <c r="E11" s="127">
        <f>'9.mell.3.tábl.'!E12+'9.mell.7-tábl.'!E12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'9.mell.3.tábl.'!C13+'9.mell.7-tábl.'!C13</f>
        <v>0</v>
      </c>
      <c r="D12" s="127">
        <f>'9.mell.3.tábl.'!D13+'9.mell.7-tábl.'!D13</f>
        <v>0</v>
      </c>
      <c r="E12" s="127">
        <f>'9.mell.3.tábl.'!E13+'9.mell.7-tábl.'!E13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'9.mell.3.tábl.'!C15+'9.mell.7-tábl.'!C15</f>
        <v>0</v>
      </c>
      <c r="D14" s="127">
        <f>'9.mell.3.tábl.'!D15+'9.mell.7-tábl.'!D15</f>
        <v>0</v>
      </c>
      <c r="E14" s="127">
        <f>'9.mell.3.tábl.'!E15+'9.mell.7-tábl.'!E15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'9.mell.3.tábl.'!C16+'9.mell.7-tábl.'!C16</f>
        <v>0</v>
      </c>
      <c r="D15" s="127">
        <f>'9.mell.3.tábl.'!D16+'9.mell.7-tábl.'!D16</f>
        <v>0</v>
      </c>
      <c r="E15" s="127">
        <f>'9.mell.3.tábl.'!E16+'9.mell.7-tábl.'!E16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'9.mell.3.tábl.'!C17+'9.mell.7-tábl.'!C17</f>
        <v>0</v>
      </c>
      <c r="D16" s="127">
        <f>'9.mell.3.tábl.'!D17+'9.mell.7-tábl.'!D17</f>
        <v>0</v>
      </c>
      <c r="E16" s="127">
        <f>'9.mell.3.tábl.'!E17+'9.mell.7-tábl.'!E17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'9.mell.3.tábl.'!C18+'9.mell.7-tábl.'!C18</f>
        <v>0</v>
      </c>
      <c r="D17" s="127">
        <f>'9.mell.3.tábl.'!D18+'9.mell.7-tábl.'!D18</f>
        <v>0</v>
      </c>
      <c r="E17" s="127">
        <f>'9.mell.3.tábl.'!E18+'9.mell.7-tábl.'!E18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'9.mell.3.tábl.'!C19+'9.mell.7-tábl.'!C19</f>
        <v>0</v>
      </c>
      <c r="D18" s="127">
        <f>'9.mell.3.tábl.'!D19+'9.mell.7-tábl.'!D19</f>
        <v>0</v>
      </c>
      <c r="E18" s="127">
        <f>'9.mell.3.tábl.'!E19+'9.mell.7-tábl.'!E19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'9.mell.3.tábl.'!C20+'9.mell.7-tábl.'!C20</f>
        <v>0</v>
      </c>
      <c r="D19" s="127">
        <f>'9.mell.3.tábl.'!D20+'9.mell.7-tábl.'!D20</f>
        <v>0</v>
      </c>
      <c r="E19" s="127">
        <f>'9.mell.3.tábl.'!E20+'9.mell.7-tábl.'!E20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'9.mell.3.tábl.'!C22+'9.mell.7-tábl.'!C22</f>
        <v>0</v>
      </c>
      <c r="D21" s="127">
        <f>'9.mell.3.tábl.'!D22+'9.mell.7-tábl.'!D22</f>
        <v>0</v>
      </c>
      <c r="E21" s="127">
        <f>'9.mell.3.tábl.'!E22+'9.mell.7-tábl.'!E22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'9.mell.3.tábl.'!C23+'9.mell.7-tábl.'!C23</f>
        <v>0</v>
      </c>
      <c r="D22" s="127">
        <f>'9.mell.3.tábl.'!D23+'9.mell.7-tábl.'!D23</f>
        <v>0</v>
      </c>
      <c r="E22" s="127">
        <f>'9.mell.3.tábl.'!E23+'9.mell.7-tábl.'!E23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'9.mell.3.tábl.'!C24+'9.mell.7-tábl.'!C24</f>
        <v>0</v>
      </c>
      <c r="D23" s="127">
        <f>'9.mell.3.tábl.'!D24+'9.mell.7-tábl.'!D24</f>
        <v>0</v>
      </c>
      <c r="E23" s="127">
        <f>'9.mell.3.tábl.'!E24+'9.mell.7-tábl.'!E24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'9.mell.3.tábl.'!C25+'9.mell.7-tábl.'!C25</f>
        <v>0</v>
      </c>
      <c r="D24" s="127">
        <f>'9.mell.3.tábl.'!D25+'9.mell.7-tábl.'!D25</f>
        <v>0</v>
      </c>
      <c r="E24" s="127">
        <f>'9.mell.3.tábl.'!E25+'9.mell.7-tábl.'!E25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'9.mell.3.tábl.'!C26+'9.mell.7-tábl.'!C26</f>
        <v>0</v>
      </c>
      <c r="D25" s="127">
        <f>'9.mell.3.tábl.'!D26+'9.mell.7-tábl.'!D26</f>
        <v>0</v>
      </c>
      <c r="E25" s="127">
        <f>'9.mell.3.tábl.'!E26+'9.mell.7-tábl.'!E26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'9.mell.3.tábl.'!C27+'9.mell.7-tábl.'!C27</f>
        <v>0</v>
      </c>
      <c r="D26" s="127">
        <f>'9.mell.3.tábl.'!D27+'9.mell.7-tábl.'!D27</f>
        <v>0</v>
      </c>
      <c r="E26" s="127">
        <f>'9.mell.3.tábl.'!E27+'9.mell.7-tábl.'!E27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'9.mell.3.tábl.'!C29+'9.mell.7-tábl.'!C29</f>
        <v>0</v>
      </c>
      <c r="D28" s="168">
        <f>'9.mell.3.tábl.'!D29+'9.mell.7-tábl.'!D29</f>
        <v>0</v>
      </c>
      <c r="E28" s="168">
        <f>'9.mell.3.tábl.'!E29+'9.mell.7-tábl.'!E29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'9.mell.3.tábl.'!C30+'9.mell.7-tábl.'!C30</f>
        <v>0</v>
      </c>
      <c r="D29" s="168">
        <f>'9.mell.3.tábl.'!D30+'9.mell.7-tábl.'!D30</f>
        <v>0</v>
      </c>
      <c r="E29" s="168">
        <f>'9.mell.3.tábl.'!E30+'9.mell.7-tábl.'!E30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'9.mell.3.tábl.'!C31+'9.mell.7-tábl.'!C31</f>
        <v>0</v>
      </c>
      <c r="D30" s="168">
        <f>'9.mell.3.tábl.'!D31+'9.mell.7-tábl.'!D31</f>
        <v>0</v>
      </c>
      <c r="E30" s="168">
        <f>'9.mell.3.tábl.'!E31+'9.mell.7-tábl.'!E31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'9.mell.3.tábl.'!C32+'9.mell.7-tábl.'!C32</f>
        <v>0</v>
      </c>
      <c r="D31" s="168">
        <f>'9.mell.3.tábl.'!D32+'9.mell.7-tábl.'!D32</f>
        <v>0</v>
      </c>
      <c r="E31" s="168">
        <f>'9.mell.3.tábl.'!E32+'9.mell.7-tábl.'!E32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'9.mell.3.tábl.'!C33+'9.mell.7-tábl.'!C33</f>
        <v>0</v>
      </c>
      <c r="D32" s="168">
        <f>'9.mell.3.tábl.'!D33+'9.mell.7-tábl.'!D33</f>
        <v>0</v>
      </c>
      <c r="E32" s="168">
        <f>'9.mell.3.tábl.'!E33+'9.mell.7-tábl.'!E33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'9.mell.3.tábl.'!C34+'9.mell.7-tábl.'!C34</f>
        <v>0</v>
      </c>
      <c r="D33" s="168">
        <f>'9.mell.3.tábl.'!D34+'9.mell.7-tábl.'!D34</f>
        <v>0</v>
      </c>
      <c r="E33" s="168">
        <f>'9.mell.3.tábl.'!E34+'9.mell.7-tábl.'!E34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'9.mell.3.tábl.'!C35+'9.mell.7-tábl.'!C35</f>
        <v>0</v>
      </c>
      <c r="D34" s="168">
        <f>'9.mell.3.tábl.'!D35+'9.mell.7-tábl.'!D35</f>
        <v>0</v>
      </c>
      <c r="E34" s="168">
        <f>'9.mell.3.tábl.'!E35+'9.mell.7-tábl.'!E35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'9.mell.3.tábl.'!C36+'9.mell.7-tábl.'!C36</f>
        <v>0</v>
      </c>
      <c r="D35" s="168">
        <f>'9.mell.3.tábl.'!D36+'9.mell.7-tábl.'!D36</f>
        <v>0</v>
      </c>
      <c r="E35" s="168">
        <f>'9.mell.3.tábl.'!E36+'9.mell.7-tábl.'!E36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17062000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17062000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'9.mell.3.tábl.'!C38+'9.mell.7-tábl.'!C38</f>
        <v>0</v>
      </c>
      <c r="D37" s="127">
        <f>'9.mell.3.tábl.'!D38+'9.mell.7-tábl.'!D38</f>
        <v>0</v>
      </c>
      <c r="E37" s="127">
        <f>'9.mell.3.tábl.'!E38+'9.mell.7-tábl.'!E38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'9.mell.3.tábl.'!C39+'9.mell.7-tábl.'!C39</f>
        <v>11230000</v>
      </c>
      <c r="D38" s="127">
        <f>'9.mell.3.tábl.'!D39+'9.mell.7-tábl.'!D39</f>
        <v>0</v>
      </c>
      <c r="E38" s="127">
        <f>'9.mell.3.tábl.'!E39+'9.mell.7-tábl.'!E39</f>
        <v>0</v>
      </c>
      <c r="F38" s="168">
        <f t="shared" si="1"/>
        <v>0</v>
      </c>
      <c r="G38" s="167">
        <f t="shared" si="5"/>
        <v>11230000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'9.mell.3.tábl.'!C40+'9.mell.7-tábl.'!C40</f>
        <v>10000</v>
      </c>
      <c r="D39" s="127">
        <f>'9.mell.3.tábl.'!D40+'9.mell.7-tábl.'!D40</f>
        <v>0</v>
      </c>
      <c r="E39" s="127">
        <f>'9.mell.3.tábl.'!E40+'9.mell.7-tábl.'!E40</f>
        <v>0</v>
      </c>
      <c r="F39" s="168">
        <f t="shared" si="1"/>
        <v>0</v>
      </c>
      <c r="G39" s="167">
        <f t="shared" si="5"/>
        <v>10000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'9.mell.3.tábl.'!C41+'9.mell.7-tábl.'!C41</f>
        <v>1800000</v>
      </c>
      <c r="D40" s="127">
        <f>'9.mell.3.tábl.'!D41+'9.mell.7-tábl.'!D41</f>
        <v>0</v>
      </c>
      <c r="E40" s="127">
        <f>'9.mell.3.tábl.'!E41+'9.mell.7-tábl.'!E41</f>
        <v>0</v>
      </c>
      <c r="F40" s="168">
        <f t="shared" si="1"/>
        <v>0</v>
      </c>
      <c r="G40" s="167">
        <f t="shared" si="5"/>
        <v>1800000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'9.mell.3.tábl.'!C42+'9.mell.7-tábl.'!C42</f>
        <v>0</v>
      </c>
      <c r="D41" s="127">
        <f>'9.mell.3.tábl.'!D42+'9.mell.7-tábl.'!D42</f>
        <v>0</v>
      </c>
      <c r="E41" s="127">
        <f>'9.mell.3.tábl.'!E42+'9.mell.7-tábl.'!E42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'9.mell.3.tábl.'!C43+'9.mell.7-tábl.'!C43</f>
        <v>3522000</v>
      </c>
      <c r="D42" s="127">
        <f>'9.mell.3.tábl.'!D43+'9.mell.7-tábl.'!D43</f>
        <v>0</v>
      </c>
      <c r="E42" s="127">
        <f>'9.mell.3.tábl.'!E43+'9.mell.7-tábl.'!E43</f>
        <v>0</v>
      </c>
      <c r="F42" s="168">
        <f t="shared" si="1"/>
        <v>0</v>
      </c>
      <c r="G42" s="167">
        <f t="shared" si="5"/>
        <v>3522000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'9.mell.3.tábl.'!C44+'9.mell.7-tábl.'!C44</f>
        <v>500000</v>
      </c>
      <c r="D43" s="127">
        <f>'9.mell.3.tábl.'!D44+'9.mell.7-tábl.'!D44</f>
        <v>0</v>
      </c>
      <c r="E43" s="127">
        <f>'9.mell.3.tábl.'!E44+'9.mell.7-tábl.'!E44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'9.mell.3.tábl.'!C45+'9.mell.7-tábl.'!C45</f>
        <v>0</v>
      </c>
      <c r="D44" s="127">
        <f>'9.mell.3.tábl.'!D45+'9.mell.7-tábl.'!D45</f>
        <v>0</v>
      </c>
      <c r="E44" s="127">
        <f>'9.mell.3.tábl.'!E45+'9.mell.7-tábl.'!E45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'9.mell.3.tábl.'!C46+'9.mell.7-tábl.'!C46</f>
        <v>0</v>
      </c>
      <c r="D45" s="127">
        <f>'9.mell.3.tábl.'!D46+'9.mell.7-tábl.'!D46</f>
        <v>0</v>
      </c>
      <c r="E45" s="127">
        <f>'9.mell.3.tábl.'!E46+'9.mell.7-tábl.'!E46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'9.mell.3.tábl.'!C47+'9.mell.7-tábl.'!C47</f>
        <v>0</v>
      </c>
      <c r="D46" s="127">
        <f>'9.mell.3.tábl.'!D47+'9.mell.7-tábl.'!D47</f>
        <v>0</v>
      </c>
      <c r="E46" s="127">
        <f>'9.mell.3.tábl.'!E47+'9.mell.7-tábl.'!E47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'9.mell.3.tábl.'!C48+'9.mell.7-tábl.'!C48</f>
        <v>0</v>
      </c>
      <c r="D47" s="127">
        <f>'9.mell.3.tábl.'!D48+'9.mell.7-tábl.'!D48</f>
        <v>0</v>
      </c>
      <c r="E47" s="127">
        <f>'9.mell.3.tábl.'!E48+'9.mell.7-tábl.'!E48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'9.mell.3.tábl.'!C50+'9.mell.7-tábl.'!C50</f>
        <v>0</v>
      </c>
      <c r="D49" s="169">
        <f>'9.mell.3.tábl.'!D50+'9.mell.7-tábl.'!D50</f>
        <v>0</v>
      </c>
      <c r="E49" s="169">
        <f>'9.mell.3.tábl.'!E50+'9.mell.7-tábl.'!E50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'9.mell.3.tábl.'!C51+'9.mell.7-tábl.'!C51</f>
        <v>0</v>
      </c>
      <c r="D50" s="169">
        <f>'9.mell.3.tábl.'!D51+'9.mell.7-tábl.'!D51</f>
        <v>0</v>
      </c>
      <c r="E50" s="169">
        <f>'9.mell.3.tábl.'!E51+'9.mell.7-tábl.'!E51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'9.mell.3.tábl.'!C52+'9.mell.7-tábl.'!C52</f>
        <v>0</v>
      </c>
      <c r="D51" s="169">
        <f>'9.mell.3.tábl.'!D52+'9.mell.7-tábl.'!D52</f>
        <v>0</v>
      </c>
      <c r="E51" s="169">
        <f>'9.mell.3.tábl.'!E52+'9.mell.7-tábl.'!E52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'9.mell.3.tábl.'!C53+'9.mell.7-tábl.'!C53</f>
        <v>0</v>
      </c>
      <c r="D52" s="169">
        <f>'9.mell.3.tábl.'!D53+'9.mell.7-tábl.'!D53</f>
        <v>0</v>
      </c>
      <c r="E52" s="169">
        <f>'9.mell.3.tábl.'!E53+'9.mell.7-tábl.'!E53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'9.mell.3.tábl.'!C54+'9.mell.7-tábl.'!C54</f>
        <v>0</v>
      </c>
      <c r="D53" s="169">
        <f>'9.mell.3.tábl.'!D54+'9.mell.7-tábl.'!D54</f>
        <v>0</v>
      </c>
      <c r="E53" s="169">
        <f>'9.mell.3.tábl.'!E54+'9.mell.7-tábl.'!E54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'9.mell.3.tábl.'!C56+'9.mell.7-tábl.'!C56</f>
        <v>0</v>
      </c>
      <c r="D55" s="127">
        <f>'9.mell.3.tábl.'!D56+'9.mell.7-tábl.'!D56</f>
        <v>0</v>
      </c>
      <c r="E55" s="127">
        <f>'9.mell.3.tábl.'!E56+'9.mell.7-tábl.'!E56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'9.mell.3.tábl.'!C57+'9.mell.7-tábl.'!C57</f>
        <v>0</v>
      </c>
      <c r="D56" s="127">
        <f>'9.mell.3.tábl.'!D57+'9.mell.7-tábl.'!D57</f>
        <v>0</v>
      </c>
      <c r="E56" s="127">
        <f>'9.mell.3.tábl.'!E57+'9.mell.7-tábl.'!E57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'9.mell.3.tábl.'!C58+'9.mell.7-tábl.'!C58</f>
        <v>100000</v>
      </c>
      <c r="D57" s="127">
        <f>'9.mell.3.tábl.'!D58+'9.mell.7-tábl.'!D58</f>
        <v>0</v>
      </c>
      <c r="E57" s="127">
        <f>'9.mell.3.tábl.'!E58+'9.mell.7-tábl.'!E58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'9.mell.3.tábl.'!C59+'9.mell.7-tábl.'!C59</f>
        <v>0</v>
      </c>
      <c r="D58" s="127">
        <f>'9.mell.3.tábl.'!D59+'9.mell.7-tábl.'!D59</f>
        <v>0</v>
      </c>
      <c r="E58" s="127">
        <f>'9.mell.3.tábl.'!E59+'9.mell.7-tábl.'!E59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'9.mell.3.tábl.'!C61+'9.mell.7-tábl.'!C61</f>
        <v>0</v>
      </c>
      <c r="D60" s="129">
        <f>'9.mell.3.tábl.'!D61+'9.mell.7-tábl.'!D61</f>
        <v>0</v>
      </c>
      <c r="E60" s="129">
        <f>'9.mell.3.tábl.'!E61+'9.mell.7-tábl.'!E61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'9.mell.3.tábl.'!C62+'9.mell.7-tábl.'!C62</f>
        <v>0</v>
      </c>
      <c r="D61" s="129">
        <f>'9.mell.3.tábl.'!D62+'9.mell.7-tábl.'!D62</f>
        <v>0</v>
      </c>
      <c r="E61" s="129">
        <f>'9.mell.3.tábl.'!E62+'9.mell.7-tábl.'!E62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'9.mell.3.tábl.'!C63+'9.mell.7-tábl.'!C63</f>
        <v>0</v>
      </c>
      <c r="D62" s="129">
        <f>'9.mell.3.tábl.'!D63+'9.mell.7-tábl.'!D63</f>
        <v>0</v>
      </c>
      <c r="E62" s="129">
        <f>'9.mell.3.tábl.'!E63+'9.mell.7-tábl.'!E63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'9.mell.3.tábl.'!C64+'9.mell.7-tábl.'!C64</f>
        <v>0</v>
      </c>
      <c r="D63" s="129">
        <f>'9.mell.3.tábl.'!D64+'9.mell.7-tábl.'!D64</f>
        <v>0</v>
      </c>
      <c r="E63" s="129">
        <f>'9.mell.3.tábl.'!E64+'9.mell.7-tábl.'!E64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17162000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17162000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'9.mell.3.tábl.'!C67+'9.mell.7-tábl.'!C67</f>
        <v>0</v>
      </c>
      <c r="D66" s="129">
        <f>'9.mell.3.tábl.'!D67+'9.mell.7-tábl.'!D67</f>
        <v>0</v>
      </c>
      <c r="E66" s="129">
        <f>'9.mell.3.tábl.'!E67+'9.mell.7-tábl.'!E67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'9.mell.3.tábl.'!C68+'9.mell.7-tábl.'!C68</f>
        <v>0</v>
      </c>
      <c r="D67" s="129">
        <f>'9.mell.3.tábl.'!D68+'9.mell.7-tábl.'!D68</f>
        <v>0</v>
      </c>
      <c r="E67" s="129">
        <f>'9.mell.3.tábl.'!E68+'9.mell.7-tábl.'!E68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'9.mell.3.tábl.'!C69+'9.mell.7-tábl.'!C69</f>
        <v>0</v>
      </c>
      <c r="D68" s="261">
        <f>'9.mell.3.tábl.'!D69+'9.mell.7-tábl.'!D69</f>
        <v>0</v>
      </c>
      <c r="E68" s="261">
        <f>'9.mell.3.tábl.'!E69+'9.mell.7-tábl.'!E69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'9.mell.3.tábl.'!C71+'9.mell.7-tábl.'!C71</f>
        <v>0</v>
      </c>
      <c r="D70" s="129">
        <f>'9.mell.3.tábl.'!D71+'9.mell.7-tábl.'!D71</f>
        <v>0</v>
      </c>
      <c r="E70" s="129">
        <f>'9.mell.3.tábl.'!E71+'9.mell.7-tábl.'!E71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'9.mell.3.tábl.'!C72+'9.mell.7-tábl.'!C72</f>
        <v>0</v>
      </c>
      <c r="D71" s="129">
        <f>'9.mell.3.tábl.'!D72+'9.mell.7-tábl.'!D72</f>
        <v>0</v>
      </c>
      <c r="E71" s="129">
        <f>'9.mell.3.tábl.'!E72+'9.mell.7-tábl.'!E72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'9.mell.3.tábl.'!C73+'9.mell.7-tábl.'!C73</f>
        <v>0</v>
      </c>
      <c r="D72" s="129">
        <f>'9.mell.3.tábl.'!D73+'9.mell.7-tábl.'!D73</f>
        <v>0</v>
      </c>
      <c r="E72" s="129">
        <f>'9.mell.3.tábl.'!E73+'9.mell.7-tábl.'!E73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'9.mell.3.tábl.'!C74+'9.mell.7-tábl.'!C74</f>
        <v>0</v>
      </c>
      <c r="D73" s="129">
        <f>'9.mell.3.tábl.'!D74+'9.mell.7-tábl.'!D74</f>
        <v>0</v>
      </c>
      <c r="E73" s="129">
        <f>'9.mell.3.tábl.'!E74+'9.mell.7-tábl.'!E74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'9.mell.3.tábl.'!C76+'9.mell.7-tábl.'!C76</f>
        <v>0</v>
      </c>
      <c r="D75" s="129">
        <f>'9.mell.3.tábl.'!D76+'9.mell.7-tábl.'!D76</f>
        <v>0</v>
      </c>
      <c r="E75" s="129">
        <f>'9.mell.3.tábl.'!E76+'9.mell.7-tábl.'!E76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'9.mell.3.tábl.'!C77+'9.mell.7-tábl.'!C77</f>
        <v>0</v>
      </c>
      <c r="D76" s="129">
        <f>'9.mell.3.tábl.'!D77+'9.mell.7-tábl.'!D77</f>
        <v>0</v>
      </c>
      <c r="E76" s="129">
        <f>'9.mell.3.tábl.'!E77+'9.mell.7-tábl.'!E77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'9.mell.3.tábl.'!C79+'9.mell.3.tábl.'!C79</f>
        <v>0</v>
      </c>
      <c r="D78" s="129">
        <f>'9.mell.3.tábl.'!D79+'9.mell.3.tábl.'!D79</f>
        <v>0</v>
      </c>
      <c r="E78" s="129">
        <f>'9.mell.3.tábl.'!E79+'9.mell.3.tábl.'!E79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'9.mell.3.tábl.'!C80+'9.mell.3.tábl.'!C80</f>
        <v>0</v>
      </c>
      <c r="D79" s="129">
        <f>'9.mell.3.tábl.'!D80+'9.mell.3.tábl.'!D80</f>
        <v>0</v>
      </c>
      <c r="E79" s="129">
        <f>'9.mell.3.tábl.'!E80+'9.mell.3.tábl.'!E80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'9.mell.3.tábl.'!C81+'9.mell.3.tábl.'!C81</f>
        <v>0</v>
      </c>
      <c r="D80" s="129">
        <f>'9.mell.3.tábl.'!D81+'9.mell.3.tábl.'!D81</f>
        <v>0</v>
      </c>
      <c r="E80" s="129">
        <f>'9.mell.3.tábl.'!E81+'9.mell.3.tábl.'!E81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'9.mell.3.tábl.'!C83+'9.mell.7-tábl.'!C84</f>
        <v>0</v>
      </c>
      <c r="D82" s="129">
        <f>'9.mell.3.tábl.'!D83+'9.mell.7-tábl.'!D84</f>
        <v>0</v>
      </c>
      <c r="E82" s="129">
        <f>'9.mell.3.tábl.'!E83+'9.mell.7-tábl.'!E84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'9.mell.3.tábl.'!C84+'9.mell.7-tábl.'!C85</f>
        <v>0</v>
      </c>
      <c r="D83" s="129">
        <f>'9.mell.3.tábl.'!D84+'9.mell.7-tábl.'!D85</f>
        <v>0</v>
      </c>
      <c r="E83" s="129">
        <f>'9.mell.3.tábl.'!E84+'9.mell.7-tábl.'!E85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'9.mell.3.tábl.'!C85+'9.mell.7-tábl.'!C86</f>
        <v>0</v>
      </c>
      <c r="D84" s="129">
        <f>'9.mell.3.tábl.'!D85+'9.mell.7-tábl.'!D86</f>
        <v>0</v>
      </c>
      <c r="E84" s="129">
        <f>'9.mell.3.tábl.'!E85+'9.mell.7-tábl.'!E86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'9.mell.3.tábl.'!C86+'9.mell.7-tábl.'!C87</f>
        <v>0</v>
      </c>
      <c r="D85" s="129">
        <f>'9.mell.3.tábl.'!D86+'9.mell.7-tábl.'!D87</f>
        <v>0</v>
      </c>
      <c r="E85" s="129">
        <f>'9.mell.3.tábl.'!E86+'9.mell.7-tábl.'!E87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17162000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17162000</v>
      </c>
    </row>
    <row r="90" spans="1:7" ht="16.5" customHeight="1" x14ac:dyDescent="0.25">
      <c r="A90" s="716" t="s">
        <v>665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5231000</v>
      </c>
      <c r="D95" s="125">
        <f>D96+D97+D98+D99+D100+D113</f>
        <v>-255000</v>
      </c>
      <c r="E95" s="124">
        <f>E96+E97+E98+E99+E100+E113</f>
        <v>1000000</v>
      </c>
      <c r="F95" s="124">
        <f>F96+F97+F98+F99+F100+F113</f>
        <v>745000</v>
      </c>
      <c r="G95" s="262">
        <f>G96+G97+G98+G99+G100+G113</f>
        <v>5976000</v>
      </c>
    </row>
    <row r="96" spans="1:7" ht="12" customHeight="1" x14ac:dyDescent="0.25">
      <c r="A96" s="12" t="s">
        <v>59</v>
      </c>
      <c r="B96" s="5" t="s">
        <v>34</v>
      </c>
      <c r="C96" s="353">
        <f>'9.mell.3.tábl.'!C94+'9.mell.7-tábl.'!C94</f>
        <v>1251000</v>
      </c>
      <c r="D96" s="353">
        <f>'9.mell.3.tábl.'!D94+'9.mell.7-tábl.'!D94</f>
        <v>-456000</v>
      </c>
      <c r="E96" s="281">
        <f>'9.mell.3.tábl.'!E94+'9.mell.7-tábl.'!E94</f>
        <v>0</v>
      </c>
      <c r="F96" s="289">
        <f t="shared" ref="F96:F115" si="8">D96+E96</f>
        <v>-456000</v>
      </c>
      <c r="G96" s="228">
        <f t="shared" ref="G96:G115" si="9">C96+F96</f>
        <v>795000</v>
      </c>
    </row>
    <row r="97" spans="1:7" ht="12" customHeight="1" x14ac:dyDescent="0.25">
      <c r="A97" s="9" t="s">
        <v>60</v>
      </c>
      <c r="B97" s="3" t="s">
        <v>103</v>
      </c>
      <c r="C97" s="350">
        <f>'9.mell.3.tábl.'!C95+'9.mell.7-tábl.'!C95</f>
        <v>307000</v>
      </c>
      <c r="D97" s="350">
        <f>'9.mell.3.tábl.'!D95+'9.mell.7-tábl.'!D95</f>
        <v>-95000</v>
      </c>
      <c r="E97" s="350">
        <f>'9.mell.3.tábl.'!E95+'9.mell.7-tábl.'!E95</f>
        <v>0</v>
      </c>
      <c r="F97" s="290">
        <f t="shared" si="8"/>
        <v>-95000</v>
      </c>
      <c r="G97" s="224">
        <f t="shared" si="9"/>
        <v>212000</v>
      </c>
    </row>
    <row r="98" spans="1:7" ht="12" customHeight="1" x14ac:dyDescent="0.25">
      <c r="A98" s="9" t="s">
        <v>61</v>
      </c>
      <c r="B98" s="3" t="s">
        <v>78</v>
      </c>
      <c r="C98" s="350">
        <f>'9.mell.3.tábl.'!C96+'9.mell.7-tábl.'!C96</f>
        <v>2123000</v>
      </c>
      <c r="D98" s="350">
        <f>'9.mell.3.tábl.'!D96+'9.mell.7-tábl.'!D96</f>
        <v>246000</v>
      </c>
      <c r="E98" s="350">
        <f>'9.mell.3.tábl.'!E96+'9.mell.7-tábl.'!E96</f>
        <v>1000000</v>
      </c>
      <c r="F98" s="291">
        <f t="shared" si="8"/>
        <v>1246000</v>
      </c>
      <c r="G98" s="225">
        <f t="shared" si="9"/>
        <v>3369000</v>
      </c>
    </row>
    <row r="99" spans="1:7" ht="12" customHeight="1" x14ac:dyDescent="0.25">
      <c r="A99" s="9" t="s">
        <v>62</v>
      </c>
      <c r="B99" s="6" t="s">
        <v>104</v>
      </c>
      <c r="C99" s="350">
        <f>'9.mell.3.tábl.'!C97+'9.mell.7-tábl.'!C97</f>
        <v>0</v>
      </c>
      <c r="D99" s="350">
        <f>'9.mell.3.tábl.'!D97+'9.mell.7-tábl.'!D97</f>
        <v>0</v>
      </c>
      <c r="E99" s="350">
        <f>'9.mell.3.tábl.'!E97+'9.mell.7-tábl.'!E97</f>
        <v>0</v>
      </c>
      <c r="F99" s="291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'9.mell.3.tábl.'!C98+'9.mell.7-tábl.'!C98</f>
        <v>1550000</v>
      </c>
      <c r="D100" s="350">
        <f>'9.mell.3.tábl.'!D98+'9.mell.7-tábl.'!D98</f>
        <v>50000</v>
      </c>
      <c r="E100" s="350">
        <f>'9.mell.3.tábl.'!E98+'9.mell.7-tábl.'!E98</f>
        <v>0</v>
      </c>
      <c r="F100" s="291">
        <f t="shared" si="8"/>
        <v>50000</v>
      </c>
      <c r="G100" s="225">
        <f t="shared" si="9"/>
        <v>1600000</v>
      </c>
    </row>
    <row r="101" spans="1:7" ht="12" customHeight="1" x14ac:dyDescent="0.25">
      <c r="A101" s="9" t="s">
        <v>63</v>
      </c>
      <c r="B101" s="3" t="s">
        <v>305</v>
      </c>
      <c r="C101" s="350">
        <f>'9.mell.3.tábl.'!C99+'9.mell.7-tábl.'!C99</f>
        <v>0</v>
      </c>
      <c r="D101" s="350">
        <f>'9.mell.3.tábl.'!D99+'9.mell.7-tábl.'!D99</f>
        <v>0</v>
      </c>
      <c r="E101" s="350">
        <f>'9.mell.3.tábl.'!E99+'9.mell.7-tábl.'!E99</f>
        <v>0</v>
      </c>
      <c r="F101" s="291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50" t="s">
        <v>304</v>
      </c>
      <c r="C102" s="350">
        <f>'9.mell.3.tábl.'!C100+'9.mell.7-tábl.'!C100</f>
        <v>0</v>
      </c>
      <c r="D102" s="350">
        <f>'9.mell.3.tábl.'!D100+'9.mell.7-tábl.'!D100</f>
        <v>0</v>
      </c>
      <c r="E102" s="350">
        <f>'9.mell.3.tábl.'!E100+'9.mell.7-tábl.'!E100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'9.mell.3.tábl.'!C101+'9.mell.7-tábl.'!C101</f>
        <v>0</v>
      </c>
      <c r="D103" s="350">
        <f>'9.mell.3.tábl.'!D101+'9.mell.7-tábl.'!D101</f>
        <v>0</v>
      </c>
      <c r="E103" s="350">
        <f>'9.mell.3.tábl.'!E101+'9.mell.7-tábl.'!E101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'9.mell.3.tábl.'!C102+'9.mell.7-tábl.'!C102</f>
        <v>0</v>
      </c>
      <c r="D104" s="350">
        <f>'9.mell.3.tábl.'!D102+'9.mell.7-tábl.'!D102</f>
        <v>0</v>
      </c>
      <c r="E104" s="350">
        <f>'9.mell.3.tábl.'!E102+'9.mell.7-tábl.'!E102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'9.mell.3.tábl.'!C103+'9.mell.7-tábl.'!C103</f>
        <v>0</v>
      </c>
      <c r="D105" s="350">
        <f>'9.mell.3.tábl.'!D103+'9.mell.7-tábl.'!D103</f>
        <v>0</v>
      </c>
      <c r="E105" s="350">
        <f>'9.mell.3.tábl.'!E103+'9.mell.7-tábl.'!E103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'9.mell.3.tábl.'!C104+'9.mell.7-tábl.'!C104</f>
        <v>0</v>
      </c>
      <c r="D106" s="350">
        <f>'9.mell.3.tábl.'!D104+'9.mell.7-tábl.'!D104</f>
        <v>0</v>
      </c>
      <c r="E106" s="350">
        <f>'9.mell.3.tábl.'!E104+'9.mell.7-tábl.'!E104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'9.mell.3.tábl.'!C105+'9.mell.7-tábl.'!C105</f>
        <v>1100000</v>
      </c>
      <c r="D107" s="350">
        <f>'9.mell.3.tábl.'!D105+'9.mell.7-tábl.'!D105</f>
        <v>0</v>
      </c>
      <c r="E107" s="350">
        <f>'9.mell.3.tábl.'!E105+'9.mell.7-tábl.'!E105</f>
        <v>0</v>
      </c>
      <c r="F107" s="291">
        <f t="shared" si="8"/>
        <v>0</v>
      </c>
      <c r="G107" s="225">
        <f t="shared" si="9"/>
        <v>1100000</v>
      </c>
    </row>
    <row r="108" spans="1:7" ht="12" customHeight="1" x14ac:dyDescent="0.25">
      <c r="A108" s="9" t="s">
        <v>106</v>
      </c>
      <c r="B108" s="48" t="s">
        <v>241</v>
      </c>
      <c r="C108" s="350">
        <f>'9.mell.3.tábl.'!C106+'9.mell.7-tábl.'!C106</f>
        <v>0</v>
      </c>
      <c r="D108" s="350">
        <f>'9.mell.3.tábl.'!D106+'9.mell.7-tábl.'!D106</f>
        <v>0</v>
      </c>
      <c r="E108" s="350">
        <f>'9.mell.3.tábl.'!E106+'9.mell.7-tábl.'!E106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'9.mell.3.tábl.'!C107+'9.mell.7-tábl.'!C107</f>
        <v>0</v>
      </c>
      <c r="D109" s="350">
        <f>'9.mell.3.tábl.'!D107+'9.mell.7-tábl.'!D107</f>
        <v>0</v>
      </c>
      <c r="E109" s="350">
        <f>'9.mell.3.tábl.'!E107+'9.mell.7-tábl.'!E107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'9.mell.3.tábl.'!C108+'9.mell.7-tábl.'!C108</f>
        <v>0</v>
      </c>
      <c r="D110" s="350">
        <f>'9.mell.3.tábl.'!D108+'9.mell.7-tábl.'!D108</f>
        <v>0</v>
      </c>
      <c r="E110" s="350">
        <f>'9.mell.3.tábl.'!E108+'9.mell.7-tábl.'!E108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'9.mell.3.tábl.'!C109+'9.mell.7-tábl.'!C109</f>
        <v>0</v>
      </c>
      <c r="D111" s="350">
        <f>'9.mell.3.tábl.'!D109+'9.mell.7-tábl.'!D109</f>
        <v>0</v>
      </c>
      <c r="E111" s="350">
        <f>'9.mell.3.tábl.'!E109+'9.mell.7-tábl.'!E109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'9.mell.3.tábl.'!C110+'9.mell.7-tábl.'!C110</f>
        <v>450000</v>
      </c>
      <c r="D112" s="350">
        <f>'9.mell.3.tábl.'!D110+'9.mell.7-tábl.'!D110</f>
        <v>50000</v>
      </c>
      <c r="E112" s="350">
        <f>'9.mell.3.tábl.'!E110+'9.mell.7-tábl.'!E110</f>
        <v>0</v>
      </c>
      <c r="F112" s="291">
        <f t="shared" si="8"/>
        <v>50000</v>
      </c>
      <c r="G112" s="225">
        <f t="shared" si="9"/>
        <v>500000</v>
      </c>
    </row>
    <row r="113" spans="1:7" ht="12" customHeight="1" x14ac:dyDescent="0.25">
      <c r="A113" s="9" t="s">
        <v>306</v>
      </c>
      <c r="B113" s="6" t="s">
        <v>35</v>
      </c>
      <c r="C113" s="350">
        <f>'9.mell.3.tábl.'!C111+'9.mell.7-tábl.'!C111</f>
        <v>0</v>
      </c>
      <c r="D113" s="350">
        <f>'9.mell.3.tábl.'!D111+'9.mell.7-tábl.'!D111</f>
        <v>0</v>
      </c>
      <c r="E113" s="350">
        <f>'9.mell.3.tábl.'!E111+'9.mell.7-tábl.'!E111</f>
        <v>0</v>
      </c>
      <c r="F113" s="290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" t="s">
        <v>309</v>
      </c>
      <c r="C114" s="350">
        <f>'9.mell.3.tábl.'!C112+'9.mell.7-tábl.'!C112</f>
        <v>0</v>
      </c>
      <c r="D114" s="350">
        <f>'9.mell.3.tábl.'!D112+'9.mell.7-tábl.'!D112</f>
        <v>0</v>
      </c>
      <c r="E114" s="350">
        <f>'9.mell.3.tábl.'!E112+'9.mell.7-tábl.'!E112</f>
        <v>0</v>
      </c>
      <c r="F114" s="290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177" t="s">
        <v>310</v>
      </c>
      <c r="C115" s="356">
        <f>'9.mell.3.tábl.'!C113+'9.mell.7-tábl.'!C113</f>
        <v>0</v>
      </c>
      <c r="D115" s="353">
        <f>'9.mell.3.tábl.'!D113+'9.mell.7-tábl.'!D113</f>
        <v>0</v>
      </c>
      <c r="E115" s="355">
        <f>'9.mell.3.tábl.'!E113+'9.mell.7-tábl.'!E113</f>
        <v>0</v>
      </c>
      <c r="F115" s="292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25">
        <f>+C117+C119+C121</f>
        <v>0</v>
      </c>
      <c r="D116" s="125">
        <f>+D117+D119+D121</f>
        <v>1538000</v>
      </c>
      <c r="E116" s="186">
        <f>+E117+E119+E121</f>
        <v>0</v>
      </c>
      <c r="F116" s="186">
        <f>+F117+F119+F121</f>
        <v>1538000</v>
      </c>
      <c r="G116" s="181">
        <f>+G117+G119+G121</f>
        <v>1538000</v>
      </c>
    </row>
    <row r="117" spans="1:7" ht="12" customHeight="1" x14ac:dyDescent="0.25">
      <c r="A117" s="10" t="s">
        <v>65</v>
      </c>
      <c r="B117" s="3" t="s">
        <v>121</v>
      </c>
      <c r="C117" s="127">
        <f>'9.mell.3.tábl.'!C115+'9.mell.7-tábl.'!C115</f>
        <v>0</v>
      </c>
      <c r="D117" s="127">
        <f>'9.mell.3.tábl.'!D115+'9.mell.7-tábl.'!D115</f>
        <v>1538000</v>
      </c>
      <c r="E117" s="127">
        <f>'9.mell.3.tábl.'!E115+'9.mell.7-tábl.'!E115</f>
        <v>0</v>
      </c>
      <c r="F117" s="168">
        <f t="shared" ref="F117:F129" si="10">D117+E117</f>
        <v>1538000</v>
      </c>
      <c r="G117" s="167">
        <f t="shared" ref="G117:G129" si="11">C117+F117</f>
        <v>1538000</v>
      </c>
    </row>
    <row r="118" spans="1:7" ht="12" customHeight="1" x14ac:dyDescent="0.25">
      <c r="A118" s="10" t="s">
        <v>66</v>
      </c>
      <c r="B118" s="7" t="s">
        <v>250</v>
      </c>
      <c r="C118" s="127">
        <f>'9.mell.3.tábl.'!C116+'9.mell.7-tábl.'!C116</f>
        <v>0</v>
      </c>
      <c r="D118" s="127">
        <f>'9.mell.3.tábl.'!D116+'9.mell.7-tábl.'!D116</f>
        <v>0</v>
      </c>
      <c r="E118" s="127">
        <f>'9.mell.3.tábl.'!E116+'9.mell.7-tábl.'!E116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'9.mell.3.tábl.'!C117+'9.mell.7-tábl.'!C117</f>
        <v>0</v>
      </c>
      <c r="D119" s="127">
        <f>'9.mell.3.tábl.'!D117+'9.mell.7-tábl.'!D117</f>
        <v>0</v>
      </c>
      <c r="E119" s="127">
        <f>'9.mell.3.tábl.'!E117+'9.mell.7-tábl.'!E117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'9.mell.3.tábl.'!C118+'9.mell.7-tábl.'!C118</f>
        <v>0</v>
      </c>
      <c r="D120" s="127">
        <f>'9.mell.3.tábl.'!D118+'9.mell.7-tábl.'!D118</f>
        <v>0</v>
      </c>
      <c r="E120" s="127">
        <f>'9.mell.3.tábl.'!E118+'9.mell.7-tábl.'!E118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'9.mell.3.tábl.'!C119+'9.mell.7-tábl.'!C119</f>
        <v>0</v>
      </c>
      <c r="D121" s="127">
        <f>'9.mell.3.tábl.'!D119+'9.mell.7-tábl.'!D119</f>
        <v>0</v>
      </c>
      <c r="E121" s="127">
        <f>'9.mell.3.tábl.'!E119+'9.mell.7-tábl.'!E119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'9.mell.3.tábl.'!C120+'9.mell.7-tábl.'!C120</f>
        <v>0</v>
      </c>
      <c r="D122" s="127">
        <f>'9.mell.3.tábl.'!D120+'9.mell.7-tábl.'!D120</f>
        <v>0</v>
      </c>
      <c r="E122" s="127">
        <f>'9.mell.3.tábl.'!E120+'9.mell.7-tábl.'!E120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'9.mell.3.tábl.'!C121+'9.mell.7-tábl.'!C121</f>
        <v>0</v>
      </c>
      <c r="D123" s="127">
        <f>'9.mell.3.tábl.'!D121+'9.mell.7-tábl.'!D121</f>
        <v>0</v>
      </c>
      <c r="E123" s="127">
        <f>'9.mell.3.tábl.'!E121+'9.mell.7-tábl.'!E121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'9.mell.3.tábl.'!C122+'9.mell.7-tábl.'!C122</f>
        <v>0</v>
      </c>
      <c r="D124" s="127">
        <f>'9.mell.3.tábl.'!D122+'9.mell.7-tábl.'!D122</f>
        <v>0</v>
      </c>
      <c r="E124" s="127">
        <f>'9.mell.3.tábl.'!E122+'9.mell.7-tábl.'!E122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'9.mell.3.tábl.'!C123+'9.mell.7-tábl.'!C123</f>
        <v>0</v>
      </c>
      <c r="D125" s="127">
        <f>'9.mell.3.tábl.'!D123+'9.mell.7-tábl.'!D123</f>
        <v>0</v>
      </c>
      <c r="E125" s="127">
        <f>'9.mell.3.tábl.'!E123+'9.mell.7-tábl.'!E123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'9.mell.3.tábl.'!C124+'9.mell.7-tábl.'!C124</f>
        <v>0</v>
      </c>
      <c r="D126" s="127">
        <f>'9.mell.3.tábl.'!D124+'9.mell.7-tábl.'!D124</f>
        <v>0</v>
      </c>
      <c r="E126" s="127">
        <f>'9.mell.3.tábl.'!E124+'9.mell.7-tábl.'!E124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'9.mell.3.tábl.'!C125+'9.mell.7-tábl.'!C125</f>
        <v>0</v>
      </c>
      <c r="D127" s="127">
        <f>'9.mell.3.tábl.'!D125+'9.mell.7-tábl.'!D125</f>
        <v>0</v>
      </c>
      <c r="E127" s="127">
        <f>'9.mell.3.tábl.'!E125+'9.mell.7-tábl.'!E125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'9.mell.3.tábl.'!C126+'9.mell.7-tábl.'!C126</f>
        <v>0</v>
      </c>
      <c r="D128" s="127">
        <f>'9.mell.3.tábl.'!D126+'9.mell.7-tábl.'!D126</f>
        <v>0</v>
      </c>
      <c r="E128" s="127">
        <f>'9.mell.3.tábl.'!E126+'9.mell.7-tábl.'!E126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'9.mell.3.tábl.'!C127+'9.mell.7-tábl.'!C127</f>
        <v>0</v>
      </c>
      <c r="D129" s="127">
        <f>'9.mell.3.tábl.'!D127+'9.mell.7-tábl.'!D127</f>
        <v>0</v>
      </c>
      <c r="E129" s="127">
        <f>'9.mell.3.tábl.'!E127+'9.mell.7-tábl.'!E127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5231000</v>
      </c>
      <c r="D130" s="192">
        <f>+D95+D116</f>
        <v>1283000</v>
      </c>
      <c r="E130" s="125">
        <f>+E95+E116</f>
        <v>1000000</v>
      </c>
      <c r="F130" s="125">
        <f>+F95+F116</f>
        <v>2283000</v>
      </c>
      <c r="G130" s="70">
        <f>+G95+G116</f>
        <v>7514000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'9.mell.3.tábl.'!C130+'9.mell.7-tábl.'!C130</f>
        <v>0</v>
      </c>
      <c r="D132" s="126">
        <f>'9.mell.3.tábl.'!D130+'9.mell.7-tábl.'!D130</f>
        <v>0</v>
      </c>
      <c r="E132" s="126">
        <f>'9.mell.3.tábl.'!E130+'9.mell.7-tábl.'!E130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'9.mell.3.tábl.'!C131+'9.mell.7-tábl.'!C131</f>
        <v>0</v>
      </c>
      <c r="D133" s="126">
        <f>'9.mell.3.tábl.'!D131+'9.mell.7-tábl.'!D131</f>
        <v>0</v>
      </c>
      <c r="E133" s="126">
        <f>'9.mell.3.tábl.'!E131+'9.mell.7-tábl.'!E131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'9.mell.3.tábl.'!C132+'9.mell.7-tábl.'!C132</f>
        <v>0</v>
      </c>
      <c r="D134" s="126">
        <f>'9.mell.3.tábl.'!D132+'9.mell.7-tábl.'!D132</f>
        <v>0</v>
      </c>
      <c r="E134" s="126">
        <f>'9.mell.3.tábl.'!E132+'9.mell.7-tábl.'!E132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'9.mell.3.tábl.'!C134+'9.mell.3.tábl.'!C134</f>
        <v>0</v>
      </c>
      <c r="D136" s="126">
        <f>'9.mell.3.tábl.'!D134+'9.mell.3.tábl.'!D134</f>
        <v>0</v>
      </c>
      <c r="E136" s="126">
        <f>'9.mell.3.tábl.'!E134+'9.mell.3.tábl.'!E134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'9.mell.3.tábl.'!C135+'9.mell.3.tábl.'!C135</f>
        <v>0</v>
      </c>
      <c r="D137" s="126">
        <f>'9.mell.3.tábl.'!D135+'9.mell.3.tábl.'!D135</f>
        <v>0</v>
      </c>
      <c r="E137" s="126">
        <f>'9.mell.3.tábl.'!E135+'9.mell.3.tábl.'!E135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'9.mell.3.tábl.'!C136+'9.mell.3.tábl.'!C136</f>
        <v>0</v>
      </c>
      <c r="D138" s="126">
        <f>'9.mell.3.tábl.'!D136+'9.mell.3.tábl.'!D136</f>
        <v>0</v>
      </c>
      <c r="E138" s="126">
        <f>'9.mell.3.tábl.'!E136+'9.mell.3.tábl.'!E136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'9.mell.3.tábl.'!C137+'9.mell.3.tábl.'!C137</f>
        <v>0</v>
      </c>
      <c r="D139" s="126">
        <f>'9.mell.3.tábl.'!D137+'9.mell.3.tábl.'!D137</f>
        <v>0</v>
      </c>
      <c r="E139" s="126">
        <f>'9.mell.3.tábl.'!E137+'9.mell.3.tábl.'!E137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'9.mell.3.tábl.'!C138+'9.mell.3.tábl.'!C138</f>
        <v>0</v>
      </c>
      <c r="D140" s="126">
        <f>'9.mell.3.tábl.'!D138+'9.mell.3.tábl.'!D138</f>
        <v>0</v>
      </c>
      <c r="E140" s="126">
        <f>'9.mell.3.tábl.'!E138+'9.mell.3.tábl.'!E138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'9.mell.3.tábl.'!C139+'9.mell.3.tábl.'!C139</f>
        <v>0</v>
      </c>
      <c r="D141" s="126">
        <f>'9.mell.3.tábl.'!D139+'9.mell.3.tábl.'!D139</f>
        <v>0</v>
      </c>
      <c r="E141" s="126">
        <f>'9.mell.3.tábl.'!E139+'9.mell.3.tábl.'!E139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'9.mell.3.tábl.'!C141+'9.mell.7-tábl.'!C141</f>
        <v>0</v>
      </c>
      <c r="D143" s="126">
        <f>'9.mell.3.tábl.'!D141+'9.mell.7-tábl.'!D141</f>
        <v>0</v>
      </c>
      <c r="E143" s="126">
        <f>'9.mell.3.tábl.'!E141+'9.mell.7-tábl.'!E141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'9.mell.3.tábl.'!C142+'9.mell.7-tábl.'!C142</f>
        <v>0</v>
      </c>
      <c r="D144" s="126">
        <f>'9.mell.3.tábl.'!D142+'9.mell.7-tábl.'!D142</f>
        <v>0</v>
      </c>
      <c r="E144" s="126">
        <f>'9.mell.3.tábl.'!E142+'9.mell.7-tábl.'!E142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'9.mell.3.tábl.'!C144+'9.mell.7-tábl.'!C144</f>
        <v>0</v>
      </c>
      <c r="D145" s="126">
        <f>'9.mell.3.tábl.'!D144+'9.mell.7-tábl.'!D144</f>
        <v>0</v>
      </c>
      <c r="E145" s="126">
        <f>'9.mell.3.tábl.'!E144+'9.mell.7-tábl.'!E144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'9.mell.3.tábl.'!C145+'9.mell.7-tábl.'!C145</f>
        <v>0</v>
      </c>
      <c r="D146" s="126">
        <f>'9.mell.3.tábl.'!D145+'9.mell.7-tábl.'!D145</f>
        <v>0</v>
      </c>
      <c r="E146" s="126">
        <f>'9.mell.3.tábl.'!E145+'9.mell.7-tábl.'!E145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'9.mell.3.tábl.'!C147+'9.mell.3.tábl.'!C147</f>
        <v>0</v>
      </c>
      <c r="D148" s="126">
        <f>'9.mell.3.tábl.'!D147+'9.mell.3.tábl.'!D147</f>
        <v>0</v>
      </c>
      <c r="E148" s="126">
        <f>'9.mell.3.tábl.'!E147+'9.mell.3.tábl.'!E147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'9.mell.3.tábl.'!C148+'9.mell.3.tábl.'!C148</f>
        <v>0</v>
      </c>
      <c r="D149" s="126">
        <f>'9.mell.3.tábl.'!D148+'9.mell.3.tábl.'!D148</f>
        <v>0</v>
      </c>
      <c r="E149" s="126">
        <f>'9.mell.3.tábl.'!E148+'9.mell.3.tábl.'!E148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'9.mell.3.tábl.'!C149+'9.mell.3.tábl.'!C149</f>
        <v>0</v>
      </c>
      <c r="D150" s="126">
        <f>'9.mell.3.tábl.'!D149+'9.mell.3.tábl.'!D149</f>
        <v>0</v>
      </c>
      <c r="E150" s="126">
        <f>'9.mell.3.tábl.'!E149+'9.mell.3.tábl.'!E149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'9.mell.3.tábl.'!C150+'9.mell.3.tábl.'!C150</f>
        <v>0</v>
      </c>
      <c r="D151" s="126">
        <f>'9.mell.3.tábl.'!D150+'9.mell.3.tábl.'!D150</f>
        <v>0</v>
      </c>
      <c r="E151" s="126">
        <f>'9.mell.3.tábl.'!E150+'9.mell.3.tábl.'!E150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'9.mell.3.tábl.'!C151+'9.mell.3.tábl.'!C151</f>
        <v>0</v>
      </c>
      <c r="D152" s="126">
        <f>'9.mell.3.tábl.'!D151+'9.mell.3.tábl.'!D151</f>
        <v>0</v>
      </c>
      <c r="E152" s="126">
        <f>'9.mell.3.tábl.'!E151+'9.mell.3.tábl.'!E151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5231000</v>
      </c>
      <c r="D156" s="199">
        <f>+D130+D155</f>
        <v>1283000</v>
      </c>
      <c r="E156" s="189">
        <f>+E130+E155</f>
        <v>1000000</v>
      </c>
      <c r="F156" s="189">
        <f>+F130+F155</f>
        <v>2283000</v>
      </c>
      <c r="G156" s="183">
        <f>+G130+G155</f>
        <v>7514000</v>
      </c>
    </row>
    <row r="157" spans="1:11" ht="7.5" customHeight="1" x14ac:dyDescent="0.25"/>
    <row r="158" spans="1:11" x14ac:dyDescent="0.25">
      <c r="A158" s="727" t="s">
        <v>666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11931000</v>
      </c>
      <c r="D160" s="125">
        <f>+D64-D130</f>
        <v>-1283000</v>
      </c>
      <c r="E160" s="125">
        <f>+E64-E130</f>
        <v>-1000000</v>
      </c>
      <c r="F160" s="125">
        <f>+F64-F130</f>
        <v>-2283000</v>
      </c>
      <c r="G160" s="70">
        <f>+G64-G130</f>
        <v>9648000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3. SÁGVÁR KÖZSÉG ÖNKORMÁNYZATA
2020. ÉVI KÖLTSÉGVETÉS ÖNKÉNT VÁLLALT FELADATAINAK MÓDOSÍTOTT MÉRLEGE&amp;10
</oddHeader>
  </headerFooter>
  <rowBreaks count="2" manualBreakCount="2">
    <brk id="64" max="6" man="1"/>
    <brk id="8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667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'9.mell.4-tábl.'!C8+'9.mell.8-tábl.'!C8</f>
        <v>0</v>
      </c>
      <c r="D7" s="127">
        <f>'9.mell.4-tábl.'!D8+'9.mell.8-tábl.'!D8</f>
        <v>0</v>
      </c>
      <c r="E7" s="127">
        <f>'9.mell.4-tábl.'!E8+'9.mell.8-tábl.'!E8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'9.mell.4-tábl.'!C9+'9.mell.8-tábl.'!C9</f>
        <v>0</v>
      </c>
      <c r="D8" s="127">
        <f>'9.mell.4-tábl.'!D9+'9.mell.8-tábl.'!D9</f>
        <v>0</v>
      </c>
      <c r="E8" s="127">
        <f>'9.mell.4-tábl.'!E9+'9.mell.8-tábl.'!E9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'9.mell.4-tábl.'!C10+'9.mell.8-tábl.'!C10</f>
        <v>0</v>
      </c>
      <c r="D9" s="127">
        <f>'9.mell.4-tábl.'!D10+'9.mell.8-tábl.'!D10</f>
        <v>0</v>
      </c>
      <c r="E9" s="127">
        <f>'9.mell.4-tábl.'!E10+'9.mell.8-tábl.'!E10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'9.mell.4-tábl.'!C11+'9.mell.8-tábl.'!C11</f>
        <v>0</v>
      </c>
      <c r="D10" s="127">
        <f>'9.mell.4-tábl.'!D11+'9.mell.8-tábl.'!D11</f>
        <v>0</v>
      </c>
      <c r="E10" s="127">
        <f>'9.mell.4-tábl.'!E11+'9.mell.8-tábl.'!E11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'9.mell.4-tábl.'!C12+'9.mell.8-tábl.'!C12</f>
        <v>0</v>
      </c>
      <c r="D11" s="127">
        <f>'9.mell.4-tábl.'!D12+'9.mell.8-tábl.'!D12</f>
        <v>0</v>
      </c>
      <c r="E11" s="127">
        <f>'9.mell.4-tábl.'!E12+'9.mell.8-tábl.'!E12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'9.mell.4-tábl.'!C13+'9.mell.8-tábl.'!C13</f>
        <v>0</v>
      </c>
      <c r="D12" s="127">
        <f>'9.mell.4-tábl.'!D13+'9.mell.8-tábl.'!D13</f>
        <v>0</v>
      </c>
      <c r="E12" s="127">
        <f>'9.mell.4-tábl.'!E13+'9.mell.8-tábl.'!E13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'9.mell.4-tábl.'!C15+'9.mell.8-tábl.'!C15</f>
        <v>0</v>
      </c>
      <c r="D14" s="127">
        <f>'9.mell.4-tábl.'!D15+'9.mell.8-tábl.'!D15</f>
        <v>0</v>
      </c>
      <c r="E14" s="127">
        <f>'9.mell.4-tábl.'!E15+'9.mell.8-tábl.'!E15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'9.mell.4-tábl.'!C16+'9.mell.8-tábl.'!C16</f>
        <v>0</v>
      </c>
      <c r="D15" s="127">
        <f>'9.mell.4-tábl.'!D16+'9.mell.8-tábl.'!D16</f>
        <v>0</v>
      </c>
      <c r="E15" s="127">
        <f>'9.mell.4-tábl.'!E16+'9.mell.8-tábl.'!E16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'9.mell.4-tábl.'!C17+'9.mell.8-tábl.'!C17</f>
        <v>0</v>
      </c>
      <c r="D16" s="127">
        <f>'9.mell.4-tábl.'!D17+'9.mell.8-tábl.'!D17</f>
        <v>0</v>
      </c>
      <c r="E16" s="127">
        <f>'9.mell.4-tábl.'!E17+'9.mell.8-tábl.'!E17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'9.mell.4-tábl.'!C18+'9.mell.8-tábl.'!C18</f>
        <v>0</v>
      </c>
      <c r="D17" s="127">
        <f>'9.mell.4-tábl.'!D18+'9.mell.8-tábl.'!D18</f>
        <v>0</v>
      </c>
      <c r="E17" s="127">
        <f>'9.mell.4-tábl.'!E18+'9.mell.8-tábl.'!E18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'9.mell.4-tábl.'!C19+'9.mell.8-tábl.'!C19</f>
        <v>0</v>
      </c>
      <c r="D18" s="127">
        <f>'9.mell.4-tábl.'!D19+'9.mell.8-tábl.'!D19</f>
        <v>0</v>
      </c>
      <c r="E18" s="127">
        <f>'9.mell.4-tábl.'!E19+'9.mell.8-tábl.'!E19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'9.mell.4-tábl.'!C20+'9.mell.8-tábl.'!C20</f>
        <v>0</v>
      </c>
      <c r="D19" s="127">
        <f>'9.mell.4-tábl.'!D20+'9.mell.8-tábl.'!D20</f>
        <v>0</v>
      </c>
      <c r="E19" s="127">
        <f>'9.mell.4-tábl.'!E20+'9.mell.8-tábl.'!E20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'9.mell.4-tábl.'!C22+'9.mell.8-tábl.'!C22</f>
        <v>0</v>
      </c>
      <c r="D21" s="127">
        <f>'9.mell.4-tábl.'!D22+'9.mell.8-tábl.'!D22</f>
        <v>0</v>
      </c>
      <c r="E21" s="127">
        <f>'9.mell.4-tábl.'!E22+'9.mell.8-tábl.'!E22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'9.mell.4-tábl.'!C23+'9.mell.8-tábl.'!C23</f>
        <v>0</v>
      </c>
      <c r="D22" s="127">
        <f>'9.mell.4-tábl.'!D23+'9.mell.8-tábl.'!D23</f>
        <v>0</v>
      </c>
      <c r="E22" s="127">
        <f>'9.mell.4-tábl.'!E23+'9.mell.8-tábl.'!E23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'9.mell.4-tábl.'!C24+'9.mell.8-tábl.'!C24</f>
        <v>0</v>
      </c>
      <c r="D23" s="127">
        <f>'9.mell.4-tábl.'!D24+'9.mell.8-tábl.'!D24</f>
        <v>0</v>
      </c>
      <c r="E23" s="127">
        <f>'9.mell.4-tábl.'!E24+'9.mell.8-tábl.'!E24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'9.mell.4-tábl.'!C25+'9.mell.8-tábl.'!C25</f>
        <v>0</v>
      </c>
      <c r="D24" s="127">
        <f>'9.mell.4-tábl.'!D25+'9.mell.8-tábl.'!D25</f>
        <v>0</v>
      </c>
      <c r="E24" s="127">
        <f>'9.mell.4-tábl.'!E25+'9.mell.8-tábl.'!E25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'9.mell.4-tábl.'!C26+'9.mell.8-tábl.'!C26</f>
        <v>0</v>
      </c>
      <c r="D25" s="127">
        <f>'9.mell.4-tábl.'!D26+'9.mell.8-tábl.'!D26</f>
        <v>0</v>
      </c>
      <c r="E25" s="127">
        <f>'9.mell.4-tábl.'!E26+'9.mell.8-tábl.'!E26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'9.mell.4-tábl.'!C27+'9.mell.8-tábl.'!C27</f>
        <v>0</v>
      </c>
      <c r="D26" s="127">
        <f>'9.mell.4-tábl.'!D27+'9.mell.8-tábl.'!D27</f>
        <v>0</v>
      </c>
      <c r="E26" s="127">
        <f>'9.mell.4-tábl.'!E27+'9.mell.8-tábl.'!E27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'9.mell.4-tábl.'!C29+'9.mell.8-tábl.'!C29</f>
        <v>0</v>
      </c>
      <c r="D28" s="168">
        <f>'9.mell.4-tábl.'!D29+'9.mell.8-tábl.'!D29</f>
        <v>0</v>
      </c>
      <c r="E28" s="168">
        <f>'9.mell.4-tábl.'!E29+'9.mell.8-tábl.'!E29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'9.mell.4-tábl.'!C30+'9.mell.8-tábl.'!C30</f>
        <v>0</v>
      </c>
      <c r="D29" s="168">
        <f>'9.mell.4-tábl.'!D30+'9.mell.8-tábl.'!D30</f>
        <v>0</v>
      </c>
      <c r="E29" s="168">
        <f>'9.mell.4-tábl.'!E30+'9.mell.8-tábl.'!E30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'9.mell.4-tábl.'!C31+'9.mell.8-tábl.'!C31</f>
        <v>0</v>
      </c>
      <c r="D30" s="168">
        <f>'9.mell.4-tábl.'!D31+'9.mell.8-tábl.'!D31</f>
        <v>0</v>
      </c>
      <c r="E30" s="168">
        <f>'9.mell.4-tábl.'!E31+'9.mell.8-tábl.'!E31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'9.mell.4-tábl.'!C32+'9.mell.8-tábl.'!C32</f>
        <v>0</v>
      </c>
      <c r="D31" s="168">
        <f>'9.mell.4-tábl.'!D32+'9.mell.8-tábl.'!D32</f>
        <v>0</v>
      </c>
      <c r="E31" s="168">
        <f>'9.mell.4-tábl.'!E32+'9.mell.8-tábl.'!E32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'9.mell.4-tábl.'!C33+'9.mell.8-tábl.'!C33</f>
        <v>0</v>
      </c>
      <c r="D32" s="168">
        <f>'9.mell.4-tábl.'!D33+'9.mell.8-tábl.'!D33</f>
        <v>0</v>
      </c>
      <c r="E32" s="168">
        <f>'9.mell.4-tábl.'!E33+'9.mell.8-tábl.'!E33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'9.mell.4-tábl.'!C34+'9.mell.8-tábl.'!C34</f>
        <v>0</v>
      </c>
      <c r="D33" s="168">
        <f>'9.mell.4-tábl.'!D34+'9.mell.8-tábl.'!D34</f>
        <v>0</v>
      </c>
      <c r="E33" s="168">
        <f>'9.mell.4-tábl.'!E34+'9.mell.8-tábl.'!E34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'9.mell.4-tábl.'!C35+'9.mell.8-tábl.'!C35</f>
        <v>0</v>
      </c>
      <c r="D34" s="168">
        <f>'9.mell.4-tábl.'!D35+'9.mell.8-tábl.'!D35</f>
        <v>0</v>
      </c>
      <c r="E34" s="168">
        <f>'9.mell.4-tábl.'!E35+'9.mell.8-tábl.'!E35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'9.mell.4-tábl.'!C36+'9.mell.8-tábl.'!C36</f>
        <v>0</v>
      </c>
      <c r="D35" s="168">
        <f>'9.mell.4-tábl.'!D36+'9.mell.8-tábl.'!D36</f>
        <v>0</v>
      </c>
      <c r="E35" s="168">
        <f>'9.mell.4-tábl.'!E36+'9.mell.8-tábl.'!E36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'9.mell.4-tábl.'!C38+'9.mell.8-tábl.'!C38</f>
        <v>0</v>
      </c>
      <c r="D37" s="127">
        <f>'9.mell.4-tábl.'!D38+'9.mell.8-tábl.'!D38</f>
        <v>0</v>
      </c>
      <c r="E37" s="127">
        <f>'9.mell.4-tábl.'!E38+'9.mell.8-tábl.'!E38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'9.mell.4-tábl.'!C39+'9.mell.8-tábl.'!C39</f>
        <v>0</v>
      </c>
      <c r="D38" s="127">
        <f>'9.mell.4-tábl.'!D39+'9.mell.8-tábl.'!D39</f>
        <v>0</v>
      </c>
      <c r="E38" s="127">
        <f>'9.mell.4-tábl.'!E39+'9.mell.8-tábl.'!E39</f>
        <v>0</v>
      </c>
      <c r="F38" s="168">
        <f t="shared" si="1"/>
        <v>0</v>
      </c>
      <c r="G38" s="167">
        <f t="shared" si="5"/>
        <v>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'9.mell.4-tábl.'!C40+'9.mell.8-tábl.'!C40</f>
        <v>0</v>
      </c>
      <c r="D39" s="127">
        <f>'9.mell.4-tábl.'!D40+'9.mell.8-tábl.'!D40</f>
        <v>0</v>
      </c>
      <c r="E39" s="127">
        <f>'9.mell.4-tábl.'!E40+'9.mell.8-tábl.'!E40</f>
        <v>0</v>
      </c>
      <c r="F39" s="168">
        <f t="shared" si="1"/>
        <v>0</v>
      </c>
      <c r="G39" s="167">
        <f t="shared" si="5"/>
        <v>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'9.mell.4-tábl.'!C41+'9.mell.8-tábl.'!C41</f>
        <v>0</v>
      </c>
      <c r="D40" s="127">
        <f>'9.mell.4-tábl.'!D41+'9.mell.8-tábl.'!D41</f>
        <v>0</v>
      </c>
      <c r="E40" s="127">
        <f>'9.mell.4-tábl.'!E41+'9.mell.8-tábl.'!E41</f>
        <v>0</v>
      </c>
      <c r="F40" s="168">
        <f t="shared" si="1"/>
        <v>0</v>
      </c>
      <c r="G40" s="167">
        <f t="shared" si="5"/>
        <v>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'9.mell.4-tábl.'!C42+'9.mell.8-tábl.'!C42</f>
        <v>0</v>
      </c>
      <c r="D41" s="127">
        <f>'9.mell.4-tábl.'!D42+'9.mell.8-tábl.'!D42</f>
        <v>0</v>
      </c>
      <c r="E41" s="127">
        <f>'9.mell.4-tábl.'!E42+'9.mell.8-tábl.'!E42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'9.mell.4-tábl.'!C43+'9.mell.8-tábl.'!C43</f>
        <v>0</v>
      </c>
      <c r="D42" s="127">
        <f>'9.mell.4-tábl.'!D43+'9.mell.8-tábl.'!D43</f>
        <v>0</v>
      </c>
      <c r="E42" s="127">
        <f>'9.mell.4-tábl.'!E43+'9.mell.8-tábl.'!E43</f>
        <v>0</v>
      </c>
      <c r="F42" s="168">
        <f t="shared" si="1"/>
        <v>0</v>
      </c>
      <c r="G42" s="167">
        <f t="shared" si="5"/>
        <v>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'9.mell.4-tábl.'!C44+'9.mell.8-tábl.'!C44</f>
        <v>0</v>
      </c>
      <c r="D43" s="127">
        <f>'9.mell.4-tábl.'!D44+'9.mell.8-tábl.'!D44</f>
        <v>0</v>
      </c>
      <c r="E43" s="127">
        <f>'9.mell.4-tábl.'!E44+'9.mell.8-tábl.'!E44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'9.mell.4-tábl.'!C45+'9.mell.8-tábl.'!C45</f>
        <v>0</v>
      </c>
      <c r="D44" s="127">
        <f>'9.mell.4-tábl.'!D45+'9.mell.8-tábl.'!D45</f>
        <v>0</v>
      </c>
      <c r="E44" s="127">
        <f>'9.mell.4-tábl.'!E45+'9.mell.8-tábl.'!E45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'9.mell.4-tábl.'!C46+'9.mell.8-tábl.'!C46</f>
        <v>0</v>
      </c>
      <c r="D45" s="127">
        <f>'9.mell.4-tábl.'!D46+'9.mell.8-tábl.'!D46</f>
        <v>0</v>
      </c>
      <c r="E45" s="127">
        <f>'9.mell.4-tábl.'!E46+'9.mell.8-tábl.'!E46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'9.mell.4-tábl.'!C47+'9.mell.8-tábl.'!C47</f>
        <v>0</v>
      </c>
      <c r="D46" s="127">
        <f>'9.mell.4-tábl.'!D47+'9.mell.8-tábl.'!D47</f>
        <v>0</v>
      </c>
      <c r="E46" s="127">
        <f>'9.mell.4-tábl.'!E47+'9.mell.8-tábl.'!E47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'9.mell.4-tábl.'!C48+'9.mell.8-tábl.'!C48</f>
        <v>0</v>
      </c>
      <c r="D47" s="127">
        <f>'9.mell.4-tábl.'!D48+'9.mell.8-tábl.'!D48</f>
        <v>0</v>
      </c>
      <c r="E47" s="127">
        <f>'9.mell.4-tábl.'!E48+'9.mell.8-tábl.'!E48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'9.mell.4-tábl.'!C50+'9.mell.8-tábl.'!C50</f>
        <v>0</v>
      </c>
      <c r="D49" s="169">
        <f>'9.mell.4-tábl.'!D50+'9.mell.8-tábl.'!D50</f>
        <v>0</v>
      </c>
      <c r="E49" s="169">
        <f>'9.mell.4-tábl.'!E50+'9.mell.8-tábl.'!E50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'9.mell.4-tábl.'!C51+'9.mell.8-tábl.'!C51</f>
        <v>0</v>
      </c>
      <c r="D50" s="169">
        <f>'9.mell.4-tábl.'!D51+'9.mell.8-tábl.'!D51</f>
        <v>0</v>
      </c>
      <c r="E50" s="169">
        <f>'9.mell.4-tábl.'!E51+'9.mell.8-tábl.'!E51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'9.mell.4-tábl.'!C52+'9.mell.8-tábl.'!C52</f>
        <v>0</v>
      </c>
      <c r="D51" s="169">
        <f>'9.mell.4-tábl.'!D52+'9.mell.8-tábl.'!D52</f>
        <v>0</v>
      </c>
      <c r="E51" s="169">
        <f>'9.mell.4-tábl.'!E52+'9.mell.8-tábl.'!E52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'9.mell.4-tábl.'!C53+'9.mell.8-tábl.'!C53</f>
        <v>0</v>
      </c>
      <c r="D52" s="169">
        <f>'9.mell.4-tábl.'!D53+'9.mell.8-tábl.'!D53</f>
        <v>0</v>
      </c>
      <c r="E52" s="169">
        <f>'9.mell.4-tábl.'!E53+'9.mell.8-tábl.'!E53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'9.mell.4-tábl.'!C54+'9.mell.8-tábl.'!C54</f>
        <v>0</v>
      </c>
      <c r="D53" s="169">
        <f>'9.mell.4-tábl.'!D54+'9.mell.8-tábl.'!D54</f>
        <v>0</v>
      </c>
      <c r="E53" s="169">
        <f>'9.mell.4-tábl.'!E54+'9.mell.8-tábl.'!E54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'9.mell.4-tábl.'!C56+'9.mell.8-tábl.'!C56</f>
        <v>0</v>
      </c>
      <c r="D55" s="127">
        <f>'9.mell.4-tábl.'!D56+'9.mell.8-tábl.'!D56</f>
        <v>0</v>
      </c>
      <c r="E55" s="127">
        <f>'9.mell.4-tábl.'!E56+'9.mell.8-tábl.'!E56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'9.mell.4-tábl.'!C57+'9.mell.8-tábl.'!C57</f>
        <v>0</v>
      </c>
      <c r="D56" s="127">
        <f>'9.mell.4-tábl.'!D57+'9.mell.8-tábl.'!D57</f>
        <v>0</v>
      </c>
      <c r="E56" s="127">
        <f>'9.mell.4-tábl.'!E57+'9.mell.8-tábl.'!E57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'9.mell.4-tábl.'!C58+'9.mell.8-tábl.'!C58</f>
        <v>0</v>
      </c>
      <c r="D57" s="127">
        <f>'9.mell.4-tábl.'!D58+'9.mell.8-tábl.'!D58</f>
        <v>0</v>
      </c>
      <c r="E57" s="127">
        <f>'9.mell.4-tábl.'!E58+'9.mell.8-tábl.'!E58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'9.mell.4-tábl.'!C59+'9.mell.8-tábl.'!C59</f>
        <v>0</v>
      </c>
      <c r="D58" s="127">
        <f>'9.mell.4-tábl.'!D59+'9.mell.8-tábl.'!D59</f>
        <v>0</v>
      </c>
      <c r="E58" s="127">
        <f>'9.mell.4-tábl.'!E59+'9.mell.8-tábl.'!E59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'9.mell.4-tábl.'!C61+'9.mell.8-tábl.'!C61</f>
        <v>0</v>
      </c>
      <c r="D60" s="129">
        <f>'9.mell.4-tábl.'!D61+'9.mell.8-tábl.'!D61</f>
        <v>0</v>
      </c>
      <c r="E60" s="129">
        <f>'9.mell.4-tábl.'!E61+'9.mell.8-tábl.'!E61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'9.mell.4-tábl.'!C62+'9.mell.8-tábl.'!C62</f>
        <v>0</v>
      </c>
      <c r="D61" s="129">
        <f>'9.mell.4-tábl.'!D62+'9.mell.8-tábl.'!D62</f>
        <v>0</v>
      </c>
      <c r="E61" s="129">
        <f>'9.mell.4-tábl.'!E62+'9.mell.8-tábl.'!E62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'9.mell.4-tábl.'!C63+'9.mell.8-tábl.'!C63</f>
        <v>0</v>
      </c>
      <c r="D62" s="129">
        <f>'9.mell.4-tábl.'!D63+'9.mell.8-tábl.'!D63</f>
        <v>0</v>
      </c>
      <c r="E62" s="129">
        <f>'9.mell.4-tábl.'!E63+'9.mell.8-tábl.'!E63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'9.mell.4-tábl.'!C64+'9.mell.8-tábl.'!C64</f>
        <v>0</v>
      </c>
      <c r="D63" s="129">
        <f>'9.mell.4-tábl.'!D64+'9.mell.8-tábl.'!D64</f>
        <v>0</v>
      </c>
      <c r="E63" s="129">
        <f>'9.mell.4-tábl.'!E64+'9.mell.8-tábl.'!E64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'9.mell.4-tábl.'!C67+'9.mell.8-tábl.'!C67</f>
        <v>0</v>
      </c>
      <c r="D66" s="129">
        <f>'9.mell.4-tábl.'!D67+'9.mell.8-tábl.'!D67</f>
        <v>0</v>
      </c>
      <c r="E66" s="129">
        <f>'9.mell.4-tábl.'!E67+'9.mell.8-tábl.'!E67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'9.mell.4-tábl.'!C68+'9.mell.8-tábl.'!C68</f>
        <v>0</v>
      </c>
      <c r="D67" s="129">
        <f>'9.mell.4-tábl.'!D68+'9.mell.8-tábl.'!D68</f>
        <v>0</v>
      </c>
      <c r="E67" s="129">
        <f>'9.mell.4-tábl.'!E68+'9.mell.8-tábl.'!E68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'9.mell.4-tábl.'!C69+'9.mell.8-tábl.'!C69</f>
        <v>0</v>
      </c>
      <c r="D68" s="261">
        <f>'9.mell.4-tábl.'!D69+'9.mell.8-tábl.'!D69</f>
        <v>0</v>
      </c>
      <c r="E68" s="261">
        <f>'9.mell.4-tábl.'!E69+'9.mell.8-tábl.'!E69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'9.mell.4-tábl.'!C71+'9.mell.8-tábl.'!C71</f>
        <v>0</v>
      </c>
      <c r="D70" s="129">
        <f>'9.mell.4-tábl.'!D71+'9.mell.8-tábl.'!D71</f>
        <v>0</v>
      </c>
      <c r="E70" s="129">
        <f>'9.mell.4-tábl.'!E71+'9.mell.8-tábl.'!E71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'9.mell.4-tábl.'!C72+'9.mell.8-tábl.'!C72</f>
        <v>0</v>
      </c>
      <c r="D71" s="129">
        <f>'9.mell.4-tábl.'!D72+'9.mell.8-tábl.'!D72</f>
        <v>0</v>
      </c>
      <c r="E71" s="129">
        <f>'9.mell.4-tábl.'!E72+'9.mell.8-tábl.'!E72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'9.mell.4-tábl.'!C73+'9.mell.8-tábl.'!C73</f>
        <v>0</v>
      </c>
      <c r="D72" s="129">
        <f>'9.mell.4-tábl.'!D73+'9.mell.8-tábl.'!D73</f>
        <v>0</v>
      </c>
      <c r="E72" s="129">
        <f>'9.mell.4-tábl.'!E73+'9.mell.8-tábl.'!E73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'9.mell.4-tábl.'!C74+'9.mell.8-tábl.'!C74</f>
        <v>0</v>
      </c>
      <c r="D73" s="129">
        <f>'9.mell.4-tábl.'!D74+'9.mell.8-tábl.'!D74</f>
        <v>0</v>
      </c>
      <c r="E73" s="129">
        <f>'9.mell.4-tábl.'!E74+'9.mell.8-tábl.'!E74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'9.mell.4-tábl.'!C76+'9.mell.8-tábl.'!C76</f>
        <v>0</v>
      </c>
      <c r="D75" s="129">
        <f>'9.mell.4-tábl.'!D76+'9.mell.8-tábl.'!D76</f>
        <v>0</v>
      </c>
      <c r="E75" s="129">
        <f>'9.mell.4-tábl.'!E76+'9.mell.8-tábl.'!E76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'9.mell.4-tábl.'!C77+'9.mell.8-tábl.'!C77</f>
        <v>0</v>
      </c>
      <c r="D76" s="129">
        <f>'9.mell.4-tábl.'!D77+'9.mell.8-tábl.'!D77</f>
        <v>0</v>
      </c>
      <c r="E76" s="129">
        <f>'9.mell.4-tábl.'!E77+'9.mell.8-tábl.'!E77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'9.mell.4-tábl.'!C79+'9.mell.8-tábl.'!C80</f>
        <v>0</v>
      </c>
      <c r="D78" s="129">
        <f>'9.mell.4-tábl.'!D79+'9.mell.8-tábl.'!D80</f>
        <v>0</v>
      </c>
      <c r="E78" s="129">
        <f>'9.mell.4-tábl.'!E79+'9.mell.8-tábl.'!E80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'9.mell.4-tábl.'!C80+'9.mell.8-tábl.'!C81</f>
        <v>0</v>
      </c>
      <c r="D79" s="129">
        <f>'9.mell.4-tábl.'!D80+'9.mell.8-tábl.'!D81</f>
        <v>0</v>
      </c>
      <c r="E79" s="129">
        <f>'9.mell.4-tábl.'!E80+'9.mell.8-tábl.'!E81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'9.mell.4-tábl.'!C81+'9.mell.8-tábl.'!C82</f>
        <v>0</v>
      </c>
      <c r="D80" s="129">
        <f>'9.mell.4-tábl.'!D81+'9.mell.8-tábl.'!D82</f>
        <v>0</v>
      </c>
      <c r="E80" s="129">
        <f>'9.mell.4-tábl.'!E81+'9.mell.8-tábl.'!E82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'9.mell.4-tábl.'!C83+'9.mell.8-tábl.'!C84</f>
        <v>0</v>
      </c>
      <c r="D82" s="129">
        <f>'9.mell.4-tábl.'!D83+'9.mell.8-tábl.'!D84</f>
        <v>0</v>
      </c>
      <c r="E82" s="129">
        <f>'9.mell.4-tábl.'!E83+'9.mell.8-tábl.'!E84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'9.mell.4-tábl.'!C84+'9.mell.8-tábl.'!C85</f>
        <v>0</v>
      </c>
      <c r="D83" s="129">
        <f>'9.mell.4-tábl.'!D84+'9.mell.8-tábl.'!D85</f>
        <v>0</v>
      </c>
      <c r="E83" s="129">
        <f>'9.mell.4-tábl.'!E84+'9.mell.8-tábl.'!E85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'9.mell.4-tábl.'!C85+'9.mell.8-tábl.'!C86</f>
        <v>0</v>
      </c>
      <c r="D84" s="129">
        <f>'9.mell.4-tábl.'!D85+'9.mell.8-tábl.'!D86</f>
        <v>0</v>
      </c>
      <c r="E84" s="129">
        <f>'9.mell.4-tábl.'!E85+'9.mell.8-tábl.'!E86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'9.mell.4-tábl.'!C86+'9.mell.8-tábl.'!C87</f>
        <v>0</v>
      </c>
      <c r="D85" s="129">
        <f>'9.mell.4-tábl.'!D86+'9.mell.8-tábl.'!D87</f>
        <v>0</v>
      </c>
      <c r="E85" s="129">
        <f>'9.mell.4-tábl.'!E86+'9.mell.8-tábl.'!E87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0</v>
      </c>
    </row>
    <row r="90" spans="1:7" ht="16.5" customHeight="1" x14ac:dyDescent="0.25">
      <c r="A90" s="716" t="s">
        <v>668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426000</v>
      </c>
      <c r="D95" s="125">
        <f>D96+D97+D98+D99+D100+D113</f>
        <v>0</v>
      </c>
      <c r="E95" s="125">
        <f>E96+E97+E98+E99+E100+E113</f>
        <v>0</v>
      </c>
      <c r="F95" s="124">
        <f>F96+F97+F98+F99+F100+F113</f>
        <v>0</v>
      </c>
      <c r="G95" s="262">
        <f>G96+G97+G98+G99+G100+G113</f>
        <v>426000</v>
      </c>
    </row>
    <row r="96" spans="1:7" ht="12" customHeight="1" x14ac:dyDescent="0.25">
      <c r="A96" s="12" t="s">
        <v>59</v>
      </c>
      <c r="B96" s="357" t="s">
        <v>34</v>
      </c>
      <c r="C96" s="353">
        <f>'9.mell.4-tábl.'!C93+'9.mell.8-tábl.'!C94</f>
        <v>200000</v>
      </c>
      <c r="D96" s="353">
        <f>'9.mell.4-tábl.'!D93+'9.mell.8-tábl.'!D94</f>
        <v>0</v>
      </c>
      <c r="E96" s="353">
        <f>'9.mell.4-tábl.'!E93+'9.mell.8-tábl.'!E94</f>
        <v>0</v>
      </c>
      <c r="F96" s="364">
        <f t="shared" ref="F96:F115" si="8">D96+E96</f>
        <v>0</v>
      </c>
      <c r="G96" s="228">
        <f t="shared" ref="G96:G115" si="9">C96+F96</f>
        <v>200000</v>
      </c>
    </row>
    <row r="97" spans="1:7" ht="12" customHeight="1" x14ac:dyDescent="0.25">
      <c r="A97" s="9" t="s">
        <v>60</v>
      </c>
      <c r="B97" s="358" t="s">
        <v>103</v>
      </c>
      <c r="C97" s="350">
        <f>'9.mell.4-tábl.'!C94+'9.mell.8-tábl.'!C95</f>
        <v>35000</v>
      </c>
      <c r="D97" s="350">
        <f>'9.mell.4-tábl.'!D94+'9.mell.8-tábl.'!D95</f>
        <v>0</v>
      </c>
      <c r="E97" s="350">
        <f>'9.mell.4-tábl.'!E94+'9.mell.8-tábl.'!E95</f>
        <v>0</v>
      </c>
      <c r="F97" s="365">
        <f t="shared" si="8"/>
        <v>0</v>
      </c>
      <c r="G97" s="224">
        <f t="shared" si="9"/>
        <v>35000</v>
      </c>
    </row>
    <row r="98" spans="1:7" ht="12" customHeight="1" x14ac:dyDescent="0.25">
      <c r="A98" s="9" t="s">
        <v>61</v>
      </c>
      <c r="B98" s="358" t="s">
        <v>78</v>
      </c>
      <c r="C98" s="350">
        <f>'9.mell.4-tábl.'!C95+'9.mell.8-tábl.'!C96</f>
        <v>191000</v>
      </c>
      <c r="D98" s="350">
        <f>'9.mell.4-tábl.'!D95+'9.mell.8-tábl.'!D96</f>
        <v>0</v>
      </c>
      <c r="E98" s="350">
        <f>'9.mell.4-tábl.'!E95+'9.mell.8-tábl.'!E96</f>
        <v>0</v>
      </c>
      <c r="F98" s="366">
        <f t="shared" si="8"/>
        <v>0</v>
      </c>
      <c r="G98" s="225">
        <f t="shared" si="9"/>
        <v>191000</v>
      </c>
    </row>
    <row r="99" spans="1:7" ht="12" customHeight="1" x14ac:dyDescent="0.25">
      <c r="A99" s="9" t="s">
        <v>62</v>
      </c>
      <c r="B99" s="359" t="s">
        <v>104</v>
      </c>
      <c r="C99" s="350">
        <f>'9.mell.4-tábl.'!C96+'9.mell.8-tábl.'!C97</f>
        <v>0</v>
      </c>
      <c r="D99" s="350">
        <f>'9.mell.4-tábl.'!D96+'9.mell.8-tábl.'!D97</f>
        <v>0</v>
      </c>
      <c r="E99" s="350">
        <f>'9.mell.4-tábl.'!E96+'9.mell.8-tábl.'!E97</f>
        <v>0</v>
      </c>
      <c r="F99" s="366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'9.mell.4-tábl.'!C97+'9.mell.8-tábl.'!C98</f>
        <v>0</v>
      </c>
      <c r="D100" s="350">
        <f>'9.mell.4-tábl.'!D97+'9.mell.8-tábl.'!D98</f>
        <v>0</v>
      </c>
      <c r="E100" s="350">
        <f>'9.mell.4-tábl.'!E97+'9.mell.8-tábl.'!E98</f>
        <v>0</v>
      </c>
      <c r="F100" s="366">
        <f t="shared" si="8"/>
        <v>0</v>
      </c>
      <c r="G100" s="225">
        <f t="shared" si="9"/>
        <v>0</v>
      </c>
    </row>
    <row r="101" spans="1:7" ht="12" customHeight="1" x14ac:dyDescent="0.25">
      <c r="A101" s="9" t="s">
        <v>63</v>
      </c>
      <c r="B101" s="358" t="s">
        <v>305</v>
      </c>
      <c r="C101" s="350">
        <f>'9.mell.4-tábl.'!C98+'9.mell.8-tábl.'!C99</f>
        <v>0</v>
      </c>
      <c r="D101" s="350">
        <f>'9.mell.4-tábl.'!D98+'9.mell.8-tábl.'!D99</f>
        <v>0</v>
      </c>
      <c r="E101" s="350">
        <f>'9.mell.4-tábl.'!E98+'9.mell.8-tábl.'!E99</f>
        <v>0</v>
      </c>
      <c r="F101" s="366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360" t="s">
        <v>304</v>
      </c>
      <c r="C102" s="350">
        <f>'9.mell.4-tábl.'!C99+'9.mell.8-tábl.'!C100</f>
        <v>0</v>
      </c>
      <c r="D102" s="350">
        <f>'9.mell.4-tábl.'!D99+'9.mell.8-tábl.'!D100</f>
        <v>0</v>
      </c>
      <c r="E102" s="350">
        <f>'9.mell.4-tábl.'!E99+'9.mell.8-tábl.'!E100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'9.mell.4-tábl.'!C100+'9.mell.8-tábl.'!C101</f>
        <v>0</v>
      </c>
      <c r="D103" s="350">
        <f>'9.mell.4-tábl.'!D100+'9.mell.8-tábl.'!D101</f>
        <v>0</v>
      </c>
      <c r="E103" s="350">
        <f>'9.mell.4-tábl.'!E100+'9.mell.8-tábl.'!E101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'9.mell.4-tábl.'!C101+'9.mell.8-tábl.'!C102</f>
        <v>0</v>
      </c>
      <c r="D104" s="350">
        <f>'9.mell.4-tábl.'!D101+'9.mell.8-tábl.'!D102</f>
        <v>0</v>
      </c>
      <c r="E104" s="350">
        <f>'9.mell.4-tábl.'!E101+'9.mell.8-tábl.'!E102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'9.mell.4-tábl.'!C102+'9.mell.8-tábl.'!C103</f>
        <v>0</v>
      </c>
      <c r="D105" s="350">
        <f>'9.mell.4-tábl.'!D102+'9.mell.8-tábl.'!D103</f>
        <v>0</v>
      </c>
      <c r="E105" s="350">
        <f>'9.mell.4-tábl.'!E102+'9.mell.8-tábl.'!E103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'9.mell.4-tábl.'!C103+'9.mell.8-tábl.'!C104</f>
        <v>0</v>
      </c>
      <c r="D106" s="350">
        <f>'9.mell.4-tábl.'!D103+'9.mell.8-tábl.'!D104</f>
        <v>0</v>
      </c>
      <c r="E106" s="350">
        <f>'9.mell.4-tábl.'!E103+'9.mell.8-tábl.'!E104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'9.mell.4-tábl.'!C104+'9.mell.8-tábl.'!C105</f>
        <v>0</v>
      </c>
      <c r="D107" s="350">
        <f>'9.mell.4-tábl.'!D104+'9.mell.8-tábl.'!D105</f>
        <v>0</v>
      </c>
      <c r="E107" s="350">
        <f>'9.mell.4-tábl.'!E104+'9.mell.8-tábl.'!E105</f>
        <v>0</v>
      </c>
      <c r="F107" s="366">
        <f t="shared" si="8"/>
        <v>0</v>
      </c>
      <c r="G107" s="225">
        <f t="shared" si="9"/>
        <v>0</v>
      </c>
    </row>
    <row r="108" spans="1:7" ht="12" customHeight="1" x14ac:dyDescent="0.25">
      <c r="A108" s="9" t="s">
        <v>106</v>
      </c>
      <c r="B108" s="361" t="s">
        <v>241</v>
      </c>
      <c r="C108" s="350">
        <f>'9.mell.4-tábl.'!C105+'9.mell.8-tábl.'!C106</f>
        <v>0</v>
      </c>
      <c r="D108" s="350">
        <f>'9.mell.4-tábl.'!D105+'9.mell.8-tábl.'!D106</f>
        <v>0</v>
      </c>
      <c r="E108" s="350">
        <f>'9.mell.4-tábl.'!E105+'9.mell.8-tábl.'!E106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'9.mell.4-tábl.'!C106+'9.mell.8-tábl.'!C107</f>
        <v>0</v>
      </c>
      <c r="D109" s="350">
        <f>'9.mell.4-tábl.'!D106+'9.mell.8-tábl.'!D107</f>
        <v>0</v>
      </c>
      <c r="E109" s="350">
        <f>'9.mell.4-tábl.'!E106+'9.mell.8-tábl.'!E107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'9.mell.4-tábl.'!C107+'9.mell.8-tábl.'!C108</f>
        <v>0</v>
      </c>
      <c r="D110" s="350">
        <f>'9.mell.4-tábl.'!D107+'9.mell.8-tábl.'!D108</f>
        <v>0</v>
      </c>
      <c r="E110" s="350">
        <f>'9.mell.4-tábl.'!E107+'9.mell.8-tábl.'!E108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'9.mell.4-tábl.'!C108+'9.mell.8-tábl.'!C109</f>
        <v>0</v>
      </c>
      <c r="D111" s="350">
        <f>'9.mell.4-tábl.'!D108+'9.mell.8-tábl.'!D109</f>
        <v>0</v>
      </c>
      <c r="E111" s="350">
        <f>'9.mell.4-tábl.'!E108+'9.mell.8-tábl.'!E109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'9.mell.4-tábl.'!C109+'9.mell.8-tábl.'!C110</f>
        <v>0</v>
      </c>
      <c r="D112" s="350">
        <f>'9.mell.4-tábl.'!D109+'9.mell.8-tábl.'!D110</f>
        <v>0</v>
      </c>
      <c r="E112" s="350">
        <f>'9.mell.4-tábl.'!E109+'9.mell.8-tábl.'!E110</f>
        <v>0</v>
      </c>
      <c r="F112" s="366">
        <f t="shared" si="8"/>
        <v>0</v>
      </c>
      <c r="G112" s="225">
        <f t="shared" si="9"/>
        <v>0</v>
      </c>
    </row>
    <row r="113" spans="1:7" ht="12" customHeight="1" x14ac:dyDescent="0.25">
      <c r="A113" s="9" t="s">
        <v>306</v>
      </c>
      <c r="B113" s="359" t="s">
        <v>35</v>
      </c>
      <c r="C113" s="350">
        <f>'9.mell.4-tábl.'!C110+'9.mell.8-tábl.'!C111</f>
        <v>0</v>
      </c>
      <c r="D113" s="350">
        <f>'9.mell.4-tábl.'!D110+'9.mell.8-tábl.'!D111</f>
        <v>0</v>
      </c>
      <c r="E113" s="350">
        <f>'9.mell.4-tábl.'!E110+'9.mell.8-tábl.'!E111</f>
        <v>0</v>
      </c>
      <c r="F113" s="365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58" t="s">
        <v>309</v>
      </c>
      <c r="C114" s="350">
        <f>'9.mell.4-tábl.'!C111+'9.mell.8-tábl.'!C112</f>
        <v>0</v>
      </c>
      <c r="D114" s="350">
        <f>'9.mell.4-tábl.'!D111+'9.mell.8-tábl.'!D112</f>
        <v>0</v>
      </c>
      <c r="E114" s="350">
        <f>'9.mell.4-tábl.'!E111+'9.mell.8-tábl.'!E112</f>
        <v>0</v>
      </c>
      <c r="F114" s="365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'9.mell.4-tábl.'!C112+'9.mell.8-tábl.'!C113</f>
        <v>0</v>
      </c>
      <c r="D115" s="355">
        <f>'9.mell.4-tábl.'!D112+'9.mell.8-tábl.'!D113</f>
        <v>0</v>
      </c>
      <c r="E115" s="355">
        <f>'9.mell.4-tábl.'!E112+'9.mell.8-tábl.'!E113</f>
        <v>0</v>
      </c>
      <c r="F115" s="367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0</v>
      </c>
      <c r="D116" s="186">
        <f>+D117+D119+D121</f>
        <v>0</v>
      </c>
      <c r="E116" s="186">
        <f>+E117+E119+E121</f>
        <v>0</v>
      </c>
      <c r="F116" s="186">
        <f>+F117+F119+F121</f>
        <v>0</v>
      </c>
      <c r="G116" s="181">
        <f>+G117+G119+G121</f>
        <v>0</v>
      </c>
    </row>
    <row r="117" spans="1:7" ht="12" customHeight="1" x14ac:dyDescent="0.25">
      <c r="A117" s="10" t="s">
        <v>65</v>
      </c>
      <c r="B117" s="3" t="s">
        <v>121</v>
      </c>
      <c r="C117" s="127">
        <f>'9.mell.4-tábl.'!C114+'9.mell.8-tábl.'!C115</f>
        <v>0</v>
      </c>
      <c r="D117" s="127">
        <f>'9.mell.4-tábl.'!D114+'9.mell.8-tábl.'!D115</f>
        <v>0</v>
      </c>
      <c r="E117" s="127">
        <f>'9.mell.4-tábl.'!E114+'9.mell.8-tábl.'!E115</f>
        <v>0</v>
      </c>
      <c r="F117" s="168">
        <f t="shared" ref="F117:F129" si="10">D117+E117</f>
        <v>0</v>
      </c>
      <c r="G117" s="167">
        <f t="shared" ref="G117:G129" si="11">C117+F117</f>
        <v>0</v>
      </c>
    </row>
    <row r="118" spans="1:7" ht="12" customHeight="1" x14ac:dyDescent="0.25">
      <c r="A118" s="10" t="s">
        <v>66</v>
      </c>
      <c r="B118" s="7" t="s">
        <v>250</v>
      </c>
      <c r="C118" s="127">
        <f>'9.mell.4-tábl.'!C115+'9.mell.8-tábl.'!C116</f>
        <v>0</v>
      </c>
      <c r="D118" s="127">
        <f>'9.mell.4-tábl.'!D115+'9.mell.8-tábl.'!D116</f>
        <v>0</v>
      </c>
      <c r="E118" s="127">
        <f>'9.mell.4-tábl.'!E115+'9.mell.8-tábl.'!E116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'9.mell.4-tábl.'!C116+'9.mell.8-tábl.'!C117</f>
        <v>0</v>
      </c>
      <c r="D119" s="127">
        <f>'9.mell.4-tábl.'!D116+'9.mell.8-tábl.'!D117</f>
        <v>0</v>
      </c>
      <c r="E119" s="127">
        <f>'9.mell.4-tábl.'!E116+'9.mell.8-tábl.'!E117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'9.mell.4-tábl.'!C117+'9.mell.8-tábl.'!C118</f>
        <v>0</v>
      </c>
      <c r="D120" s="127">
        <f>'9.mell.4-tábl.'!D117+'9.mell.8-tábl.'!D118</f>
        <v>0</v>
      </c>
      <c r="E120" s="127">
        <f>'9.mell.4-tábl.'!E117+'9.mell.8-tábl.'!E118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'9.mell.4-tábl.'!C118+'9.mell.8-tábl.'!C119</f>
        <v>0</v>
      </c>
      <c r="D121" s="127">
        <f>'9.mell.4-tábl.'!D118+'9.mell.8-tábl.'!D119</f>
        <v>0</v>
      </c>
      <c r="E121" s="127">
        <f>'9.mell.4-tábl.'!E118+'9.mell.8-tábl.'!E119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'9.mell.4-tábl.'!C119+'9.mell.8-tábl.'!C120</f>
        <v>0</v>
      </c>
      <c r="D122" s="127">
        <f>'9.mell.4-tábl.'!D119+'9.mell.8-tábl.'!D120</f>
        <v>0</v>
      </c>
      <c r="E122" s="127">
        <f>'9.mell.4-tábl.'!E119+'9.mell.8-tábl.'!E120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'9.mell.4-tábl.'!C120+'9.mell.8-tábl.'!C121</f>
        <v>0</v>
      </c>
      <c r="D123" s="127">
        <f>'9.mell.4-tábl.'!D120+'9.mell.8-tábl.'!D121</f>
        <v>0</v>
      </c>
      <c r="E123" s="127">
        <f>'9.mell.4-tábl.'!E120+'9.mell.8-tábl.'!E121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'9.mell.4-tábl.'!C121+'9.mell.8-tábl.'!C122</f>
        <v>0</v>
      </c>
      <c r="D124" s="127">
        <f>'9.mell.4-tábl.'!D121+'9.mell.8-tábl.'!D122</f>
        <v>0</v>
      </c>
      <c r="E124" s="127">
        <f>'9.mell.4-tábl.'!E121+'9.mell.8-tábl.'!E122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'9.mell.4-tábl.'!C122+'9.mell.8-tábl.'!C123</f>
        <v>0</v>
      </c>
      <c r="D125" s="127">
        <f>'9.mell.4-tábl.'!D122+'9.mell.8-tábl.'!D123</f>
        <v>0</v>
      </c>
      <c r="E125" s="127">
        <f>'9.mell.4-tábl.'!E122+'9.mell.8-tábl.'!E123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'9.mell.4-tábl.'!C123+'9.mell.8-tábl.'!C124</f>
        <v>0</v>
      </c>
      <c r="D126" s="127">
        <f>'9.mell.4-tábl.'!D123+'9.mell.8-tábl.'!D124</f>
        <v>0</v>
      </c>
      <c r="E126" s="127">
        <f>'9.mell.4-tábl.'!E123+'9.mell.8-tábl.'!E124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'9.mell.4-tábl.'!C124+'9.mell.8-tábl.'!C125</f>
        <v>0</v>
      </c>
      <c r="D127" s="127">
        <f>'9.mell.4-tábl.'!D124+'9.mell.8-tábl.'!D125</f>
        <v>0</v>
      </c>
      <c r="E127" s="127">
        <f>'9.mell.4-tábl.'!E124+'9.mell.8-tábl.'!E125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'9.mell.4-tábl.'!C125+'9.mell.8-tábl.'!C126</f>
        <v>0</v>
      </c>
      <c r="D128" s="127">
        <f>'9.mell.4-tábl.'!D125+'9.mell.8-tábl.'!D126</f>
        <v>0</v>
      </c>
      <c r="E128" s="127">
        <f>'9.mell.4-tábl.'!E125+'9.mell.8-tábl.'!E126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'9.mell.4-tábl.'!C126+'9.mell.8-tábl.'!C127</f>
        <v>0</v>
      </c>
      <c r="D129" s="127">
        <f>'9.mell.4-tábl.'!D126+'9.mell.8-tábl.'!D127</f>
        <v>0</v>
      </c>
      <c r="E129" s="127">
        <f>'9.mell.4-tábl.'!E126+'9.mell.8-tábl.'!E127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426000</v>
      </c>
      <c r="D130" s="192">
        <f>+D95+D116</f>
        <v>0</v>
      </c>
      <c r="E130" s="125">
        <f>+E95+E116</f>
        <v>0</v>
      </c>
      <c r="F130" s="125">
        <f>+F95+F116</f>
        <v>0</v>
      </c>
      <c r="G130" s="70">
        <f>+G95+G116</f>
        <v>426000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'9.mell.4-tábl.'!C129+'9.mell.8-tábl.'!C130</f>
        <v>0</v>
      </c>
      <c r="D132" s="126">
        <f>'9.mell.4-tábl.'!D129+'9.mell.8-tábl.'!D130</f>
        <v>0</v>
      </c>
      <c r="E132" s="126">
        <f>'9.mell.4-tábl.'!E129+'9.mell.8-tábl.'!E130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'9.mell.4-tábl.'!C130+'9.mell.8-tábl.'!C131</f>
        <v>0</v>
      </c>
      <c r="D133" s="126">
        <f>'9.mell.4-tábl.'!D130+'9.mell.8-tábl.'!D131</f>
        <v>0</v>
      </c>
      <c r="E133" s="126">
        <f>'9.mell.4-tábl.'!E130+'9.mell.8-tábl.'!E131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'9.mell.4-tábl.'!C131+'9.mell.8-tábl.'!C132</f>
        <v>0</v>
      </c>
      <c r="D134" s="126">
        <f>'9.mell.4-tábl.'!D131+'9.mell.8-tábl.'!D132</f>
        <v>0</v>
      </c>
      <c r="E134" s="126">
        <f>'9.mell.4-tábl.'!E131+'9.mell.8-tábl.'!E132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'9.mell.4-tábl.'!C133+'9.mell.8-tábl.'!C134</f>
        <v>0</v>
      </c>
      <c r="D136" s="126">
        <f>'9.mell.4-tábl.'!D133+'9.mell.8-tábl.'!D134</f>
        <v>0</v>
      </c>
      <c r="E136" s="126">
        <f>'9.mell.4-tábl.'!E133+'9.mell.8-tábl.'!E134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'9.mell.4-tábl.'!C134+'9.mell.8-tábl.'!C135</f>
        <v>0</v>
      </c>
      <c r="D137" s="126">
        <f>'9.mell.4-tábl.'!D134+'9.mell.8-tábl.'!D135</f>
        <v>0</v>
      </c>
      <c r="E137" s="126">
        <f>'9.mell.4-tábl.'!E134+'9.mell.8-tábl.'!E135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'9.mell.4-tábl.'!C135+'9.mell.8-tábl.'!C136</f>
        <v>0</v>
      </c>
      <c r="D138" s="126">
        <f>'9.mell.4-tábl.'!D135+'9.mell.8-tábl.'!D136</f>
        <v>0</v>
      </c>
      <c r="E138" s="126">
        <f>'9.mell.4-tábl.'!E135+'9.mell.8-tábl.'!E136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'9.mell.4-tábl.'!C136+'9.mell.8-tábl.'!C137</f>
        <v>0</v>
      </c>
      <c r="D139" s="126">
        <f>'9.mell.4-tábl.'!D136+'9.mell.8-tábl.'!D137</f>
        <v>0</v>
      </c>
      <c r="E139" s="126">
        <f>'9.mell.4-tábl.'!E136+'9.mell.8-tábl.'!E137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'9.mell.4-tábl.'!C137+'9.mell.8-tábl.'!C138</f>
        <v>0</v>
      </c>
      <c r="D140" s="126">
        <f>'9.mell.4-tábl.'!D137+'9.mell.8-tábl.'!D138</f>
        <v>0</v>
      </c>
      <c r="E140" s="126">
        <f>'9.mell.4-tábl.'!E137+'9.mell.8-tábl.'!E138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'9.mell.4-tábl.'!C138+'9.mell.8-tábl.'!C139</f>
        <v>0</v>
      </c>
      <c r="D141" s="126">
        <f>'9.mell.4-tábl.'!D138+'9.mell.8-tábl.'!D139</f>
        <v>0</v>
      </c>
      <c r="E141" s="126">
        <f>'9.mell.4-tábl.'!E138+'9.mell.8-tábl.'!E139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'9.mell.4-tábl.'!C140+'9.mell.8-tábl.'!C141</f>
        <v>0</v>
      </c>
      <c r="D143" s="126">
        <f>'9.mell.4-tábl.'!D140+'9.mell.8-tábl.'!D141</f>
        <v>0</v>
      </c>
      <c r="E143" s="126">
        <f>'9.mell.4-tábl.'!E140+'9.mell.8-tábl.'!E141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'9.mell.4-tábl.'!C141+'9.mell.8-tábl.'!C142</f>
        <v>0</v>
      </c>
      <c r="D144" s="126">
        <f>'9.mell.4-tábl.'!D141+'9.mell.8-tábl.'!D142</f>
        <v>0</v>
      </c>
      <c r="E144" s="126">
        <f>'9.mell.4-tábl.'!E141+'9.mell.8-tábl.'!E142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'9.mell.4-tábl.'!C143+'9.mell.8-tábl.'!C144</f>
        <v>0</v>
      </c>
      <c r="D145" s="126">
        <f>'9.mell.4-tábl.'!D143+'9.mell.8-tábl.'!D144</f>
        <v>0</v>
      </c>
      <c r="E145" s="126">
        <f>'9.mell.4-tábl.'!E143+'9.mell.8-tábl.'!E144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'9.mell.4-tábl.'!C144+'9.mell.8-tábl.'!C145</f>
        <v>0</v>
      </c>
      <c r="D146" s="126">
        <f>'9.mell.4-tábl.'!D144+'9.mell.8-tábl.'!D145</f>
        <v>0</v>
      </c>
      <c r="E146" s="126">
        <f>'9.mell.4-tábl.'!E144+'9.mell.8-tábl.'!E145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'9.mell.4-tábl.'!C146+'9.mell.8-tábl.'!C147</f>
        <v>0</v>
      </c>
      <c r="D148" s="126">
        <f>'9.mell.4-tábl.'!D146+'9.mell.8-tábl.'!D147</f>
        <v>0</v>
      </c>
      <c r="E148" s="126">
        <f>'9.mell.4-tábl.'!E146+'9.mell.8-tábl.'!E147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'9.mell.4-tábl.'!C147+'9.mell.8-tábl.'!C148</f>
        <v>0</v>
      </c>
      <c r="D149" s="126">
        <f>'9.mell.4-tábl.'!D147+'9.mell.8-tábl.'!D148</f>
        <v>0</v>
      </c>
      <c r="E149" s="126">
        <f>'9.mell.4-tábl.'!E147+'9.mell.8-tábl.'!E148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'9.mell.4-tábl.'!C148+'9.mell.8-tábl.'!C149</f>
        <v>0</v>
      </c>
      <c r="D150" s="126">
        <f>'9.mell.4-tábl.'!D148+'9.mell.8-tábl.'!D149</f>
        <v>0</v>
      </c>
      <c r="E150" s="126">
        <f>'9.mell.4-tábl.'!E148+'9.mell.8-tábl.'!E149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'9.mell.4-tábl.'!C149+'9.mell.8-tábl.'!C150</f>
        <v>0</v>
      </c>
      <c r="D151" s="126">
        <f>'9.mell.4-tábl.'!D149+'9.mell.8-tábl.'!D150</f>
        <v>0</v>
      </c>
      <c r="E151" s="126">
        <f>'9.mell.4-tábl.'!E149+'9.mell.8-tábl.'!E150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'9.mell.4-tábl.'!C150+'9.mell.8-tábl.'!C151</f>
        <v>0</v>
      </c>
      <c r="D152" s="126">
        <f>'9.mell.4-tábl.'!D150+'9.mell.8-tábl.'!D151</f>
        <v>0</v>
      </c>
      <c r="E152" s="126">
        <f>'9.mell.4-tábl.'!E150+'9.mell.8-tábl.'!E151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426000</v>
      </c>
      <c r="D156" s="199">
        <f>+D130+D155</f>
        <v>0</v>
      </c>
      <c r="E156" s="189">
        <f>+E130+E155</f>
        <v>0</v>
      </c>
      <c r="F156" s="189">
        <f>+F130+F155</f>
        <v>0</v>
      </c>
      <c r="G156" s="183">
        <f>+G130+G155</f>
        <v>426000</v>
      </c>
    </row>
    <row r="157" spans="1:11" ht="7.5" customHeight="1" x14ac:dyDescent="0.25"/>
    <row r="158" spans="1:11" x14ac:dyDescent="0.25">
      <c r="A158" s="727" t="s">
        <v>669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-426000</v>
      </c>
      <c r="D160" s="125">
        <f>+D64-D130</f>
        <v>0</v>
      </c>
      <c r="E160" s="125">
        <f>+E64-E130</f>
        <v>0</v>
      </c>
      <c r="F160" s="125">
        <f>+F64-F130</f>
        <v>0</v>
      </c>
      <c r="G160" s="70">
        <f>+G64-G130</f>
        <v>-426000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4. SÁGVÁR KÖZSÉG ÖNKORMÁNYZATA
2020. ÉVI KÖLTSÉGVETÉS ÁLLAMIGAZGATÁSI FELADATOK MÓDOSÍTOTT MÉRLEGE&amp;10
</oddHeader>
  </headerFooter>
  <rowBreaks count="2" manualBreakCount="2">
    <brk id="64" max="6" man="1"/>
    <brk id="89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7"/>
  <sheetViews>
    <sheetView view="pageLayout" zoomScale="80" zoomScaleNormal="100" zoomScaleSheetLayoutView="100" zoomScalePageLayoutView="80" workbookViewId="0">
      <selection activeCell="I2" sqref="I2"/>
    </sheetView>
  </sheetViews>
  <sheetFormatPr defaultRowHeight="12.75" x14ac:dyDescent="0.2"/>
  <cols>
    <col min="1" max="1" width="6.83203125" style="30" customWidth="1"/>
    <col min="2" max="2" width="48" style="53" customWidth="1"/>
    <col min="3" max="5" width="15.5" style="30" customWidth="1"/>
    <col min="6" max="6" width="55.1640625" style="30" customWidth="1"/>
    <col min="7" max="9" width="15.5" style="30" customWidth="1"/>
    <col min="10" max="16384" width="9.33203125" style="30"/>
  </cols>
  <sheetData>
    <row r="1" spans="1:9" ht="39.75" customHeight="1" x14ac:dyDescent="0.2">
      <c r="B1" s="82" t="s">
        <v>87</v>
      </c>
      <c r="C1" s="83"/>
      <c r="D1" s="83"/>
      <c r="E1" s="83"/>
      <c r="F1" s="83"/>
      <c r="G1" s="83"/>
      <c r="H1" s="83"/>
      <c r="I1" s="83"/>
    </row>
    <row r="2" spans="1:9" ht="14.25" thickBot="1" x14ac:dyDescent="0.25">
      <c r="G2" s="84"/>
      <c r="H2" s="84"/>
      <c r="I2" s="84"/>
    </row>
    <row r="3" spans="1:9" ht="18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42.75" customHeight="1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92" customFormat="1" ht="12" customHeight="1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259</v>
      </c>
      <c r="C6" s="76">
        <f>'1.mell.1.tábl.'!C6</f>
        <v>185588582</v>
      </c>
      <c r="D6" s="76">
        <f>'1.mell.1.tábl.'!F6</f>
        <v>20707616</v>
      </c>
      <c r="E6" s="230">
        <f>C6+D6</f>
        <v>206296198</v>
      </c>
      <c r="F6" s="94" t="s">
        <v>41</v>
      </c>
      <c r="G6" s="76">
        <f>'1.mell.1.tábl.'!C96</f>
        <v>147553500</v>
      </c>
      <c r="H6" s="76">
        <f>'1.mell.1.tábl.'!F96</f>
        <v>3186000</v>
      </c>
      <c r="I6" s="234">
        <f>G6+H6</f>
        <v>150739500</v>
      </c>
    </row>
    <row r="7" spans="1:9" ht="12.95" customHeight="1" x14ac:dyDescent="0.2">
      <c r="A7" s="95" t="s">
        <v>6</v>
      </c>
      <c r="B7" s="96" t="s">
        <v>260</v>
      </c>
      <c r="C7" s="77">
        <f>'1.mell.1.tábl.'!C13</f>
        <v>81199000</v>
      </c>
      <c r="D7" s="76">
        <f>'1.mell.1.tábl.'!F13</f>
        <v>-2638700</v>
      </c>
      <c r="E7" s="230">
        <f t="shared" ref="E7:E20" si="0">C7+D7</f>
        <v>78560300</v>
      </c>
      <c r="F7" s="96" t="s">
        <v>103</v>
      </c>
      <c r="G7" s="77">
        <f>'1.mell.1.tábl.'!C97</f>
        <v>26445000</v>
      </c>
      <c r="H7" s="77">
        <f>'1.mell.1.tábl.'!F97</f>
        <v>-979000</v>
      </c>
      <c r="I7" s="234">
        <f t="shared" ref="I7:I19" si="1">G7+H7</f>
        <v>25466000</v>
      </c>
    </row>
    <row r="8" spans="1:9" ht="12.95" customHeight="1" x14ac:dyDescent="0.2">
      <c r="A8" s="95" t="s">
        <v>7</v>
      </c>
      <c r="B8" s="96" t="s">
        <v>281</v>
      </c>
      <c r="C8" s="77">
        <f>'1.mell.1.tábl.'!C19</f>
        <v>32055000</v>
      </c>
      <c r="D8" s="76">
        <f>'1.mell.1.tábl.'!F19</f>
        <v>0</v>
      </c>
      <c r="E8" s="230">
        <f t="shared" si="0"/>
        <v>32055000</v>
      </c>
      <c r="F8" s="96" t="s">
        <v>125</v>
      </c>
      <c r="G8" s="77">
        <f>'1.mell.1.tábl.'!C98</f>
        <v>152882000</v>
      </c>
      <c r="H8" s="77">
        <f>'1.mell.1.tábl.'!F98</f>
        <v>8483115</v>
      </c>
      <c r="I8" s="234">
        <f t="shared" si="1"/>
        <v>161365115</v>
      </c>
    </row>
    <row r="9" spans="1:9" ht="12.95" customHeight="1" x14ac:dyDescent="0.2">
      <c r="A9" s="95" t="s">
        <v>8</v>
      </c>
      <c r="B9" s="96"/>
      <c r="C9" s="77"/>
      <c r="D9" s="76"/>
      <c r="E9" s="658"/>
      <c r="F9" s="96" t="s">
        <v>621</v>
      </c>
      <c r="G9" s="77"/>
      <c r="H9" s="77">
        <v>325200</v>
      </c>
      <c r="I9" s="234">
        <f t="shared" si="1"/>
        <v>325200</v>
      </c>
    </row>
    <row r="10" spans="1:9" ht="12.95" customHeight="1" x14ac:dyDescent="0.2">
      <c r="A10" s="95" t="s">
        <v>9</v>
      </c>
      <c r="B10" s="96" t="s">
        <v>94</v>
      </c>
      <c r="C10" s="77">
        <f>'1.mell.1.tábl.'!C27</f>
        <v>75900000</v>
      </c>
      <c r="D10" s="76">
        <f>'1.mell.1.tábl.'!F27</f>
        <v>-6500000</v>
      </c>
      <c r="E10" s="386">
        <f t="shared" si="0"/>
        <v>69400000</v>
      </c>
      <c r="F10" s="385" t="s">
        <v>104</v>
      </c>
      <c r="G10" s="77">
        <f>'1.mell.1.tábl.'!C99</f>
        <v>5390000</v>
      </c>
      <c r="H10" s="77">
        <f>'1.mell.1.tábl.'!F99</f>
        <v>-385200</v>
      </c>
      <c r="I10" s="386">
        <f t="shared" si="1"/>
        <v>5004800</v>
      </c>
    </row>
    <row r="11" spans="1:9" ht="12.95" customHeight="1" x14ac:dyDescent="0.2">
      <c r="A11" s="95" t="s">
        <v>10</v>
      </c>
      <c r="B11" s="97" t="s">
        <v>287</v>
      </c>
      <c r="C11" s="77">
        <f>'1.mell.1.tábl.'!C36</f>
        <v>36542000</v>
      </c>
      <c r="D11" s="76">
        <f>'1.mell.1.tábl.'!F36</f>
        <v>0</v>
      </c>
      <c r="E11" s="387">
        <f t="shared" si="0"/>
        <v>36542000</v>
      </c>
      <c r="F11" s="388" t="s">
        <v>476</v>
      </c>
      <c r="G11" s="77">
        <v>80000</v>
      </c>
      <c r="H11" s="389">
        <v>-40000</v>
      </c>
      <c r="I11" s="386">
        <f t="shared" si="1"/>
        <v>40000</v>
      </c>
    </row>
    <row r="12" spans="1:9" ht="12.95" customHeight="1" x14ac:dyDescent="0.2">
      <c r="A12" s="95" t="s">
        <v>11</v>
      </c>
      <c r="B12" s="96" t="s">
        <v>261</v>
      </c>
      <c r="C12" s="78">
        <f>'1.mell.1.tábl.'!C54</f>
        <v>100000</v>
      </c>
      <c r="D12" s="76">
        <f>'1.mell.1.tábl.'!F54</f>
        <v>0</v>
      </c>
      <c r="E12" s="387">
        <f t="shared" si="0"/>
        <v>100000</v>
      </c>
      <c r="F12" s="388" t="s">
        <v>477</v>
      </c>
      <c r="G12" s="77">
        <v>80000</v>
      </c>
      <c r="H12" s="389">
        <f>72000-2000</f>
        <v>70000</v>
      </c>
      <c r="I12" s="386">
        <f t="shared" si="1"/>
        <v>150000</v>
      </c>
    </row>
    <row r="13" spans="1:9" ht="12.95" customHeight="1" x14ac:dyDescent="0.2">
      <c r="A13" s="95" t="s">
        <v>12</v>
      </c>
      <c r="B13" s="96" t="s">
        <v>344</v>
      </c>
      <c r="C13" s="77"/>
      <c r="D13" s="77"/>
      <c r="E13" s="387">
        <f t="shared" si="0"/>
        <v>0</v>
      </c>
      <c r="F13" s="388" t="s">
        <v>478</v>
      </c>
      <c r="G13" s="77">
        <v>500000</v>
      </c>
      <c r="H13" s="389">
        <v>-104000</v>
      </c>
      <c r="I13" s="386">
        <f t="shared" si="1"/>
        <v>396000</v>
      </c>
    </row>
    <row r="14" spans="1:9" ht="12.95" customHeight="1" x14ac:dyDescent="0.2">
      <c r="A14" s="95" t="s">
        <v>13</v>
      </c>
      <c r="B14" s="383"/>
      <c r="C14" s="77"/>
      <c r="D14" s="77"/>
      <c r="E14" s="386">
        <f t="shared" si="0"/>
        <v>0</v>
      </c>
      <c r="F14" s="388" t="s">
        <v>479</v>
      </c>
      <c r="G14" s="77">
        <v>600000</v>
      </c>
      <c r="H14" s="389">
        <f>-276000+6000</f>
        <v>-270000</v>
      </c>
      <c r="I14" s="386">
        <f t="shared" si="1"/>
        <v>330000</v>
      </c>
    </row>
    <row r="15" spans="1:9" ht="12.95" customHeight="1" x14ac:dyDescent="0.2">
      <c r="A15" s="95" t="s">
        <v>14</v>
      </c>
      <c r="B15" s="383"/>
      <c r="C15" s="78"/>
      <c r="D15" s="78"/>
      <c r="E15" s="387"/>
      <c r="F15" s="388" t="s">
        <v>480</v>
      </c>
      <c r="G15" s="77">
        <v>1495000</v>
      </c>
      <c r="H15" s="389">
        <f>-60000-325200-6000-560000+100000</f>
        <v>-851200</v>
      </c>
      <c r="I15" s="386">
        <f t="shared" si="1"/>
        <v>643800</v>
      </c>
    </row>
    <row r="16" spans="1:9" ht="12.95" customHeight="1" x14ac:dyDescent="0.2">
      <c r="A16" s="95" t="s">
        <v>15</v>
      </c>
      <c r="B16" s="383"/>
      <c r="C16" s="78"/>
      <c r="D16" s="78"/>
      <c r="E16" s="387"/>
      <c r="F16" s="388" t="s">
        <v>481</v>
      </c>
      <c r="G16" s="77">
        <v>400000</v>
      </c>
      <c r="H16" s="389">
        <v>-360000</v>
      </c>
      <c r="I16" s="386">
        <f t="shared" si="1"/>
        <v>40000</v>
      </c>
    </row>
    <row r="17" spans="1:9" ht="12.95" customHeight="1" x14ac:dyDescent="0.2">
      <c r="A17" s="95" t="s">
        <v>16</v>
      </c>
      <c r="B17" s="384"/>
      <c r="C17" s="78"/>
      <c r="D17" s="78"/>
      <c r="E17" s="387">
        <f t="shared" si="0"/>
        <v>0</v>
      </c>
      <c r="F17" s="388" t="s">
        <v>482</v>
      </c>
      <c r="G17" s="77">
        <v>2235000</v>
      </c>
      <c r="H17" s="389">
        <f>276000+32000+2000+960000-100000</f>
        <v>1170000</v>
      </c>
      <c r="I17" s="386">
        <f t="shared" si="1"/>
        <v>3405000</v>
      </c>
    </row>
    <row r="18" spans="1:9" ht="12.95" customHeight="1" x14ac:dyDescent="0.2">
      <c r="A18" s="95" t="s">
        <v>17</v>
      </c>
      <c r="B18" s="26"/>
      <c r="C18" s="77"/>
      <c r="D18" s="77"/>
      <c r="E18" s="387">
        <f t="shared" si="0"/>
        <v>0</v>
      </c>
      <c r="F18" s="388" t="s">
        <v>483</v>
      </c>
      <c r="G18" s="77"/>
      <c r="H18" s="389"/>
      <c r="I18" s="386">
        <f t="shared" si="1"/>
        <v>0</v>
      </c>
    </row>
    <row r="19" spans="1:9" ht="12.95" customHeight="1" x14ac:dyDescent="0.2">
      <c r="A19" s="95" t="s">
        <v>18</v>
      </c>
      <c r="B19" s="26"/>
      <c r="C19" s="77"/>
      <c r="D19" s="77"/>
      <c r="E19" s="658"/>
      <c r="F19" s="26" t="s">
        <v>622</v>
      </c>
      <c r="G19" s="77"/>
      <c r="H19" s="389">
        <f>264000+265000</f>
        <v>529000</v>
      </c>
      <c r="I19" s="386">
        <f t="shared" si="1"/>
        <v>529000</v>
      </c>
    </row>
    <row r="20" spans="1:9" ht="12.95" customHeight="1" x14ac:dyDescent="0.2">
      <c r="A20" s="95" t="s">
        <v>19</v>
      </c>
      <c r="B20" s="26"/>
      <c r="C20" s="77"/>
      <c r="D20" s="77"/>
      <c r="E20" s="230">
        <f t="shared" si="0"/>
        <v>0</v>
      </c>
      <c r="F20" s="96" t="s">
        <v>105</v>
      </c>
      <c r="G20" s="77">
        <f>'1.mell.1.tábl.'!C100</f>
        <v>122899000</v>
      </c>
      <c r="H20" s="77">
        <f>'1.mell.1.tábl.'!F100</f>
        <v>2952629</v>
      </c>
      <c r="I20" s="234">
        <f>G20+H20</f>
        <v>125851629</v>
      </c>
    </row>
    <row r="21" spans="1:9" ht="12.95" customHeight="1" thickBot="1" x14ac:dyDescent="0.25">
      <c r="A21" s="95" t="s">
        <v>20</v>
      </c>
      <c r="B21" s="32"/>
      <c r="C21" s="79"/>
      <c r="D21" s="79"/>
      <c r="E21" s="231"/>
      <c r="F21" s="96" t="s">
        <v>35</v>
      </c>
      <c r="G21" s="77">
        <f>'1.mell.1.tábl.'!C113</f>
        <v>1026852</v>
      </c>
      <c r="H21" s="77">
        <f>'1.mell.1.tábl.'!F113</f>
        <v>67359279</v>
      </c>
      <c r="I21" s="234">
        <f>G21+H21</f>
        <v>68386131</v>
      </c>
    </row>
    <row r="22" spans="1:9" ht="21.75" thickBot="1" x14ac:dyDescent="0.25">
      <c r="A22" s="98" t="s">
        <v>21</v>
      </c>
      <c r="B22" s="46" t="s">
        <v>345</v>
      </c>
      <c r="C22" s="80">
        <f>C6+C7+C10+C11+C12</f>
        <v>379329582</v>
      </c>
      <c r="D22" s="80">
        <f>D6+D7+D10+D11+D12</f>
        <v>11568916</v>
      </c>
      <c r="E22" s="80">
        <f>E6+E7+E10+E11+E12</f>
        <v>390898498</v>
      </c>
      <c r="F22" s="46" t="s">
        <v>267</v>
      </c>
      <c r="G22" s="80">
        <f>+G20+G21+SUM(G6:G10)-G9</f>
        <v>456196352</v>
      </c>
      <c r="H22" s="80">
        <f>+H20+H21+SUM(H6:H10)-H9</f>
        <v>80616823</v>
      </c>
      <c r="I22" s="390">
        <f>+I20+I21+SUM(I6:I10)-I9</f>
        <v>536813175</v>
      </c>
    </row>
    <row r="23" spans="1:9" ht="12.95" customHeight="1" x14ac:dyDescent="0.2">
      <c r="A23" s="659" t="s">
        <v>22</v>
      </c>
      <c r="B23" s="99" t="s">
        <v>264</v>
      </c>
      <c r="C23" s="233">
        <f>+C24+C25+C26+C27</f>
        <v>269021313</v>
      </c>
      <c r="D23" s="233">
        <f>+D24+D25+D26+D27</f>
        <v>27452177</v>
      </c>
      <c r="E23" s="233">
        <f>+E24+E25+E26+E27</f>
        <v>296473490</v>
      </c>
      <c r="F23" s="100" t="s">
        <v>111</v>
      </c>
      <c r="G23" s="81">
        <f>'1.mell.1.tábl.'!C135</f>
        <v>0</v>
      </c>
      <c r="H23" s="81">
        <f>'1.mell.1.tábl.'!F135</f>
        <v>0</v>
      </c>
      <c r="I23" s="391">
        <f>G23+H23</f>
        <v>0</v>
      </c>
    </row>
    <row r="24" spans="1:9" ht="12.95" customHeight="1" x14ac:dyDescent="0.2">
      <c r="A24" s="660" t="s">
        <v>23</v>
      </c>
      <c r="B24" s="100" t="s">
        <v>119</v>
      </c>
      <c r="C24" s="37">
        <f>'1.mell.1.tábl.'!C75</f>
        <v>269021313</v>
      </c>
      <c r="D24" s="37">
        <f>'1.mell.1.tábl.'!F75</f>
        <v>19767819</v>
      </c>
      <c r="E24" s="232">
        <f>C24+D24</f>
        <v>288789132</v>
      </c>
      <c r="F24" s="100" t="s">
        <v>266</v>
      </c>
      <c r="G24" s="37"/>
      <c r="H24" s="37"/>
      <c r="I24" s="236">
        <f t="shared" ref="I24:I32" si="2">G24+H24</f>
        <v>0</v>
      </c>
    </row>
    <row r="25" spans="1:9" ht="12.95" customHeight="1" x14ac:dyDescent="0.2">
      <c r="A25" s="659" t="s">
        <v>24</v>
      </c>
      <c r="B25" s="100" t="s">
        <v>120</v>
      </c>
      <c r="C25" s="37"/>
      <c r="D25" s="37"/>
      <c r="E25" s="232">
        <f>C25+D25</f>
        <v>0</v>
      </c>
      <c r="F25" s="100" t="s">
        <v>85</v>
      </c>
      <c r="G25" s="37"/>
      <c r="H25" s="37"/>
      <c r="I25" s="236">
        <f t="shared" si="2"/>
        <v>0</v>
      </c>
    </row>
    <row r="26" spans="1:9" ht="12.95" customHeight="1" x14ac:dyDescent="0.2">
      <c r="A26" s="660" t="s">
        <v>25</v>
      </c>
      <c r="B26" s="100" t="s">
        <v>124</v>
      </c>
      <c r="C26" s="37"/>
      <c r="D26" s="37"/>
      <c r="E26" s="232">
        <f>C26+D26</f>
        <v>0</v>
      </c>
      <c r="F26" s="100" t="s">
        <v>86</v>
      </c>
      <c r="G26" s="37">
        <f>'1.mell.1.tábl.'!C132</f>
        <v>4100000</v>
      </c>
      <c r="H26" s="37">
        <f>'1.mell.1.tábl.'!F132</f>
        <v>0</v>
      </c>
      <c r="I26" s="236">
        <f t="shared" si="2"/>
        <v>4100000</v>
      </c>
    </row>
    <row r="27" spans="1:9" ht="12.95" customHeight="1" x14ac:dyDescent="0.2">
      <c r="A27" s="659" t="s">
        <v>26</v>
      </c>
      <c r="B27" s="139" t="s">
        <v>624</v>
      </c>
      <c r="C27" s="37"/>
      <c r="D27" s="37">
        <f>'1.mell.1.tábl.'!F78</f>
        <v>7684358</v>
      </c>
      <c r="E27" s="232">
        <f>C27+D27</f>
        <v>7684358</v>
      </c>
      <c r="F27" s="99" t="s">
        <v>258</v>
      </c>
      <c r="G27" s="37">
        <f>'1.mell.1.tábl.'!C144</f>
        <v>7423543</v>
      </c>
      <c r="H27" s="37">
        <f>'1.mell.1.tábl.'!F144</f>
        <v>0</v>
      </c>
      <c r="I27" s="236">
        <f t="shared" si="2"/>
        <v>7423543</v>
      </c>
    </row>
    <row r="28" spans="1:9" ht="12.95" customHeight="1" x14ac:dyDescent="0.2">
      <c r="A28" s="660" t="s">
        <v>27</v>
      </c>
      <c r="B28" s="100" t="s">
        <v>265</v>
      </c>
      <c r="C28" s="232">
        <f>+C29+C30</f>
        <v>0</v>
      </c>
      <c r="D28" s="232">
        <f>+D29+D30</f>
        <v>0</v>
      </c>
      <c r="E28" s="232">
        <f>+E29+E30</f>
        <v>0</v>
      </c>
      <c r="F28" s="100" t="s">
        <v>112</v>
      </c>
      <c r="G28" s="37"/>
      <c r="H28" s="37"/>
      <c r="I28" s="236">
        <f t="shared" si="2"/>
        <v>0</v>
      </c>
    </row>
    <row r="29" spans="1:9" ht="12.95" customHeight="1" x14ac:dyDescent="0.2">
      <c r="A29" s="659" t="s">
        <v>28</v>
      </c>
      <c r="B29" s="99" t="s">
        <v>262</v>
      </c>
      <c r="C29" s="81">
        <f>'1.mell.1.tábl.'!C68</f>
        <v>0</v>
      </c>
      <c r="D29" s="81">
        <f>'1.mell.1.tábl.'!F68</f>
        <v>0</v>
      </c>
      <c r="E29" s="233">
        <f>C29+D29</f>
        <v>0</v>
      </c>
      <c r="F29" s="94" t="s">
        <v>327</v>
      </c>
      <c r="G29" s="81"/>
      <c r="H29" s="81"/>
      <c r="I29" s="235">
        <f t="shared" si="2"/>
        <v>0</v>
      </c>
    </row>
    <row r="30" spans="1:9" ht="12.95" customHeight="1" x14ac:dyDescent="0.2">
      <c r="A30" s="660" t="s">
        <v>29</v>
      </c>
      <c r="B30" s="100" t="s">
        <v>263</v>
      </c>
      <c r="C30" s="37">
        <f>'1.mell.1.tábl.'!C72</f>
        <v>0</v>
      </c>
      <c r="D30" s="37"/>
      <c r="E30" s="232">
        <f>C30+D30</f>
        <v>0</v>
      </c>
      <c r="F30" s="96" t="s">
        <v>333</v>
      </c>
      <c r="G30" s="37"/>
      <c r="H30" s="37"/>
      <c r="I30" s="236">
        <f t="shared" si="2"/>
        <v>0</v>
      </c>
    </row>
    <row r="31" spans="1:9" ht="12.95" customHeight="1" x14ac:dyDescent="0.2">
      <c r="A31" s="659" t="s">
        <v>30</v>
      </c>
      <c r="B31" s="104" t="s">
        <v>457</v>
      </c>
      <c r="C31" s="37">
        <f>'1.mell.1.tábl.'!C80</f>
        <v>0</v>
      </c>
      <c r="D31" s="37">
        <f>'1.mell.1.tábl.'!F80</f>
        <v>0</v>
      </c>
      <c r="E31" s="232">
        <f>C31+D31</f>
        <v>0</v>
      </c>
      <c r="F31" s="96" t="s">
        <v>334</v>
      </c>
      <c r="G31" s="37"/>
      <c r="H31" s="37"/>
      <c r="I31" s="236">
        <f t="shared" si="2"/>
        <v>0</v>
      </c>
    </row>
    <row r="32" spans="1:9" ht="21.75" customHeight="1" thickBot="1" x14ac:dyDescent="0.25">
      <c r="A32" s="660" t="s">
        <v>31</v>
      </c>
      <c r="B32" s="99" t="s">
        <v>221</v>
      </c>
      <c r="C32" s="81"/>
      <c r="D32" s="81"/>
      <c r="E32" s="233">
        <f>C32+D32</f>
        <v>0</v>
      </c>
      <c r="F32" s="151"/>
      <c r="G32" s="81"/>
      <c r="H32" s="81"/>
      <c r="I32" s="235">
        <f t="shared" si="2"/>
        <v>0</v>
      </c>
    </row>
    <row r="33" spans="1:9" ht="24" customHeight="1" thickBot="1" x14ac:dyDescent="0.25">
      <c r="A33" s="98" t="s">
        <v>32</v>
      </c>
      <c r="B33" s="46" t="s">
        <v>346</v>
      </c>
      <c r="C33" s="80">
        <f>+C23+C28+C31+C32</f>
        <v>269021313</v>
      </c>
      <c r="D33" s="80">
        <f>+D23+D28+D31+D32</f>
        <v>27452177</v>
      </c>
      <c r="E33" s="202">
        <f>+E23+E28+E31+E32</f>
        <v>296473490</v>
      </c>
      <c r="F33" s="46" t="s">
        <v>348</v>
      </c>
      <c r="G33" s="80">
        <f>SUM(G23:G32)</f>
        <v>11523543</v>
      </c>
      <c r="H33" s="80">
        <f>SUM(H23:H32)</f>
        <v>0</v>
      </c>
      <c r="I33" s="110">
        <f>SUM(I23:I32)</f>
        <v>11523543</v>
      </c>
    </row>
    <row r="34" spans="1:9" ht="13.5" thickBot="1" x14ac:dyDescent="0.25">
      <c r="A34" s="98" t="s">
        <v>603</v>
      </c>
      <c r="B34" s="102" t="s">
        <v>347</v>
      </c>
      <c r="C34" s="243">
        <f>+C22+C33</f>
        <v>648350895</v>
      </c>
      <c r="D34" s="243">
        <f>+D22+D33</f>
        <v>39021093</v>
      </c>
      <c r="E34" s="244">
        <f>+E22+E33</f>
        <v>687371988</v>
      </c>
      <c r="F34" s="102" t="s">
        <v>349</v>
      </c>
      <c r="G34" s="243">
        <f>+G22+G33</f>
        <v>467719895</v>
      </c>
      <c r="H34" s="243">
        <f>+H22+H33</f>
        <v>80616823</v>
      </c>
      <c r="I34" s="244">
        <f>+I22+I33</f>
        <v>548336718</v>
      </c>
    </row>
    <row r="35" spans="1:9" ht="13.5" thickBot="1" x14ac:dyDescent="0.25">
      <c r="A35" s="98" t="s">
        <v>604</v>
      </c>
      <c r="B35" s="102" t="s">
        <v>89</v>
      </c>
      <c r="C35" s="243">
        <f>IF(C22-G22&lt;0,G22-C22,"-")</f>
        <v>76866770</v>
      </c>
      <c r="D35" s="243">
        <f>IF(D22-H22&lt;0,H22-D22,"-")</f>
        <v>69047907</v>
      </c>
      <c r="E35" s="244">
        <f>IF(E22-I22&lt;0,I22-E22,"-")</f>
        <v>145914677</v>
      </c>
      <c r="F35" s="102" t="s">
        <v>90</v>
      </c>
      <c r="G35" s="243" t="str">
        <f>IF(C22-G22&gt;0,C22-G22,"-")</f>
        <v>-</v>
      </c>
      <c r="H35" s="243" t="str">
        <f>IF(D22-H22&gt;0,D22-H22,"-")</f>
        <v>-</v>
      </c>
      <c r="I35" s="244" t="str">
        <f>IF(E22-I22&gt;0,E22-I22,"-")</f>
        <v>-</v>
      </c>
    </row>
    <row r="36" spans="1:9" ht="13.5" thickBot="1" x14ac:dyDescent="0.25">
      <c r="A36" s="98" t="s">
        <v>605</v>
      </c>
      <c r="B36" s="102" t="s">
        <v>432</v>
      </c>
      <c r="C36" s="243" t="str">
        <f>IF(C34-G34&lt;0,G34-C34,"-")</f>
        <v>-</v>
      </c>
      <c r="D36" s="243">
        <f>IF(D34-H34&lt;0,H34-D34,"-")</f>
        <v>41595730</v>
      </c>
      <c r="E36" s="243" t="str">
        <f>IF(E34-I34&lt;0,I34-E34,"-")</f>
        <v>-</v>
      </c>
      <c r="F36" s="102" t="s">
        <v>433</v>
      </c>
      <c r="G36" s="243">
        <f>IF(C34-G34&gt;0,C34-G34,"-")</f>
        <v>180631000</v>
      </c>
      <c r="H36" s="243" t="str">
        <f>IF(D34-H34&gt;0,D34-H34,"-")</f>
        <v>-</v>
      </c>
      <c r="I36" s="245">
        <f>IF(E34-I34&gt;0,E34-I34,"-")</f>
        <v>139035270</v>
      </c>
    </row>
    <row r="37" spans="1:9" ht="18.75" x14ac:dyDescent="0.2">
      <c r="B37" s="730"/>
      <c r="C37" s="730"/>
      <c r="D37" s="730"/>
      <c r="E37" s="730"/>
      <c r="F37" s="730"/>
    </row>
  </sheetData>
  <mergeCells count="2">
    <mergeCell ref="A3:A4"/>
    <mergeCell ref="B37:F37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8"/>
  <sheetViews>
    <sheetView view="pageLayout" zoomScaleNormal="100" zoomScaleSheetLayoutView="100" workbookViewId="0">
      <selection activeCell="B3" sqref="A3:IV3"/>
    </sheetView>
  </sheetViews>
  <sheetFormatPr defaultRowHeight="12.75" x14ac:dyDescent="0.2"/>
  <cols>
    <col min="1" max="1" width="6.83203125" style="30" customWidth="1"/>
    <col min="2" max="2" width="49.83203125" style="53" customWidth="1"/>
    <col min="3" max="5" width="15.5" style="30" customWidth="1"/>
    <col min="6" max="6" width="49.83203125" style="30" customWidth="1"/>
    <col min="7" max="9" width="15.5" style="30" customWidth="1"/>
    <col min="10" max="16384" width="9.33203125" style="30"/>
  </cols>
  <sheetData>
    <row r="1" spans="1:9" ht="31.5" customHeight="1" x14ac:dyDescent="0.2">
      <c r="B1" s="82" t="s">
        <v>88</v>
      </c>
      <c r="C1" s="83"/>
      <c r="D1" s="83"/>
      <c r="E1" s="83"/>
      <c r="F1" s="83"/>
      <c r="G1" s="83"/>
      <c r="H1" s="83"/>
      <c r="I1" s="83"/>
    </row>
    <row r="2" spans="1:9" ht="18.75" customHeight="1" thickBot="1" x14ac:dyDescent="0.25">
      <c r="B2" s="82"/>
      <c r="C2" s="83"/>
      <c r="D2" s="83"/>
      <c r="E2" s="83"/>
      <c r="F2" s="732"/>
      <c r="G2" s="732"/>
      <c r="H2" s="732"/>
      <c r="I2" s="732"/>
    </row>
    <row r="3" spans="1:9" ht="13.5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36.75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88" customFormat="1" ht="13.5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268</v>
      </c>
      <c r="C6" s="76">
        <f>'1.mell.1.tábl.'!C20</f>
        <v>26294000</v>
      </c>
      <c r="D6" s="76">
        <f>'1.mell.1.tábl.'!F20</f>
        <v>50185000</v>
      </c>
      <c r="E6" s="230">
        <f>C6+D6</f>
        <v>76479000</v>
      </c>
      <c r="F6" s="94" t="s">
        <v>121</v>
      </c>
      <c r="G6" s="76">
        <f>'1.mell.1.tábl.'!C117</f>
        <v>283725000</v>
      </c>
      <c r="H6" s="207">
        <f>'1.mell.1.tábl.'!F117</f>
        <v>-4942730</v>
      </c>
      <c r="I6" s="237">
        <f>G6+H6</f>
        <v>278782270</v>
      </c>
    </row>
    <row r="7" spans="1:9" x14ac:dyDescent="0.2">
      <c r="A7" s="95" t="s">
        <v>6</v>
      </c>
      <c r="B7" s="96" t="s">
        <v>269</v>
      </c>
      <c r="C7" s="77">
        <f>'1.mell.1.tábl.'!C26</f>
        <v>24794000</v>
      </c>
      <c r="D7" s="77">
        <f>'1.mell.1.tábl.'!F26</f>
        <v>10275999</v>
      </c>
      <c r="E7" s="230">
        <f t="shared" ref="E7:E16" si="0">C7+D7</f>
        <v>35069999</v>
      </c>
      <c r="F7" s="96" t="s">
        <v>274</v>
      </c>
      <c r="G7" s="77">
        <f>'1.mell.1.tábl.'!C118</f>
        <v>265669000</v>
      </c>
      <c r="H7" s="77">
        <f>'1.mell.1.tábl.'!F118</f>
        <v>1203000</v>
      </c>
      <c r="I7" s="238">
        <f t="shared" ref="I7:I29" si="1">G7+H7</f>
        <v>266872000</v>
      </c>
    </row>
    <row r="8" spans="1:9" ht="12.95" customHeight="1" x14ac:dyDescent="0.2">
      <c r="A8" s="95" t="s">
        <v>7</v>
      </c>
      <c r="B8" s="96" t="s">
        <v>2</v>
      </c>
      <c r="C8" s="77">
        <f>'1.mell.1.tábl.'!C48</f>
        <v>4000000</v>
      </c>
      <c r="D8" s="77">
        <f>'1.mell.1.tábl.'!F48</f>
        <v>0</v>
      </c>
      <c r="E8" s="230">
        <f t="shared" si="0"/>
        <v>4000000</v>
      </c>
      <c r="F8" s="96" t="s">
        <v>107</v>
      </c>
      <c r="G8" s="77"/>
      <c r="H8" s="77">
        <f>'1.mell.1.tábl.'!F119</f>
        <v>13469000</v>
      </c>
      <c r="I8" s="238">
        <f t="shared" si="1"/>
        <v>13469000</v>
      </c>
    </row>
    <row r="9" spans="1:9" ht="12.95" customHeight="1" x14ac:dyDescent="0.2">
      <c r="A9" s="95" t="s">
        <v>8</v>
      </c>
      <c r="B9" s="96" t="s">
        <v>270</v>
      </c>
      <c r="C9" s="77">
        <f>'1.mell.1.tábl.'!C59</f>
        <v>800000</v>
      </c>
      <c r="D9" s="77">
        <f>'1.mell.1.tábl.'!F59</f>
        <v>0</v>
      </c>
      <c r="E9" s="230">
        <f t="shared" si="0"/>
        <v>800000</v>
      </c>
      <c r="F9" s="96" t="s">
        <v>275</v>
      </c>
      <c r="G9" s="77"/>
      <c r="H9" s="77"/>
      <c r="I9" s="238">
        <f t="shared" si="1"/>
        <v>0</v>
      </c>
    </row>
    <row r="10" spans="1:9" ht="12.75" customHeight="1" x14ac:dyDescent="0.2">
      <c r="A10" s="95" t="s">
        <v>9</v>
      </c>
      <c r="B10" s="96" t="s">
        <v>271</v>
      </c>
      <c r="C10" s="77"/>
      <c r="D10" s="77"/>
      <c r="E10" s="230">
        <f t="shared" si="0"/>
        <v>0</v>
      </c>
      <c r="F10" s="96" t="s">
        <v>123</v>
      </c>
      <c r="G10" s="77">
        <f>'1.mell.1.tábl.'!C121</f>
        <v>1000000</v>
      </c>
      <c r="H10" s="77">
        <f>'1.mell.1.tábl.'!F121</f>
        <v>63000</v>
      </c>
      <c r="I10" s="238">
        <f t="shared" si="1"/>
        <v>1063000</v>
      </c>
    </row>
    <row r="11" spans="1:9" ht="12.95" customHeight="1" x14ac:dyDescent="0.2">
      <c r="A11" s="95" t="s">
        <v>10</v>
      </c>
      <c r="B11" s="96" t="s">
        <v>272</v>
      </c>
      <c r="C11" s="78"/>
      <c r="D11" s="78"/>
      <c r="E11" s="230">
        <f t="shared" si="0"/>
        <v>0</v>
      </c>
      <c r="F11" s="152"/>
      <c r="G11" s="77"/>
      <c r="H11" s="77"/>
      <c r="I11" s="238">
        <f t="shared" si="1"/>
        <v>0</v>
      </c>
    </row>
    <row r="12" spans="1:9" ht="12.95" customHeight="1" x14ac:dyDescent="0.2">
      <c r="A12" s="95" t="s">
        <v>11</v>
      </c>
      <c r="B12" s="26"/>
      <c r="C12" s="77"/>
      <c r="D12" s="77"/>
      <c r="E12" s="230">
        <f t="shared" si="0"/>
        <v>0</v>
      </c>
      <c r="F12" s="152"/>
      <c r="G12" s="77"/>
      <c r="H12" s="77"/>
      <c r="I12" s="238">
        <f t="shared" si="1"/>
        <v>0</v>
      </c>
    </row>
    <row r="13" spans="1:9" ht="12.95" customHeight="1" x14ac:dyDescent="0.2">
      <c r="A13" s="95" t="s">
        <v>12</v>
      </c>
      <c r="B13" s="26"/>
      <c r="C13" s="77"/>
      <c r="D13" s="77"/>
      <c r="E13" s="230">
        <f t="shared" si="0"/>
        <v>0</v>
      </c>
      <c r="F13" s="153"/>
      <c r="G13" s="77"/>
      <c r="H13" s="77"/>
      <c r="I13" s="238">
        <f t="shared" si="1"/>
        <v>0</v>
      </c>
    </row>
    <row r="14" spans="1:9" ht="12.95" customHeight="1" x14ac:dyDescent="0.2">
      <c r="A14" s="95" t="s">
        <v>13</v>
      </c>
      <c r="B14" s="150"/>
      <c r="C14" s="78"/>
      <c r="D14" s="78"/>
      <c r="E14" s="230">
        <f t="shared" si="0"/>
        <v>0</v>
      </c>
      <c r="F14" s="152"/>
      <c r="G14" s="77"/>
      <c r="H14" s="77"/>
      <c r="I14" s="238">
        <f t="shared" si="1"/>
        <v>0</v>
      </c>
    </row>
    <row r="15" spans="1:9" x14ac:dyDescent="0.2">
      <c r="A15" s="95" t="s">
        <v>14</v>
      </c>
      <c r="B15" s="26"/>
      <c r="C15" s="78"/>
      <c r="D15" s="78"/>
      <c r="E15" s="230">
        <f t="shared" si="0"/>
        <v>0</v>
      </c>
      <c r="F15" s="152"/>
      <c r="G15" s="77"/>
      <c r="H15" s="77"/>
      <c r="I15" s="238">
        <f t="shared" si="1"/>
        <v>0</v>
      </c>
    </row>
    <row r="16" spans="1:9" ht="12.95" customHeight="1" thickBot="1" x14ac:dyDescent="0.25">
      <c r="A16" s="121" t="s">
        <v>15</v>
      </c>
      <c r="B16" s="151"/>
      <c r="C16" s="123"/>
      <c r="D16" s="123"/>
      <c r="E16" s="230">
        <f t="shared" si="0"/>
        <v>0</v>
      </c>
      <c r="F16" s="122" t="s">
        <v>35</v>
      </c>
      <c r="G16" s="205"/>
      <c r="H16" s="205"/>
      <c r="I16" s="239">
        <f t="shared" si="1"/>
        <v>0</v>
      </c>
    </row>
    <row r="17" spans="1:9" ht="15.95" customHeight="1" thickBot="1" x14ac:dyDescent="0.25">
      <c r="A17" s="98" t="s">
        <v>16</v>
      </c>
      <c r="B17" s="46" t="s">
        <v>282</v>
      </c>
      <c r="C17" s="80">
        <f>+C6+C8+C9+C11+C12+C13+C14+C15+C16</f>
        <v>31094000</v>
      </c>
      <c r="D17" s="80">
        <f>+D6+D8+D9+D11+D12+D13+D14+D15+D16</f>
        <v>50185000</v>
      </c>
      <c r="E17" s="80">
        <f>+E6+E8+E9+E11+E12+E13+E14+E15+E16</f>
        <v>81279000</v>
      </c>
      <c r="F17" s="46" t="s">
        <v>283</v>
      </c>
      <c r="G17" s="80">
        <f>+G6+G8+G10+G11+G12+G13+G14+G15+G16</f>
        <v>284725000</v>
      </c>
      <c r="H17" s="80">
        <f>+H6+H8+H10+H11+H12+H13+H14+H15+H16</f>
        <v>8589270</v>
      </c>
      <c r="I17" s="110">
        <f>+I6+I8+I10+I11+I12+I13+I14+I15+I16</f>
        <v>293314270</v>
      </c>
    </row>
    <row r="18" spans="1:9" ht="12.95" customHeight="1" x14ac:dyDescent="0.2">
      <c r="A18" s="93" t="s">
        <v>17</v>
      </c>
      <c r="B18" s="99" t="s">
        <v>138</v>
      </c>
      <c r="C18" s="109">
        <f>+C19+C20+C21+C22+C23</f>
        <v>0</v>
      </c>
      <c r="D18" s="109">
        <f>+D19+D20+D21+D22+D23</f>
        <v>0</v>
      </c>
      <c r="E18" s="109">
        <f>+E19+E20+E21+E22+E23</f>
        <v>0</v>
      </c>
      <c r="F18" s="100" t="s">
        <v>111</v>
      </c>
      <c r="G18" s="206"/>
      <c r="H18" s="206"/>
      <c r="I18" s="240">
        <f t="shared" si="1"/>
        <v>0</v>
      </c>
    </row>
    <row r="19" spans="1:9" ht="12.95" customHeight="1" x14ac:dyDescent="0.2">
      <c r="A19" s="95" t="s">
        <v>18</v>
      </c>
      <c r="B19" s="104" t="s">
        <v>127</v>
      </c>
      <c r="C19" s="37"/>
      <c r="D19" s="37"/>
      <c r="E19" s="232">
        <f t="shared" ref="E19:E29" si="2">C19+D19</f>
        <v>0</v>
      </c>
      <c r="F19" s="100" t="s">
        <v>114</v>
      </c>
      <c r="G19" s="37"/>
      <c r="H19" s="37"/>
      <c r="I19" s="236">
        <f t="shared" si="1"/>
        <v>0</v>
      </c>
    </row>
    <row r="20" spans="1:9" ht="12.95" customHeight="1" x14ac:dyDescent="0.2">
      <c r="A20" s="93" t="s">
        <v>19</v>
      </c>
      <c r="B20" s="104" t="s">
        <v>128</v>
      </c>
      <c r="C20" s="37"/>
      <c r="D20" s="37"/>
      <c r="E20" s="232">
        <f t="shared" si="2"/>
        <v>0</v>
      </c>
      <c r="F20" s="100" t="s">
        <v>85</v>
      </c>
      <c r="G20" s="37"/>
      <c r="H20" s="37"/>
      <c r="I20" s="236">
        <f t="shared" si="1"/>
        <v>0</v>
      </c>
    </row>
    <row r="21" spans="1:9" ht="12.95" customHeight="1" x14ac:dyDescent="0.2">
      <c r="A21" s="95" t="s">
        <v>20</v>
      </c>
      <c r="B21" s="104" t="s">
        <v>129</v>
      </c>
      <c r="C21" s="37"/>
      <c r="D21" s="37"/>
      <c r="E21" s="232">
        <f t="shared" si="2"/>
        <v>0</v>
      </c>
      <c r="F21" s="100" t="s">
        <v>86</v>
      </c>
      <c r="G21" s="37"/>
      <c r="H21" s="37"/>
      <c r="I21" s="236">
        <f t="shared" si="1"/>
        <v>0</v>
      </c>
    </row>
    <row r="22" spans="1:9" ht="12.95" customHeight="1" x14ac:dyDescent="0.2">
      <c r="A22" s="93" t="s">
        <v>21</v>
      </c>
      <c r="B22" s="104" t="s">
        <v>130</v>
      </c>
      <c r="C22" s="37"/>
      <c r="D22" s="37"/>
      <c r="E22" s="232">
        <f t="shared" si="2"/>
        <v>0</v>
      </c>
      <c r="F22" s="99" t="s">
        <v>126</v>
      </c>
      <c r="G22" s="37"/>
      <c r="H22" s="37"/>
      <c r="I22" s="236">
        <f t="shared" si="1"/>
        <v>0</v>
      </c>
    </row>
    <row r="23" spans="1:9" ht="12.95" customHeight="1" x14ac:dyDescent="0.2">
      <c r="A23" s="95" t="s">
        <v>22</v>
      </c>
      <c r="B23" s="105" t="s">
        <v>131</v>
      </c>
      <c r="C23" s="37"/>
      <c r="D23" s="37"/>
      <c r="E23" s="232">
        <f t="shared" si="2"/>
        <v>0</v>
      </c>
      <c r="F23" s="100" t="s">
        <v>115</v>
      </c>
      <c r="G23" s="37"/>
      <c r="H23" s="37"/>
      <c r="I23" s="236">
        <f t="shared" si="1"/>
        <v>0</v>
      </c>
    </row>
    <row r="24" spans="1:9" ht="12.95" customHeight="1" x14ac:dyDescent="0.2">
      <c r="A24" s="93" t="s">
        <v>23</v>
      </c>
      <c r="B24" s="382" t="s">
        <v>132</v>
      </c>
      <c r="C24" s="232">
        <f>+C25+C26+C27+C28+C29</f>
        <v>73000000</v>
      </c>
      <c r="D24" s="101">
        <f>+D25+D26+D27+D28+D29</f>
        <v>0</v>
      </c>
      <c r="E24" s="232">
        <f>+E25+E26+E27+E28+E29</f>
        <v>73000000</v>
      </c>
      <c r="F24" s="106" t="s">
        <v>113</v>
      </c>
      <c r="G24" s="37"/>
      <c r="H24" s="37"/>
      <c r="I24" s="236">
        <f t="shared" si="1"/>
        <v>0</v>
      </c>
    </row>
    <row r="25" spans="1:9" ht="12.95" customHeight="1" x14ac:dyDescent="0.2">
      <c r="A25" s="95" t="s">
        <v>24</v>
      </c>
      <c r="B25" s="105" t="s">
        <v>133</v>
      </c>
      <c r="C25" s="37">
        <f>'1.mell.1.tábl.'!C66</f>
        <v>73000000</v>
      </c>
      <c r="D25" s="37"/>
      <c r="E25" s="232">
        <f t="shared" si="2"/>
        <v>73000000</v>
      </c>
      <c r="F25" s="106" t="s">
        <v>276</v>
      </c>
      <c r="G25" s="37"/>
      <c r="H25" s="37"/>
      <c r="I25" s="236">
        <f t="shared" si="1"/>
        <v>0</v>
      </c>
    </row>
    <row r="26" spans="1:9" ht="12.95" customHeight="1" x14ac:dyDescent="0.2">
      <c r="A26" s="93" t="s">
        <v>25</v>
      </c>
      <c r="B26" s="105" t="s">
        <v>134</v>
      </c>
      <c r="C26" s="37"/>
      <c r="D26" s="37"/>
      <c r="E26" s="232">
        <f t="shared" si="2"/>
        <v>0</v>
      </c>
      <c r="F26" s="103"/>
      <c r="G26" s="37"/>
      <c r="H26" s="37"/>
      <c r="I26" s="236">
        <f t="shared" si="1"/>
        <v>0</v>
      </c>
    </row>
    <row r="27" spans="1:9" ht="12.95" customHeight="1" x14ac:dyDescent="0.2">
      <c r="A27" s="95" t="s">
        <v>26</v>
      </c>
      <c r="B27" s="104" t="s">
        <v>135</v>
      </c>
      <c r="C27" s="37"/>
      <c r="D27" s="37"/>
      <c r="E27" s="232">
        <f t="shared" si="2"/>
        <v>0</v>
      </c>
      <c r="F27" s="44"/>
      <c r="G27" s="37"/>
      <c r="H27" s="37"/>
      <c r="I27" s="236">
        <f t="shared" si="1"/>
        <v>0</v>
      </c>
    </row>
    <row r="28" spans="1:9" ht="12.95" customHeight="1" x14ac:dyDescent="0.2">
      <c r="A28" s="93" t="s">
        <v>27</v>
      </c>
      <c r="B28" s="107" t="s">
        <v>136</v>
      </c>
      <c r="C28" s="37"/>
      <c r="D28" s="37"/>
      <c r="E28" s="232">
        <f t="shared" si="2"/>
        <v>0</v>
      </c>
      <c r="F28" s="26"/>
      <c r="G28" s="37"/>
      <c r="H28" s="37"/>
      <c r="I28" s="236">
        <f t="shared" si="1"/>
        <v>0</v>
      </c>
    </row>
    <row r="29" spans="1:9" ht="12.95" customHeight="1" thickBot="1" x14ac:dyDescent="0.25">
      <c r="A29" s="95" t="s">
        <v>28</v>
      </c>
      <c r="B29" s="108" t="s">
        <v>137</v>
      </c>
      <c r="C29" s="37"/>
      <c r="D29" s="37"/>
      <c r="E29" s="232">
        <f t="shared" si="2"/>
        <v>0</v>
      </c>
      <c r="F29" s="44"/>
      <c r="G29" s="37"/>
      <c r="H29" s="37"/>
      <c r="I29" s="236">
        <f t="shared" si="1"/>
        <v>0</v>
      </c>
    </row>
    <row r="30" spans="1:9" ht="21.75" customHeight="1" thickBot="1" x14ac:dyDescent="0.25">
      <c r="A30" s="98" t="s">
        <v>29</v>
      </c>
      <c r="B30" s="46" t="s">
        <v>273</v>
      </c>
      <c r="C30" s="80">
        <f>+C18+C24</f>
        <v>73000000</v>
      </c>
      <c r="D30" s="80">
        <f>+D18+D24</f>
        <v>0</v>
      </c>
      <c r="E30" s="80">
        <f>+E18+E24</f>
        <v>73000000</v>
      </c>
      <c r="F30" s="46" t="s">
        <v>277</v>
      </c>
      <c r="G30" s="80">
        <f>SUM(G18:G29)</f>
        <v>0</v>
      </c>
      <c r="H30" s="80">
        <f>SUM(H18:H29)</f>
        <v>0</v>
      </c>
      <c r="I30" s="110">
        <f>SUM(I18:I29)</f>
        <v>0</v>
      </c>
    </row>
    <row r="31" spans="1:9" ht="13.5" thickBot="1" x14ac:dyDescent="0.25">
      <c r="A31" s="98" t="s">
        <v>30</v>
      </c>
      <c r="B31" s="102" t="s">
        <v>278</v>
      </c>
      <c r="C31" s="243">
        <f>+C17+C30</f>
        <v>104094000</v>
      </c>
      <c r="D31" s="243">
        <f>+D17+D30</f>
        <v>50185000</v>
      </c>
      <c r="E31" s="244">
        <f>+E17+E30</f>
        <v>154279000</v>
      </c>
      <c r="F31" s="102" t="s">
        <v>279</v>
      </c>
      <c r="G31" s="243">
        <f>+G17+G30</f>
        <v>284725000</v>
      </c>
      <c r="H31" s="243">
        <f>+H17+H30</f>
        <v>8589270</v>
      </c>
      <c r="I31" s="244">
        <f>+I17+I30</f>
        <v>293314270</v>
      </c>
    </row>
    <row r="32" spans="1:9" ht="13.5" thickBot="1" x14ac:dyDescent="0.25">
      <c r="A32" s="98" t="s">
        <v>31</v>
      </c>
      <c r="B32" s="102" t="s">
        <v>89</v>
      </c>
      <c r="C32" s="243">
        <f>IF(C17-G17&lt;0,G17-C17,"-")</f>
        <v>253631000</v>
      </c>
      <c r="D32" s="243" t="str">
        <f>IF(D17-H17&lt;0,H17-D17,"-")</f>
        <v>-</v>
      </c>
      <c r="E32" s="244">
        <f>IF(E17-I17&lt;0,I17-E17,"-")</f>
        <v>212035270</v>
      </c>
      <c r="F32" s="102" t="s">
        <v>90</v>
      </c>
      <c r="G32" s="243" t="str">
        <f>IF(C17-G17&gt;0,C17-G17,"-")</f>
        <v>-</v>
      </c>
      <c r="H32" s="243">
        <f>IF(D17-H17&gt;0,D17-H17,"-")</f>
        <v>41595730</v>
      </c>
      <c r="I32" s="244" t="str">
        <f>IF(E17-I17&gt;0,E17-I17,"-")</f>
        <v>-</v>
      </c>
    </row>
    <row r="33" spans="1:9" ht="13.5" thickBot="1" x14ac:dyDescent="0.25">
      <c r="A33" s="98" t="s">
        <v>32</v>
      </c>
      <c r="B33" s="102" t="s">
        <v>432</v>
      </c>
      <c r="C33" s="243">
        <f>IF(C31-G31&lt;0,G31-C31,"-")</f>
        <v>180631000</v>
      </c>
      <c r="D33" s="243" t="str">
        <f>IF(D31-H31&lt;0,H31-D31,"-")</f>
        <v>-</v>
      </c>
      <c r="E33" s="243">
        <f>IF(E31-I31&lt;0,I31-E31,"-")</f>
        <v>139035270</v>
      </c>
      <c r="F33" s="102" t="s">
        <v>433</v>
      </c>
      <c r="G33" s="243" t="str">
        <f>IF(C31-G31&gt;0,C31-G31,"-")</f>
        <v>-</v>
      </c>
      <c r="H33" s="243">
        <f>IF(D31-H31&gt;0,D31-H31,"-")</f>
        <v>41595730</v>
      </c>
      <c r="I33" s="245" t="str">
        <f>IF(E31-I31&gt;0,E31-I31,"-")</f>
        <v>-</v>
      </c>
    </row>
    <row r="48" spans="1:9" x14ac:dyDescent="0.2">
      <c r="F48" s="731"/>
      <c r="G48" s="731"/>
      <c r="H48" s="731"/>
      <c r="I48" s="731"/>
    </row>
  </sheetData>
  <mergeCells count="3">
    <mergeCell ref="A3:A4"/>
    <mergeCell ref="F48:I48"/>
    <mergeCell ref="F2:I2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r:id="rId1"/>
  <headerFooter alignWithMargins="0">
    <oddHeader xml:space="preserve">&amp;C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workbookViewId="0">
      <selection activeCell="M29" sqref="M29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08" t="s">
        <v>428</v>
      </c>
      <c r="B1" s="59"/>
      <c r="C1" s="59"/>
      <c r="D1" s="59"/>
      <c r="E1" s="209" t="s">
        <v>84</v>
      </c>
    </row>
    <row r="2" spans="1:5" x14ac:dyDescent="0.2">
      <c r="A2" s="59"/>
      <c r="B2" s="59"/>
      <c r="C2" s="59"/>
      <c r="D2" s="59"/>
      <c r="E2" s="59"/>
    </row>
    <row r="3" spans="1:5" x14ac:dyDescent="0.2">
      <c r="A3" s="210"/>
      <c r="B3" s="211"/>
      <c r="C3" s="210"/>
      <c r="D3" s="212"/>
      <c r="E3" s="211"/>
    </row>
    <row r="4" spans="1:5" ht="15.75" x14ac:dyDescent="0.25">
      <c r="A4" s="61" t="str">
        <f>+ÖSSZEFÜGGÉSEK!A6</f>
        <v>2020. évi eredeti előirányzat BEVÉTELEK</v>
      </c>
      <c r="B4" s="213"/>
      <c r="C4" s="214"/>
      <c r="D4" s="212"/>
      <c r="E4" s="211"/>
    </row>
    <row r="5" spans="1:5" x14ac:dyDescent="0.2">
      <c r="A5" s="210"/>
      <c r="B5" s="211"/>
      <c r="C5" s="210"/>
      <c r="D5" s="212"/>
      <c r="E5" s="211"/>
    </row>
    <row r="6" spans="1:5" x14ac:dyDescent="0.2">
      <c r="A6" s="210" t="s">
        <v>399</v>
      </c>
      <c r="B6" s="211">
        <f>+'1.mell.1.tábl.'!C64</f>
        <v>410423582</v>
      </c>
      <c r="C6" s="210" t="s">
        <v>379</v>
      </c>
      <c r="D6" s="212">
        <f>+'2.mell.1.tábl.'!C22+'2.mell.2.tábl.'!C17</f>
        <v>410423582</v>
      </c>
      <c r="E6" s="211">
        <f>+B6-D6</f>
        <v>0</v>
      </c>
    </row>
    <row r="7" spans="1:5" x14ac:dyDescent="0.2">
      <c r="A7" s="210" t="s">
        <v>415</v>
      </c>
      <c r="B7" s="211">
        <f>+'1.mell.1.tábl.'!C88</f>
        <v>342021313</v>
      </c>
      <c r="C7" s="210" t="s">
        <v>385</v>
      </c>
      <c r="D7" s="212">
        <f>+'2.mell.1.tábl.'!C33+'2.mell.2.tábl.'!C30</f>
        <v>342021313</v>
      </c>
      <c r="E7" s="211">
        <f>+B7-D7</f>
        <v>0</v>
      </c>
    </row>
    <row r="8" spans="1:5" x14ac:dyDescent="0.2">
      <c r="A8" s="210" t="s">
        <v>416</v>
      </c>
      <c r="B8" s="211">
        <f>+'1.mell.1.tábl.'!C89</f>
        <v>752444895</v>
      </c>
      <c r="C8" s="210" t="s">
        <v>386</v>
      </c>
      <c r="D8" s="212">
        <f>+'2.mell.1.tábl.'!C34+'2.mell.2.tábl.'!C31</f>
        <v>752444895</v>
      </c>
      <c r="E8" s="211">
        <f>+B8-D8</f>
        <v>0</v>
      </c>
    </row>
    <row r="9" spans="1:5" x14ac:dyDescent="0.2">
      <c r="A9" s="210"/>
      <c r="B9" s="211"/>
      <c r="C9" s="210"/>
      <c r="D9" s="212"/>
      <c r="E9" s="211"/>
    </row>
    <row r="10" spans="1:5" ht="15.75" x14ac:dyDescent="0.25">
      <c r="A10" s="61" t="str">
        <f>+ÖSSZEFÜGGÉSEK!A13</f>
        <v>2020. évi előirányzat módosítások BEVÉTELEK</v>
      </c>
      <c r="B10" s="213"/>
      <c r="C10" s="214"/>
      <c r="D10" s="212"/>
      <c r="E10" s="211"/>
    </row>
    <row r="11" spans="1:5" x14ac:dyDescent="0.2">
      <c r="A11" s="210"/>
      <c r="B11" s="211"/>
      <c r="C11" s="210"/>
      <c r="D11" s="212"/>
      <c r="E11" s="211"/>
    </row>
    <row r="12" spans="1:5" x14ac:dyDescent="0.2">
      <c r="A12" s="210" t="s">
        <v>400</v>
      </c>
      <c r="B12" s="211">
        <f>+'1.mell.1.tábl.'!F64</f>
        <v>61753916</v>
      </c>
      <c r="C12" s="210" t="s">
        <v>380</v>
      </c>
      <c r="D12" s="212">
        <f>+'2.mell.1.tábl.'!D22+'2.mell.2.tábl.'!D17</f>
        <v>61753916</v>
      </c>
      <c r="E12" s="211">
        <f>+B12-D12</f>
        <v>0</v>
      </c>
    </row>
    <row r="13" spans="1:5" x14ac:dyDescent="0.2">
      <c r="A13" s="210" t="s">
        <v>401</v>
      </c>
      <c r="B13" s="211">
        <f>+'1.mell.1.tábl.'!F88</f>
        <v>27452177</v>
      </c>
      <c r="C13" s="210" t="s">
        <v>387</v>
      </c>
      <c r="D13" s="212">
        <f>+'2.mell.1.tábl.'!D33+'2.mell.2.tábl.'!D30</f>
        <v>27452177</v>
      </c>
      <c r="E13" s="211">
        <f>+B13-D13</f>
        <v>0</v>
      </c>
    </row>
    <row r="14" spans="1:5" x14ac:dyDescent="0.2">
      <c r="A14" s="210" t="s">
        <v>402</v>
      </c>
      <c r="B14" s="211">
        <f>+'1.mell.1.tábl.'!F89</f>
        <v>89206093</v>
      </c>
      <c r="C14" s="210" t="s">
        <v>388</v>
      </c>
      <c r="D14" s="212">
        <f>+'2.mell.1.tábl.'!D34+'2.mell.2.tábl.'!D31</f>
        <v>89206093</v>
      </c>
      <c r="E14" s="211">
        <f>+B14-D14</f>
        <v>0</v>
      </c>
    </row>
    <row r="15" spans="1:5" x14ac:dyDescent="0.2">
      <c r="A15" s="210"/>
      <c r="B15" s="211"/>
      <c r="C15" s="210"/>
      <c r="D15" s="212"/>
      <c r="E15" s="211"/>
    </row>
    <row r="16" spans="1:5" ht="14.25" x14ac:dyDescent="0.2">
      <c r="A16" s="215" t="str">
        <f>+ÖSSZEFÜGGÉSEK!A19</f>
        <v>2020. módosítás utáni módosított előrirányzatok BEVÉTELEK</v>
      </c>
      <c r="B16" s="60"/>
      <c r="C16" s="214"/>
      <c r="D16" s="212"/>
      <c r="E16" s="211"/>
    </row>
    <row r="17" spans="1:5" x14ac:dyDescent="0.2">
      <c r="A17" s="210"/>
      <c r="B17" s="211"/>
      <c r="C17" s="210"/>
      <c r="D17" s="212"/>
      <c r="E17" s="211"/>
    </row>
    <row r="18" spans="1:5" x14ac:dyDescent="0.2">
      <c r="A18" s="210" t="s">
        <v>403</v>
      </c>
      <c r="B18" s="211">
        <f>+'1.mell.1.tábl.'!G64</f>
        <v>472177498</v>
      </c>
      <c r="C18" s="210" t="s">
        <v>381</v>
      </c>
      <c r="D18" s="212">
        <f>+'2.mell.1.tábl.'!E22+'2.mell.2.tábl.'!E17</f>
        <v>472177498</v>
      </c>
      <c r="E18" s="211">
        <f>+B18-D18</f>
        <v>0</v>
      </c>
    </row>
    <row r="19" spans="1:5" x14ac:dyDescent="0.2">
      <c r="A19" s="210" t="s">
        <v>404</v>
      </c>
      <c r="B19" s="211">
        <f>+'1.mell.1.tábl.'!G88</f>
        <v>369473490</v>
      </c>
      <c r="C19" s="210" t="s">
        <v>389</v>
      </c>
      <c r="D19" s="212">
        <f>+'2.mell.1.tábl.'!E33+'2.mell.2.tábl.'!E30</f>
        <v>369473490</v>
      </c>
      <c r="E19" s="211">
        <f>+B19-D19</f>
        <v>0</v>
      </c>
    </row>
    <row r="20" spans="1:5" x14ac:dyDescent="0.2">
      <c r="A20" s="210" t="s">
        <v>405</v>
      </c>
      <c r="B20" s="211">
        <f>+'1.mell.1.tábl.'!G89</f>
        <v>841650988</v>
      </c>
      <c r="C20" s="210" t="s">
        <v>390</v>
      </c>
      <c r="D20" s="212">
        <f>+'2.mell.1.tábl.'!E34+'2.mell.2.tábl.'!E31</f>
        <v>841650988</v>
      </c>
      <c r="E20" s="211">
        <f>+B20-D20</f>
        <v>0</v>
      </c>
    </row>
    <row r="21" spans="1:5" x14ac:dyDescent="0.2">
      <c r="A21" s="210"/>
      <c r="B21" s="211"/>
      <c r="C21" s="210"/>
      <c r="D21" s="212"/>
      <c r="E21" s="211"/>
    </row>
    <row r="22" spans="1:5" ht="15.75" x14ac:dyDescent="0.25">
      <c r="A22" s="61" t="str">
        <f>+ÖSSZEFÜGGÉSEK!A25</f>
        <v>2020. évi eredeti előirányzat KIADÁSOK</v>
      </c>
      <c r="B22" s="213"/>
      <c r="C22" s="214"/>
      <c r="D22" s="212"/>
      <c r="E22" s="211"/>
    </row>
    <row r="23" spans="1:5" x14ac:dyDescent="0.2">
      <c r="A23" s="210"/>
      <c r="B23" s="211"/>
      <c r="C23" s="210"/>
      <c r="D23" s="212"/>
      <c r="E23" s="211"/>
    </row>
    <row r="24" spans="1:5" x14ac:dyDescent="0.2">
      <c r="A24" s="210" t="s">
        <v>417</v>
      </c>
      <c r="B24" s="211">
        <f>+'1.mell.1.tábl.'!C130</f>
        <v>740921352</v>
      </c>
      <c r="C24" s="210" t="s">
        <v>382</v>
      </c>
      <c r="D24" s="212">
        <f>+'2.mell.1.tábl.'!G22+'2.mell.2.tábl.'!G17</f>
        <v>740921352</v>
      </c>
      <c r="E24" s="211">
        <f>+B24-D24</f>
        <v>0</v>
      </c>
    </row>
    <row r="25" spans="1:5" x14ac:dyDescent="0.2">
      <c r="A25" s="210" t="s">
        <v>407</v>
      </c>
      <c r="B25" s="211">
        <f>+'1.mell.1.tábl.'!C155</f>
        <v>11523543</v>
      </c>
      <c r="C25" s="210" t="s">
        <v>391</v>
      </c>
      <c r="D25" s="212">
        <f>+'2.mell.1.tábl.'!G33+'2.mell.2.tábl.'!G30</f>
        <v>11523543</v>
      </c>
      <c r="E25" s="211">
        <f>+B25-D25</f>
        <v>0</v>
      </c>
    </row>
    <row r="26" spans="1:5" x14ac:dyDescent="0.2">
      <c r="A26" s="210" t="s">
        <v>408</v>
      </c>
      <c r="B26" s="211">
        <f>+'1.mell.1.tábl.'!C156</f>
        <v>752444895</v>
      </c>
      <c r="C26" s="210" t="s">
        <v>392</v>
      </c>
      <c r="D26" s="212">
        <f>+'2.mell.1.tábl.'!G34+'2.mell.2.tábl.'!G31</f>
        <v>752444895</v>
      </c>
      <c r="E26" s="211">
        <f>+B26-D26</f>
        <v>0</v>
      </c>
    </row>
    <row r="27" spans="1:5" x14ac:dyDescent="0.2">
      <c r="A27" s="210"/>
      <c r="B27" s="211"/>
      <c r="C27" s="210"/>
      <c r="D27" s="212"/>
      <c r="E27" s="211"/>
    </row>
    <row r="28" spans="1:5" ht="15.75" x14ac:dyDescent="0.25">
      <c r="A28" s="61" t="str">
        <f>+ÖSSZEFÜGGÉSEK!A31</f>
        <v>2020. évi előirányzat módosítások KIADÁSOK</v>
      </c>
      <c r="B28" s="213"/>
      <c r="C28" s="214"/>
      <c r="D28" s="212"/>
      <c r="E28" s="211"/>
    </row>
    <row r="29" spans="1:5" x14ac:dyDescent="0.2">
      <c r="A29" s="210"/>
      <c r="B29" s="211"/>
      <c r="C29" s="210"/>
      <c r="D29" s="212"/>
      <c r="E29" s="211"/>
    </row>
    <row r="30" spans="1:5" x14ac:dyDescent="0.2">
      <c r="A30" s="210" t="s">
        <v>409</v>
      </c>
      <c r="B30" s="211">
        <f>+'1.mell.1.tábl.'!F130</f>
        <v>89206093</v>
      </c>
      <c r="C30" s="210" t="s">
        <v>383</v>
      </c>
      <c r="D30" s="212">
        <f>+'2.mell.1.tábl.'!H22+'2.mell.2.tábl.'!H17</f>
        <v>89206093</v>
      </c>
      <c r="E30" s="211">
        <f>+B30-D30</f>
        <v>0</v>
      </c>
    </row>
    <row r="31" spans="1:5" x14ac:dyDescent="0.2">
      <c r="A31" s="210" t="s">
        <v>410</v>
      </c>
      <c r="B31" s="211">
        <f>+'1.mell.1.tábl.'!F155</f>
        <v>0</v>
      </c>
      <c r="C31" s="210" t="s">
        <v>393</v>
      </c>
      <c r="D31" s="212">
        <f>+'2.mell.1.tábl.'!H33+'2.mell.2.tábl.'!H30</f>
        <v>0</v>
      </c>
      <c r="E31" s="211">
        <f>+B31-D31</f>
        <v>0</v>
      </c>
    </row>
    <row r="32" spans="1:5" x14ac:dyDescent="0.2">
      <c r="A32" s="210" t="s">
        <v>411</v>
      </c>
      <c r="B32" s="211">
        <f>+'1.mell.1.tábl.'!F156</f>
        <v>89206093</v>
      </c>
      <c r="C32" s="210" t="s">
        <v>394</v>
      </c>
      <c r="D32" s="212">
        <f>+'2.mell.1.tábl.'!H34+'2.mell.2.tábl.'!H31</f>
        <v>89206093</v>
      </c>
      <c r="E32" s="211">
        <f>+B32-D32</f>
        <v>0</v>
      </c>
    </row>
    <row r="33" spans="1:5" x14ac:dyDescent="0.2">
      <c r="A33" s="210"/>
      <c r="B33" s="211"/>
      <c r="C33" s="210"/>
      <c r="D33" s="212"/>
      <c r="E33" s="211"/>
    </row>
    <row r="34" spans="1:5" ht="15.75" x14ac:dyDescent="0.25">
      <c r="A34" s="216" t="str">
        <f>+ÖSSZEFÜGGÉSEK!A37</f>
        <v>2020. módosítás utáni módosított előirányzatok KIADÁSOK</v>
      </c>
      <c r="B34" s="213"/>
      <c r="C34" s="214"/>
      <c r="D34" s="212"/>
      <c r="E34" s="211"/>
    </row>
    <row r="35" spans="1:5" x14ac:dyDescent="0.2">
      <c r="A35" s="210"/>
      <c r="B35" s="211"/>
      <c r="C35" s="210"/>
      <c r="D35" s="212"/>
      <c r="E35" s="211"/>
    </row>
    <row r="36" spans="1:5" x14ac:dyDescent="0.2">
      <c r="A36" s="210" t="s">
        <v>412</v>
      </c>
      <c r="B36" s="211">
        <f>+'1.mell.1.tábl.'!G130</f>
        <v>830127445</v>
      </c>
      <c r="C36" s="210" t="s">
        <v>384</v>
      </c>
      <c r="D36" s="212">
        <f>+'2.mell.1.tábl.'!I22+'2.mell.2.tábl.'!I17</f>
        <v>830127445</v>
      </c>
      <c r="E36" s="211">
        <f>+B36-D36</f>
        <v>0</v>
      </c>
    </row>
    <row r="37" spans="1:5" x14ac:dyDescent="0.2">
      <c r="A37" s="210" t="s">
        <v>413</v>
      </c>
      <c r="B37" s="211">
        <f>+'1.mell.1.tábl.'!G155</f>
        <v>11523543</v>
      </c>
      <c r="C37" s="210" t="s">
        <v>395</v>
      </c>
      <c r="D37" s="212">
        <f>+'2.mell.1.tábl.'!I33+'2.mell.2.tábl.'!I30</f>
        <v>11523543</v>
      </c>
      <c r="E37" s="211">
        <f>+B37-D37</f>
        <v>0</v>
      </c>
    </row>
    <row r="38" spans="1:5" x14ac:dyDescent="0.2">
      <c r="A38" s="210" t="s">
        <v>418</v>
      </c>
      <c r="B38" s="211">
        <f>+'1.mell.1.tábl.'!G156</f>
        <v>841650988</v>
      </c>
      <c r="C38" s="210" t="s">
        <v>396</v>
      </c>
      <c r="D38" s="212">
        <f>+'2.mell.1.tábl.'!I34+'2.mell.2.tábl.'!I31</f>
        <v>841650988</v>
      </c>
      <c r="E38" s="211">
        <f>+B38-D38</f>
        <v>0</v>
      </c>
    </row>
  </sheetData>
  <sheetProtection sheet="1"/>
  <phoneticPr fontId="22" type="noConversion"/>
  <conditionalFormatting sqref="E3:E15">
    <cfRule type="cellIs" dxfId="4" priority="2" stopIfTrue="1" operator="notEqual">
      <formula>0</formula>
    </cfRule>
  </conditionalFormatting>
  <conditionalFormatting sqref="E3:E38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Layout" zoomScaleNormal="100" zoomScaleSheetLayoutView="120" workbookViewId="0">
      <selection activeCell="A2" sqref="A2:K2"/>
    </sheetView>
  </sheetViews>
  <sheetFormatPr defaultRowHeight="15" x14ac:dyDescent="0.25"/>
  <cols>
    <col min="1" max="1" width="40.6640625" style="395" customWidth="1"/>
    <col min="2" max="2" width="15" style="395" customWidth="1"/>
    <col min="3" max="4" width="14" style="395" customWidth="1"/>
    <col min="5" max="5" width="12.83203125" style="395" customWidth="1"/>
    <col min="6" max="11" width="14" style="395" customWidth="1"/>
    <col min="12" max="16384" width="9.33203125" style="395"/>
  </cols>
  <sheetData>
    <row r="1" spans="1:12" ht="33" customHeight="1" x14ac:dyDescent="0.25">
      <c r="A1" s="733" t="s">
        <v>632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</row>
    <row r="2" spans="1:12" ht="15.95" customHeight="1" thickBot="1" x14ac:dyDescent="0.3">
      <c r="A2" s="734"/>
      <c r="B2" s="734"/>
      <c r="C2" s="734"/>
      <c r="D2" s="734"/>
      <c r="E2" s="734"/>
      <c r="F2" s="734"/>
      <c r="G2" s="734"/>
      <c r="H2" s="734"/>
      <c r="I2" s="734"/>
      <c r="J2" s="734"/>
      <c r="K2" s="734"/>
    </row>
    <row r="3" spans="1:12" ht="63" customHeight="1" thickBot="1" x14ac:dyDescent="0.3">
      <c r="A3" s="662" t="s">
        <v>633</v>
      </c>
      <c r="B3" s="663">
        <v>2020</v>
      </c>
      <c r="C3" s="664">
        <v>2021</v>
      </c>
      <c r="D3" s="665">
        <v>2022</v>
      </c>
      <c r="E3" s="664">
        <v>2023</v>
      </c>
      <c r="F3" s="665">
        <v>2024</v>
      </c>
      <c r="G3" s="664">
        <v>2025</v>
      </c>
      <c r="H3" s="665">
        <v>2026</v>
      </c>
      <c r="I3" s="664">
        <v>2027</v>
      </c>
      <c r="J3" s="665">
        <v>2028</v>
      </c>
      <c r="K3" s="665">
        <v>2029</v>
      </c>
    </row>
    <row r="4" spans="1:12" x14ac:dyDescent="0.25">
      <c r="A4" s="666" t="s">
        <v>634</v>
      </c>
      <c r="B4" s="667">
        <v>75500000</v>
      </c>
      <c r="C4" s="668">
        <v>75500000</v>
      </c>
      <c r="D4" s="667">
        <v>75500000</v>
      </c>
      <c r="E4" s="669">
        <v>75500000</v>
      </c>
      <c r="F4" s="668">
        <v>75500000</v>
      </c>
      <c r="G4" s="667">
        <v>75500000</v>
      </c>
      <c r="H4" s="667">
        <v>75500000</v>
      </c>
      <c r="I4" s="668">
        <v>75500000</v>
      </c>
      <c r="J4" s="669">
        <v>75500000</v>
      </c>
      <c r="K4" s="667">
        <v>75500000</v>
      </c>
      <c r="L4" s="670"/>
    </row>
    <row r="5" spans="1:12" ht="51.75" x14ac:dyDescent="0.25">
      <c r="A5" s="671" t="s">
        <v>635</v>
      </c>
      <c r="B5" s="672">
        <v>12624000</v>
      </c>
      <c r="C5" s="673">
        <v>12624000</v>
      </c>
      <c r="D5" s="673">
        <v>13000000</v>
      </c>
      <c r="E5" s="673">
        <v>13000000</v>
      </c>
      <c r="F5" s="673">
        <v>13000000</v>
      </c>
      <c r="G5" s="673">
        <v>13000000</v>
      </c>
      <c r="H5" s="673">
        <v>13000000</v>
      </c>
      <c r="I5" s="673">
        <v>13000000</v>
      </c>
      <c r="J5" s="673">
        <v>13000000</v>
      </c>
      <c r="K5" s="674">
        <v>13000000</v>
      </c>
    </row>
    <row r="6" spans="1:12" ht="26.25" x14ac:dyDescent="0.25">
      <c r="A6" s="671" t="s">
        <v>636</v>
      </c>
      <c r="B6" s="672"/>
      <c r="C6" s="673"/>
      <c r="D6" s="673"/>
      <c r="E6" s="673"/>
      <c r="F6" s="673"/>
      <c r="G6" s="673"/>
      <c r="H6" s="673"/>
      <c r="I6" s="673"/>
      <c r="J6" s="675"/>
      <c r="K6" s="674"/>
    </row>
    <row r="7" spans="1:12" ht="45" customHeight="1" x14ac:dyDescent="0.25">
      <c r="A7" s="671" t="s">
        <v>637</v>
      </c>
      <c r="B7" s="672">
        <v>4000000</v>
      </c>
      <c r="C7" s="673"/>
      <c r="D7" s="673"/>
      <c r="E7" s="673"/>
      <c r="F7" s="673"/>
      <c r="G7" s="673"/>
      <c r="H7" s="673"/>
      <c r="I7" s="673"/>
      <c r="J7" s="675"/>
      <c r="K7" s="674"/>
    </row>
    <row r="8" spans="1:12" x14ac:dyDescent="0.25">
      <c r="A8" s="671" t="s">
        <v>638</v>
      </c>
      <c r="B8" s="676">
        <v>400000</v>
      </c>
      <c r="C8" s="672">
        <v>400000</v>
      </c>
      <c r="D8" s="675">
        <v>400000</v>
      </c>
      <c r="E8" s="673">
        <v>400000</v>
      </c>
      <c r="F8" s="673">
        <v>400000</v>
      </c>
      <c r="G8" s="672">
        <v>400000</v>
      </c>
      <c r="H8" s="675">
        <v>400000</v>
      </c>
      <c r="I8" s="672">
        <v>400000</v>
      </c>
      <c r="J8" s="675">
        <v>400000</v>
      </c>
      <c r="K8" s="677">
        <v>400000</v>
      </c>
      <c r="L8" s="678"/>
    </row>
    <row r="9" spans="1:12" ht="27" thickBot="1" x14ac:dyDescent="0.3">
      <c r="A9" s="679" t="s">
        <v>639</v>
      </c>
      <c r="B9" s="680"/>
      <c r="C9" s="681"/>
      <c r="D9" s="681"/>
      <c r="E9" s="681"/>
      <c r="F9" s="681"/>
      <c r="G9" s="681"/>
      <c r="H9" s="681"/>
      <c r="I9" s="681"/>
      <c r="J9" s="682"/>
      <c r="K9" s="683"/>
    </row>
    <row r="10" spans="1:12" ht="15.75" thickBot="1" x14ac:dyDescent="0.3">
      <c r="A10" s="662" t="s">
        <v>506</v>
      </c>
      <c r="B10" s="684">
        <f t="shared" ref="B10:K10" si="0">SUM(B4:B9)</f>
        <v>92524000</v>
      </c>
      <c r="C10" s="684">
        <f t="shared" si="0"/>
        <v>88524000</v>
      </c>
      <c r="D10" s="684">
        <f t="shared" si="0"/>
        <v>88900000</v>
      </c>
      <c r="E10" s="684">
        <f t="shared" si="0"/>
        <v>88900000</v>
      </c>
      <c r="F10" s="684">
        <f t="shared" si="0"/>
        <v>88900000</v>
      </c>
      <c r="G10" s="684">
        <f t="shared" si="0"/>
        <v>88900000</v>
      </c>
      <c r="H10" s="684">
        <f t="shared" si="0"/>
        <v>88900000</v>
      </c>
      <c r="I10" s="684">
        <f t="shared" si="0"/>
        <v>88900000</v>
      </c>
      <c r="J10" s="684">
        <f t="shared" si="0"/>
        <v>88900000</v>
      </c>
      <c r="K10" s="685">
        <f t="shared" si="0"/>
        <v>88900000</v>
      </c>
    </row>
    <row r="11" spans="1:12" s="417" customFormat="1" x14ac:dyDescent="0.25">
      <c r="A11" s="686"/>
      <c r="B11" s="687"/>
      <c r="C11" s="688"/>
      <c r="D11" s="688"/>
      <c r="E11" s="688"/>
      <c r="F11" s="688"/>
      <c r="G11" s="688"/>
      <c r="H11" s="688"/>
      <c r="I11" s="688"/>
      <c r="J11" s="688"/>
      <c r="K11" s="688"/>
    </row>
    <row r="12" spans="1:12" ht="15.75" thickBot="1" x14ac:dyDescent="0.3">
      <c r="A12" s="688"/>
      <c r="B12" s="688"/>
      <c r="C12" s="688"/>
      <c r="D12" s="688"/>
      <c r="E12" s="688"/>
      <c r="F12" s="688"/>
      <c r="G12" s="688"/>
      <c r="H12" s="688"/>
      <c r="I12" s="688"/>
      <c r="J12" s="688"/>
      <c r="K12" s="688"/>
    </row>
    <row r="13" spans="1:12" ht="15.75" thickBot="1" x14ac:dyDescent="0.3">
      <c r="A13" s="689" t="s">
        <v>640</v>
      </c>
      <c r="B13" s="690">
        <v>2020</v>
      </c>
      <c r="C13" s="691">
        <v>2021</v>
      </c>
      <c r="D13" s="691">
        <v>2022</v>
      </c>
      <c r="E13" s="691">
        <v>2023</v>
      </c>
      <c r="F13" s="665">
        <v>2024</v>
      </c>
      <c r="G13" s="665">
        <v>2025</v>
      </c>
      <c r="H13" s="665">
        <v>2026</v>
      </c>
      <c r="I13" s="665">
        <v>2027</v>
      </c>
      <c r="J13" s="664">
        <v>2028</v>
      </c>
      <c r="K13" s="692">
        <v>2029</v>
      </c>
    </row>
    <row r="14" spans="1:12" ht="26.25" x14ac:dyDescent="0.25">
      <c r="A14" s="693" t="s">
        <v>641</v>
      </c>
      <c r="B14" s="694">
        <f>897117+3482119+1957530</f>
        <v>6336766</v>
      </c>
      <c r="C14" s="695">
        <f>10887472+3384216+1902549</f>
        <v>16174237</v>
      </c>
      <c r="D14" s="695">
        <f>10613871+3288790+1848961</f>
        <v>15751622</v>
      </c>
      <c r="E14" s="696">
        <f>10302594+3193363+1795377</f>
        <v>15291334</v>
      </c>
      <c r="F14" s="669">
        <f>9994817+3099102+1742452</f>
        <v>14836371</v>
      </c>
      <c r="G14" s="696">
        <f>9676614+3002506+1688203</f>
        <v>14367323</v>
      </c>
      <c r="H14" s="669">
        <f>9364053+2907079+1634616</f>
        <v>13905748</v>
      </c>
      <c r="I14" s="696">
        <f>9051493+2811653+1581033</f>
        <v>13444179</v>
      </c>
      <c r="J14" s="669">
        <f>8741144+2716611+1527667</f>
        <v>12985422</v>
      </c>
      <c r="K14" s="697">
        <f>4978385+1232955+752301</f>
        <v>6963641</v>
      </c>
      <c r="L14" s="678"/>
    </row>
    <row r="15" spans="1:12" ht="26.25" x14ac:dyDescent="0.25">
      <c r="A15" s="693" t="s">
        <v>642</v>
      </c>
      <c r="B15" s="694"/>
      <c r="C15" s="695"/>
      <c r="D15" s="695"/>
      <c r="E15" s="695"/>
      <c r="F15" s="698"/>
      <c r="G15" s="698"/>
      <c r="H15" s="698"/>
      <c r="I15" s="698"/>
      <c r="J15" s="699"/>
      <c r="K15" s="700"/>
    </row>
    <row r="16" spans="1:12" x14ac:dyDescent="0.25">
      <c r="A16" s="693" t="s">
        <v>643</v>
      </c>
      <c r="B16" s="694"/>
      <c r="C16" s="695"/>
      <c r="D16" s="695"/>
      <c r="E16" s="695"/>
      <c r="F16" s="698"/>
      <c r="G16" s="698"/>
      <c r="H16" s="698"/>
      <c r="I16" s="698"/>
      <c r="J16" s="699"/>
      <c r="K16" s="700"/>
    </row>
    <row r="17" spans="1:11" ht="26.25" x14ac:dyDescent="0.25">
      <c r="A17" s="693" t="s">
        <v>644</v>
      </c>
      <c r="B17" s="694"/>
      <c r="C17" s="695"/>
      <c r="D17" s="695"/>
      <c r="E17" s="695"/>
      <c r="F17" s="698"/>
      <c r="G17" s="698"/>
      <c r="H17" s="698"/>
      <c r="I17" s="698"/>
      <c r="J17" s="699"/>
      <c r="K17" s="700"/>
    </row>
    <row r="18" spans="1:11" ht="26.25" x14ac:dyDescent="0.25">
      <c r="A18" s="693" t="s">
        <v>645</v>
      </c>
      <c r="B18" s="694"/>
      <c r="C18" s="695"/>
      <c r="D18" s="695"/>
      <c r="E18" s="695"/>
      <c r="F18" s="698"/>
      <c r="G18" s="698"/>
      <c r="H18" s="698"/>
      <c r="I18" s="698"/>
      <c r="J18" s="699"/>
      <c r="K18" s="700"/>
    </row>
    <row r="19" spans="1:11" ht="39" x14ac:dyDescent="0.25">
      <c r="A19" s="693" t="s">
        <v>646</v>
      </c>
      <c r="B19" s="694"/>
      <c r="C19" s="695"/>
      <c r="D19" s="695"/>
      <c r="E19" s="695"/>
      <c r="F19" s="698"/>
      <c r="G19" s="698"/>
      <c r="H19" s="698"/>
      <c r="I19" s="698"/>
      <c r="J19" s="699"/>
      <c r="K19" s="700"/>
    </row>
    <row r="20" spans="1:11" ht="57" customHeight="1" thickBot="1" x14ac:dyDescent="0.3">
      <c r="A20" s="701" t="s">
        <v>647</v>
      </c>
      <c r="B20" s="702"/>
      <c r="C20" s="703"/>
      <c r="D20" s="703"/>
      <c r="E20" s="703"/>
      <c r="F20" s="704"/>
      <c r="G20" s="704"/>
      <c r="H20" s="704"/>
      <c r="I20" s="704"/>
      <c r="J20" s="705"/>
      <c r="K20" s="706"/>
    </row>
    <row r="21" spans="1:11" ht="15.75" thickBot="1" x14ac:dyDescent="0.3">
      <c r="A21" s="662" t="s">
        <v>506</v>
      </c>
      <c r="B21" s="707">
        <f t="shared" ref="B21:K21" si="1">SUM(B14:B20)</f>
        <v>6336766</v>
      </c>
      <c r="C21" s="707">
        <f t="shared" si="1"/>
        <v>16174237</v>
      </c>
      <c r="D21" s="707">
        <f t="shared" si="1"/>
        <v>15751622</v>
      </c>
      <c r="E21" s="707">
        <f t="shared" si="1"/>
        <v>15291334</v>
      </c>
      <c r="F21" s="707">
        <f t="shared" si="1"/>
        <v>14836371</v>
      </c>
      <c r="G21" s="707">
        <f t="shared" si="1"/>
        <v>14367323</v>
      </c>
      <c r="H21" s="707">
        <f t="shared" si="1"/>
        <v>13905748</v>
      </c>
      <c r="I21" s="707">
        <f t="shared" si="1"/>
        <v>13444179</v>
      </c>
      <c r="J21" s="707">
        <f t="shared" si="1"/>
        <v>12985422</v>
      </c>
      <c r="K21" s="685">
        <f t="shared" si="1"/>
        <v>6963641</v>
      </c>
    </row>
  </sheetData>
  <mergeCells count="2">
    <mergeCell ref="A1:K1"/>
    <mergeCell ref="A2:K2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17</vt:i4>
      </vt:variant>
    </vt:vector>
  </HeadingPairs>
  <TitlesOfParts>
    <vt:vector size="47" baseType="lpstr">
      <vt:lpstr>ÖSSZEFÜGGÉSEK</vt:lpstr>
      <vt:lpstr>1.mell.1.tábl.</vt:lpstr>
      <vt:lpstr>1.mell.2.tábl.</vt:lpstr>
      <vt:lpstr>1.mell.3.tábl.</vt:lpstr>
      <vt:lpstr>1.mell.4.tábl.</vt:lpstr>
      <vt:lpstr>2.mell.1.tábl.</vt:lpstr>
      <vt:lpstr>2.mell.2.tábl.</vt:lpstr>
      <vt:lpstr>ELLENŐRZÉS-1.sz.2.a.sz.2.b.sz.</vt:lpstr>
      <vt:lpstr>3.mell.</vt:lpstr>
      <vt:lpstr>4.mell.</vt:lpstr>
      <vt:lpstr>6.mell.</vt:lpstr>
      <vt:lpstr>7.mell.</vt:lpstr>
      <vt:lpstr>5.sz.mell.</vt:lpstr>
      <vt:lpstr>8.sz.melléklet</vt:lpstr>
      <vt:lpstr>9.mell.1.tábl.</vt:lpstr>
      <vt:lpstr>9.mell.2.tábl.</vt:lpstr>
      <vt:lpstr>9.mell.3.tábl.</vt:lpstr>
      <vt:lpstr>9.mell.4-tábl.</vt:lpstr>
      <vt:lpstr>9.mell.5.tábl.</vt:lpstr>
      <vt:lpstr>9.mell.6.tábl.</vt:lpstr>
      <vt:lpstr>9.mell.7-tábl.</vt:lpstr>
      <vt:lpstr>9.mell.8-tábl.</vt:lpstr>
      <vt:lpstr>10.sz.mell.</vt:lpstr>
      <vt:lpstr>11.sz.mell.</vt:lpstr>
      <vt:lpstr>12.sz.mell.</vt:lpstr>
      <vt:lpstr>13.sz.mell.</vt:lpstr>
      <vt:lpstr>14.sz.mell.</vt:lpstr>
      <vt:lpstr>15.sz.mell.</vt:lpstr>
      <vt:lpstr>16.sz.mell.</vt:lpstr>
      <vt:lpstr>17.sz.mell.</vt:lpstr>
      <vt:lpstr>'9.mell.1.tábl.'!Nyomtatási_cím</vt:lpstr>
      <vt:lpstr>'9.mell.2.tábl.'!Nyomtatási_cím</vt:lpstr>
      <vt:lpstr>'9.mell.3.tábl.'!Nyomtatási_cím</vt:lpstr>
      <vt:lpstr>'9.mell.4-tábl.'!Nyomtatási_cím</vt:lpstr>
      <vt:lpstr>'9.mell.5.tábl.'!Nyomtatási_cím</vt:lpstr>
      <vt:lpstr>'9.mell.6.tábl.'!Nyomtatási_cím</vt:lpstr>
      <vt:lpstr>'9.mell.7-tábl.'!Nyomtatási_cím</vt:lpstr>
      <vt:lpstr>'9.mell.8-tábl.'!Nyomtatási_cím</vt:lpstr>
      <vt:lpstr>'1.mell.1.tábl.'!Nyomtatási_terület</vt:lpstr>
      <vt:lpstr>'1.mell.2.tábl.'!Nyomtatási_terület</vt:lpstr>
      <vt:lpstr>'1.mell.3.tábl.'!Nyomtatási_terület</vt:lpstr>
      <vt:lpstr>'1.mell.4.tábl.'!Nyomtatási_terület</vt:lpstr>
      <vt:lpstr>'11.sz.mell.'!Nyomtatási_terület</vt:lpstr>
      <vt:lpstr>'2.mell.1.tábl.'!Nyomtatási_terület</vt:lpstr>
      <vt:lpstr>'2.mell.2.tábl.'!Nyomtatási_terület</vt:lpstr>
      <vt:lpstr>'3.mell.'!Nyomtatási_terület</vt:lpstr>
      <vt:lpstr>'9.mell.5.tábl.'!Nyomtatási_terület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Koltai Bernadett</cp:lastModifiedBy>
  <cp:lastPrinted>2021-05-25T06:42:03Z</cp:lastPrinted>
  <dcterms:created xsi:type="dcterms:W3CDTF">1999-10-30T10:30:45Z</dcterms:created>
  <dcterms:modified xsi:type="dcterms:W3CDTF">2021-05-28T08:31:38Z</dcterms:modified>
</cp:coreProperties>
</file>