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3540" yWindow="-180" windowWidth="14265" windowHeight="12930" tabRatio="934" activeTab="3"/>
  </bookViews>
  <sheets>
    <sheet name="1.Onbe" sheetId="113" r:id="rId1"/>
    <sheet name="1.A Norm" sheetId="114" r:id="rId2"/>
    <sheet name="2.Onki" sheetId="115" r:id="rId3"/>
    <sheet name="3.Inbe " sheetId="152" r:id="rId4"/>
    <sheet name="3.A Inbe" sheetId="153" r:id="rId5"/>
    <sheet name="4.Inki" sheetId="157" r:id="rId6"/>
    <sheet name="5.Infelhki" sheetId="156" r:id="rId7"/>
    <sheet name="6.Önk.műk." sheetId="105" r:id="rId8"/>
    <sheet name="6.A Alapítv" sheetId="106" r:id="rId9"/>
    <sheet name="7.Beruh." sheetId="134" r:id="rId10"/>
    <sheet name="8.Felúj." sheetId="147" r:id="rId11"/>
    <sheet name="9.Projekt" sheetId="144" r:id="rId12"/>
    <sheet name="10.MVP és hazai" sheetId="148" r:id="rId13"/>
    <sheet name="11.EKF" sheetId="149" r:id="rId14"/>
    <sheet name="12.Mérleg" sheetId="109" r:id="rId15"/>
    <sheet name="13.Létszám" sheetId="150" r:id="rId16"/>
    <sheet name="14. Többéves" sheetId="172" r:id="rId17"/>
    <sheet name="15.Hitel" sheetId="49" r:id="rId18"/>
    <sheet name="15.A Beruh.hitel" sheetId="159" r:id="rId19"/>
    <sheet name="15.B Beruh.hitel" sheetId="126" state="hidden" r:id="rId20"/>
    <sheet name="16.EU" sheetId="160" r:id="rId21"/>
    <sheet name="17.Közv.tám." sheetId="151" r:id="rId22"/>
  </sheets>
  <definedNames>
    <definedName name="_4._sz._sor_részletezése" localSheetId="1">#REF!</definedName>
    <definedName name="_4._sz._sor_részletezése" localSheetId="0">#REF!</definedName>
    <definedName name="_4._sz._sor_részletezése" localSheetId="12">#REF!</definedName>
    <definedName name="_4._sz._sor_részletezése" localSheetId="13">#REF!</definedName>
    <definedName name="_4._sz._sor_részletezése" localSheetId="21">#REF!</definedName>
    <definedName name="_4._sz._sor_részletezése" localSheetId="6">#REF!</definedName>
    <definedName name="_4._sz._sor_részletezése" localSheetId="8">#REF!</definedName>
    <definedName name="_4._sz._sor_részletezése" localSheetId="9">#REF!</definedName>
    <definedName name="_4._sz._sor_részletezése" localSheetId="10">#REF!</definedName>
    <definedName name="_4._sz._sor_részletezése" localSheetId="11">#REF!</definedName>
    <definedName name="_4._sz._sor_részletezése">#REF!</definedName>
    <definedName name="_xlnm.Print_Titles" localSheetId="0">'1.Onbe'!#REF!</definedName>
    <definedName name="_xlnm.Print_Titles" localSheetId="12">'10.MVP és hazai'!#REF!</definedName>
    <definedName name="_xlnm.Print_Titles" localSheetId="13">'11.EKF'!#REF!</definedName>
    <definedName name="_xlnm.Print_Titles" localSheetId="15">'13.Létszám'!#REF!</definedName>
    <definedName name="_xlnm.Print_Titles" localSheetId="16">'14. Többéves'!$5:$8</definedName>
    <definedName name="_xlnm.Print_Titles" localSheetId="20">'16.EU'!#REF!</definedName>
    <definedName name="_xlnm.Print_Titles" localSheetId="2">'2.Onki'!#REF!</definedName>
    <definedName name="_xlnm.Print_Titles" localSheetId="4">'3.A Inbe'!#REF!</definedName>
    <definedName name="_xlnm.Print_Titles" localSheetId="3">'3.Inbe '!#REF!</definedName>
    <definedName name="_xlnm.Print_Titles" localSheetId="5">'4.Inki'!#REF!</definedName>
    <definedName name="_xlnm.Print_Titles" localSheetId="6">'5.Infelhki'!#REF!</definedName>
    <definedName name="_xlnm.Print_Titles" localSheetId="8">'6.A Alapítv'!#REF!</definedName>
    <definedName name="_xlnm.Print_Titles" localSheetId="7">'6.Önk.műk.'!#REF!</definedName>
    <definedName name="_xlnm.Print_Titles" localSheetId="9">'7.Beruh.'!#REF!</definedName>
    <definedName name="_xlnm.Print_Titles" localSheetId="10">'8.Felúj.'!#REF!</definedName>
    <definedName name="_xlnm.Print_Titles" localSheetId="11">'9.Projekt'!#REF!</definedName>
    <definedName name="_xlnm.Print_Area" localSheetId="1">'1.A Norm'!$A$1:$G$38</definedName>
    <definedName name="_xlnm.Print_Area" localSheetId="0">'1.Onbe'!$A$1:$M$66</definedName>
    <definedName name="_xlnm.Print_Area" localSheetId="12">'10.MVP és hazai'!$A$1:$P$86</definedName>
    <definedName name="_xlnm.Print_Area" localSheetId="13">'11.EKF'!$A$1:$Q$189</definedName>
    <definedName name="_xlnm.Print_Area" localSheetId="14">'12.Mérleg'!$A$1:$I$41</definedName>
    <definedName name="_xlnm.Print_Area" localSheetId="15">'13.Létszám'!$A$1:$G$35</definedName>
    <definedName name="_xlnm.Print_Area" localSheetId="16">'14. Többéves'!$A$1:$F$86</definedName>
    <definedName name="_xlnm.Print_Area" localSheetId="18">'15.A Beruh.hitel'!$A$1:$F$33</definedName>
    <definedName name="_xlnm.Print_Area" localSheetId="19">'15.B Beruh.hitel'!$A$1:$C$13</definedName>
    <definedName name="_xlnm.Print_Area" localSheetId="17">'15.Hitel'!$A$1:$U$17</definedName>
    <definedName name="_xlnm.Print_Area" localSheetId="2">'2.Onki'!$A$1:$M$43</definedName>
    <definedName name="_xlnm.Print_Area" localSheetId="4">'3.A Inbe'!$A$1:$H$32</definedName>
    <definedName name="_xlnm.Print_Area" localSheetId="3">'3.Inbe '!$A$1:$O$188</definedName>
    <definedName name="_xlnm.Print_Area" localSheetId="5">'4.Inki'!$A$1:$R$323</definedName>
    <definedName name="_xlnm.Print_Area" localSheetId="6">'5.Infelhki'!$A$1:$L$126</definedName>
    <definedName name="_xlnm.Print_Area" localSheetId="8">'6.A Alapítv'!$A$1:$C$67</definedName>
    <definedName name="_xlnm.Print_Area" localSheetId="7">'6.Önk.műk.'!$A$1:$N$999</definedName>
    <definedName name="_xlnm.Print_Area" localSheetId="9">'7.Beruh.'!$A$1:$M$326</definedName>
    <definedName name="_xlnm.Print_Area" localSheetId="10">'8.Felúj.'!$A$1:$L$143</definedName>
    <definedName name="_xlnm.Print_Area" localSheetId="11">'9.Projekt'!$A$1:$P$215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7" i="106" l="1"/>
  <c r="N81" i="148" l="1"/>
  <c r="L81" i="148"/>
  <c r="J81" i="148"/>
  <c r="I81" i="148"/>
  <c r="N80" i="148"/>
  <c r="N82" i="148" s="1"/>
  <c r="L80" i="148"/>
  <c r="L82" i="148" s="1"/>
  <c r="K80" i="148"/>
  <c r="J80" i="148"/>
  <c r="J82" i="148" s="1"/>
  <c r="I80" i="148"/>
  <c r="I82" i="148" s="1"/>
  <c r="N79" i="148"/>
  <c r="L79" i="148"/>
  <c r="J79" i="148"/>
  <c r="I79" i="148"/>
  <c r="O77" i="148"/>
  <c r="E74" i="148" s="1"/>
  <c r="M77" i="148"/>
  <c r="O76" i="148"/>
  <c r="O75" i="148"/>
  <c r="O74" i="148"/>
  <c r="M72" i="148"/>
  <c r="K72" i="148"/>
  <c r="O72" i="148" s="1"/>
  <c r="E69" i="148" s="1"/>
  <c r="O71" i="148"/>
  <c r="O70" i="148"/>
  <c r="O69" i="148"/>
  <c r="M67" i="148"/>
  <c r="O67" i="148" s="1"/>
  <c r="E64" i="148" s="1"/>
  <c r="O66" i="148"/>
  <c r="O65" i="148"/>
  <c r="O64" i="148"/>
  <c r="M62" i="148"/>
  <c r="O62" i="148" s="1"/>
  <c r="E59" i="148" s="1"/>
  <c r="O61" i="148"/>
  <c r="O60" i="148"/>
  <c r="O59" i="148"/>
  <c r="K57" i="148"/>
  <c r="O57" i="148" s="1"/>
  <c r="E54" i="148" s="1"/>
  <c r="O56" i="148"/>
  <c r="O55" i="148"/>
  <c r="K54" i="148"/>
  <c r="K79" i="148" s="1"/>
  <c r="O52" i="148"/>
  <c r="E49" i="148" s="1"/>
  <c r="M52" i="148"/>
  <c r="O51" i="148"/>
  <c r="O50" i="148"/>
  <c r="O49" i="148"/>
  <c r="K47" i="148"/>
  <c r="M46" i="148"/>
  <c r="M47" i="148" s="1"/>
  <c r="K46" i="148"/>
  <c r="O46" i="148" s="1"/>
  <c r="O45" i="148"/>
  <c r="P44" i="148"/>
  <c r="O44" i="148"/>
  <c r="M42" i="148"/>
  <c r="K42" i="148"/>
  <c r="O42" i="148" s="1"/>
  <c r="E39" i="148" s="1"/>
  <c r="O41" i="148"/>
  <c r="O40" i="148"/>
  <c r="O39" i="148"/>
  <c r="N37" i="148"/>
  <c r="O37" i="148" s="1"/>
  <c r="E34" i="148" s="1"/>
  <c r="O36" i="148"/>
  <c r="O35" i="148"/>
  <c r="O34" i="148"/>
  <c r="K32" i="148"/>
  <c r="O31" i="148"/>
  <c r="M30" i="148"/>
  <c r="M80" i="148" s="1"/>
  <c r="P29" i="148"/>
  <c r="P79" i="148" s="1"/>
  <c r="O29" i="148"/>
  <c r="M29" i="148"/>
  <c r="M79" i="148" s="1"/>
  <c r="G29" i="148"/>
  <c r="M27" i="148"/>
  <c r="K27" i="148"/>
  <c r="O27" i="148" s="1"/>
  <c r="E24" i="148" s="1"/>
  <c r="O26" i="148"/>
  <c r="O25" i="148"/>
  <c r="M24" i="148"/>
  <c r="O24" i="148" s="1"/>
  <c r="G24" i="148"/>
  <c r="M22" i="148"/>
  <c r="K22" i="148"/>
  <c r="O22" i="148" s="1"/>
  <c r="E19" i="148" s="1"/>
  <c r="O21" i="148"/>
  <c r="O20" i="148"/>
  <c r="O19" i="148"/>
  <c r="G19" i="148"/>
  <c r="M17" i="148"/>
  <c r="K17" i="148"/>
  <c r="O17" i="148" s="1"/>
  <c r="E14" i="148" s="1"/>
  <c r="O16" i="148"/>
  <c r="O15" i="148"/>
  <c r="O14" i="148"/>
  <c r="G14" i="148"/>
  <c r="M50" i="113"/>
  <c r="U44" i="160"/>
  <c r="Q44" i="160"/>
  <c r="P44" i="160"/>
  <c r="N44" i="160"/>
  <c r="K44" i="160"/>
  <c r="J44" i="160"/>
  <c r="I44" i="160"/>
  <c r="V43" i="160"/>
  <c r="G43" i="160" s="1"/>
  <c r="O43" i="160"/>
  <c r="H43" i="160"/>
  <c r="V41" i="160"/>
  <c r="O41" i="160"/>
  <c r="G41" i="160"/>
  <c r="V40" i="160"/>
  <c r="O40" i="160"/>
  <c r="G40" i="160" s="1"/>
  <c r="V39" i="160"/>
  <c r="G39" i="160" s="1"/>
  <c r="T39" i="160"/>
  <c r="O39" i="160"/>
  <c r="V38" i="160"/>
  <c r="T38" i="160"/>
  <c r="O38" i="160"/>
  <c r="M38" i="160"/>
  <c r="G38" i="160"/>
  <c r="V37" i="160"/>
  <c r="O37" i="160"/>
  <c r="G37" i="160" s="1"/>
  <c r="V36" i="160"/>
  <c r="G36" i="160" s="1"/>
  <c r="T36" i="160"/>
  <c r="O36" i="160"/>
  <c r="T35" i="160"/>
  <c r="S35" i="160"/>
  <c r="V35" i="160" s="1"/>
  <c r="M35" i="160"/>
  <c r="L35" i="160"/>
  <c r="L44" i="160" s="1"/>
  <c r="V34" i="160"/>
  <c r="O34" i="160"/>
  <c r="G34" i="160" s="1"/>
  <c r="V33" i="160"/>
  <c r="T33" i="160"/>
  <c r="O33" i="160"/>
  <c r="M33" i="160"/>
  <c r="G33" i="160"/>
  <c r="V32" i="160"/>
  <c r="O32" i="160"/>
  <c r="G32" i="160" s="1"/>
  <c r="V31" i="160"/>
  <c r="T31" i="160"/>
  <c r="O31" i="160"/>
  <c r="M31" i="160"/>
  <c r="G31" i="160"/>
  <c r="T30" i="160"/>
  <c r="V30" i="160" s="1"/>
  <c r="G30" i="160" s="1"/>
  <c r="O30" i="160"/>
  <c r="T29" i="160"/>
  <c r="V29" i="160" s="1"/>
  <c r="G29" i="160" s="1"/>
  <c r="O29" i="160"/>
  <c r="T28" i="160"/>
  <c r="S28" i="160"/>
  <c r="V28" i="160" s="1"/>
  <c r="G28" i="160" s="1"/>
  <c r="O28" i="160"/>
  <c r="V27" i="160"/>
  <c r="G27" i="160" s="1"/>
  <c r="T27" i="160"/>
  <c r="O27" i="160"/>
  <c r="V26" i="160"/>
  <c r="T26" i="160"/>
  <c r="O26" i="160"/>
  <c r="M26" i="160"/>
  <c r="G26" i="160"/>
  <c r="V25" i="160"/>
  <c r="O25" i="160"/>
  <c r="G25" i="160" s="1"/>
  <c r="V24" i="160"/>
  <c r="O24" i="160"/>
  <c r="G24" i="160"/>
  <c r="T23" i="160"/>
  <c r="R23" i="160"/>
  <c r="V23" i="160" s="1"/>
  <c r="G23" i="160" s="1"/>
  <c r="O23" i="160"/>
  <c r="T22" i="160"/>
  <c r="S22" i="160"/>
  <c r="V22" i="160" s="1"/>
  <c r="G22" i="160" s="1"/>
  <c r="R22" i="160"/>
  <c r="R44" i="160" s="1"/>
  <c r="O22" i="160"/>
  <c r="V21" i="160"/>
  <c r="O21" i="160"/>
  <c r="G21" i="160"/>
  <c r="V20" i="160"/>
  <c r="O20" i="160"/>
  <c r="G20" i="160" s="1"/>
  <c r="V19" i="160"/>
  <c r="M19" i="160"/>
  <c r="O19" i="160" s="1"/>
  <c r="V18" i="160"/>
  <c r="G18" i="160" s="1"/>
  <c r="T18" i="160"/>
  <c r="O18" i="160"/>
  <c r="V17" i="160"/>
  <c r="O17" i="160"/>
  <c r="G17" i="160"/>
  <c r="V16" i="160"/>
  <c r="O16" i="160"/>
  <c r="G16" i="160" s="1"/>
  <c r="T15" i="160"/>
  <c r="T44" i="160" s="1"/>
  <c r="S15" i="160"/>
  <c r="S44" i="160" s="1"/>
  <c r="O15" i="160"/>
  <c r="V14" i="160"/>
  <c r="O14" i="160"/>
  <c r="G14" i="160" s="1"/>
  <c r="O179" i="149"/>
  <c r="O184" i="149" s="1"/>
  <c r="N179" i="149"/>
  <c r="N184" i="149" s="1"/>
  <c r="M179" i="149"/>
  <c r="M184" i="149" s="1"/>
  <c r="L179" i="149"/>
  <c r="L184" i="149" s="1"/>
  <c r="K179" i="149"/>
  <c r="K184" i="149" s="1"/>
  <c r="J179" i="149"/>
  <c r="J184" i="149" s="1"/>
  <c r="I179" i="149"/>
  <c r="I184" i="149" s="1"/>
  <c r="O178" i="149"/>
  <c r="O183" i="149" s="1"/>
  <c r="O185" i="149" s="1"/>
  <c r="N178" i="149"/>
  <c r="N183" i="149" s="1"/>
  <c r="M178" i="149"/>
  <c r="M183" i="149" s="1"/>
  <c r="M185" i="149" s="1"/>
  <c r="L178" i="149"/>
  <c r="L183" i="149" s="1"/>
  <c r="K178" i="149"/>
  <c r="K183" i="149" s="1"/>
  <c r="K185" i="149" s="1"/>
  <c r="J178" i="149"/>
  <c r="J183" i="149" s="1"/>
  <c r="I178" i="149"/>
  <c r="I183" i="149" s="1"/>
  <c r="O177" i="149"/>
  <c r="O182" i="149" s="1"/>
  <c r="N177" i="149"/>
  <c r="N182" i="149" s="1"/>
  <c r="L177" i="149"/>
  <c r="L182" i="149" s="1"/>
  <c r="J177" i="149"/>
  <c r="J182" i="149" s="1"/>
  <c r="I177" i="149"/>
  <c r="I182" i="149" s="1"/>
  <c r="G176" i="149"/>
  <c r="F176" i="149"/>
  <c r="M175" i="149"/>
  <c r="P175" i="149" s="1"/>
  <c r="P174" i="149"/>
  <c r="P173" i="149"/>
  <c r="P172" i="149"/>
  <c r="P170" i="149"/>
  <c r="M170" i="149"/>
  <c r="P169" i="149"/>
  <c r="P168" i="149"/>
  <c r="P167" i="149"/>
  <c r="P177" i="149" s="1"/>
  <c r="M167" i="149"/>
  <c r="M177" i="149" s="1"/>
  <c r="M182" i="149" s="1"/>
  <c r="P165" i="149"/>
  <c r="M165" i="149"/>
  <c r="P164" i="149"/>
  <c r="P163" i="149"/>
  <c r="P162" i="149"/>
  <c r="M160" i="149"/>
  <c r="P160" i="149" s="1"/>
  <c r="P159" i="149"/>
  <c r="P158" i="149"/>
  <c r="P157" i="149"/>
  <c r="P155" i="149"/>
  <c r="M155" i="149"/>
  <c r="P154" i="149"/>
  <c r="P153" i="149"/>
  <c r="P152" i="149"/>
  <c r="M150" i="149"/>
  <c r="P150" i="149" s="1"/>
  <c r="P149" i="149"/>
  <c r="P148" i="149"/>
  <c r="P147" i="149"/>
  <c r="P145" i="149"/>
  <c r="M145" i="149"/>
  <c r="P144" i="149"/>
  <c r="P143" i="149"/>
  <c r="P142" i="149"/>
  <c r="M140" i="149"/>
  <c r="P140" i="149" s="1"/>
  <c r="P139" i="149"/>
  <c r="P138" i="149"/>
  <c r="P137" i="149"/>
  <c r="P135" i="149"/>
  <c r="M135" i="149"/>
  <c r="P134" i="149"/>
  <c r="P133" i="149"/>
  <c r="P132" i="149"/>
  <c r="M130" i="149"/>
  <c r="P130" i="149" s="1"/>
  <c r="P129" i="149"/>
  <c r="P128" i="149"/>
  <c r="P127" i="149"/>
  <c r="P125" i="149"/>
  <c r="M125" i="149"/>
  <c r="P124" i="149"/>
  <c r="P123" i="149"/>
  <c r="P122" i="149"/>
  <c r="M120" i="149"/>
  <c r="P120" i="149" s="1"/>
  <c r="P119" i="149"/>
  <c r="P118" i="149"/>
  <c r="P117" i="149"/>
  <c r="P115" i="149"/>
  <c r="M115" i="149"/>
  <c r="P114" i="149"/>
  <c r="P113" i="149"/>
  <c r="P112" i="149"/>
  <c r="K109" i="149"/>
  <c r="P108" i="149"/>
  <c r="P107" i="149"/>
  <c r="P109" i="149" s="1"/>
  <c r="P106" i="149"/>
  <c r="P104" i="149"/>
  <c r="N104" i="149"/>
  <c r="P103" i="149"/>
  <c r="E101" i="149"/>
  <c r="N100" i="149"/>
  <c r="P100" i="149" s="1"/>
  <c r="E97" i="149" s="1"/>
  <c r="P99" i="149"/>
  <c r="P96" i="149"/>
  <c r="N96" i="149"/>
  <c r="P95" i="149"/>
  <c r="P98" i="149" s="1"/>
  <c r="E93" i="149"/>
  <c r="N92" i="149"/>
  <c r="P92" i="149" s="1"/>
  <c r="E89" i="149" s="1"/>
  <c r="P91" i="149"/>
  <c r="P88" i="149"/>
  <c r="N88" i="149"/>
  <c r="P87" i="149"/>
  <c r="P90" i="149" s="1"/>
  <c r="E85" i="149"/>
  <c r="L84" i="149"/>
  <c r="K84" i="149"/>
  <c r="P83" i="149"/>
  <c r="P82" i="149"/>
  <c r="P84" i="149" s="1"/>
  <c r="P81" i="149"/>
  <c r="K81" i="149"/>
  <c r="K177" i="149" s="1"/>
  <c r="O77" i="149"/>
  <c r="N77" i="149"/>
  <c r="M77" i="149"/>
  <c r="L77" i="149"/>
  <c r="K77" i="149"/>
  <c r="J77" i="149"/>
  <c r="I77" i="149"/>
  <c r="P77" i="149" s="1"/>
  <c r="O76" i="149"/>
  <c r="O78" i="149" s="1"/>
  <c r="N76" i="149"/>
  <c r="N78" i="149" s="1"/>
  <c r="M76" i="149"/>
  <c r="M78" i="149" s="1"/>
  <c r="L76" i="149"/>
  <c r="L78" i="149" s="1"/>
  <c r="K76" i="149"/>
  <c r="K78" i="149" s="1"/>
  <c r="J76" i="149"/>
  <c r="J78" i="149" s="1"/>
  <c r="I76" i="149"/>
  <c r="I78" i="149" s="1"/>
  <c r="O75" i="149"/>
  <c r="N75" i="149"/>
  <c r="M75" i="149"/>
  <c r="L75" i="149"/>
  <c r="J75" i="149"/>
  <c r="I75" i="149"/>
  <c r="F74" i="149"/>
  <c r="P73" i="149"/>
  <c r="M73" i="149"/>
  <c r="P72" i="149"/>
  <c r="P71" i="149"/>
  <c r="E71" i="149"/>
  <c r="M69" i="149"/>
  <c r="P69" i="149" s="1"/>
  <c r="E67" i="149" s="1"/>
  <c r="P68" i="149"/>
  <c r="P67" i="149"/>
  <c r="P65" i="149"/>
  <c r="M65" i="149"/>
  <c r="P64" i="149"/>
  <c r="P63" i="149"/>
  <c r="E63" i="149"/>
  <c r="M61" i="149"/>
  <c r="P61" i="149" s="1"/>
  <c r="E59" i="149" s="1"/>
  <c r="P60" i="149"/>
  <c r="P59" i="149"/>
  <c r="P57" i="149"/>
  <c r="M57" i="149"/>
  <c r="P56" i="149"/>
  <c r="P55" i="149"/>
  <c r="E55" i="149"/>
  <c r="M53" i="149"/>
  <c r="P53" i="149" s="1"/>
  <c r="E51" i="149" s="1"/>
  <c r="P52" i="149"/>
  <c r="P51" i="149"/>
  <c r="P49" i="149"/>
  <c r="M49" i="149"/>
  <c r="P48" i="149"/>
  <c r="P47" i="149"/>
  <c r="E47" i="149"/>
  <c r="M45" i="149"/>
  <c r="P45" i="149" s="1"/>
  <c r="E43" i="149" s="1"/>
  <c r="P44" i="149"/>
  <c r="P43" i="149"/>
  <c r="P41" i="149"/>
  <c r="M41" i="149"/>
  <c r="P40" i="149"/>
  <c r="P39" i="149"/>
  <c r="E39" i="149"/>
  <c r="M37" i="149"/>
  <c r="P37" i="149" s="1"/>
  <c r="P36" i="149"/>
  <c r="P34" i="149"/>
  <c r="E31" i="149" s="1"/>
  <c r="K34" i="149"/>
  <c r="P33" i="149"/>
  <c r="P32" i="149"/>
  <c r="P31" i="149"/>
  <c r="P29" i="149"/>
  <c r="E26" i="149" s="1"/>
  <c r="M29" i="149"/>
  <c r="P28" i="149"/>
  <c r="P27" i="149"/>
  <c r="P26" i="149"/>
  <c r="P24" i="149"/>
  <c r="E21" i="149" s="1"/>
  <c r="N24" i="149"/>
  <c r="P23" i="149"/>
  <c r="P22" i="149"/>
  <c r="P21" i="149"/>
  <c r="K18" i="149"/>
  <c r="J18" i="149"/>
  <c r="I18" i="149"/>
  <c r="P17" i="149"/>
  <c r="P18" i="149" s="1"/>
  <c r="E15" i="149" s="1"/>
  <c r="K15" i="149"/>
  <c r="K75" i="149" s="1"/>
  <c r="G15" i="149"/>
  <c r="G74" i="149" s="1"/>
  <c r="N210" i="144"/>
  <c r="M210" i="144"/>
  <c r="L210" i="144"/>
  <c r="K210" i="144"/>
  <c r="J210" i="144"/>
  <c r="I210" i="144"/>
  <c r="O210" i="144" s="1"/>
  <c r="N209" i="144"/>
  <c r="N211" i="144" s="1"/>
  <c r="M209" i="144"/>
  <c r="M211" i="144" s="1"/>
  <c r="L209" i="144"/>
  <c r="L211" i="144" s="1"/>
  <c r="K209" i="144"/>
  <c r="K211" i="144" s="1"/>
  <c r="J209" i="144"/>
  <c r="J211" i="144" s="1"/>
  <c r="I209" i="144"/>
  <c r="I211" i="144" s="1"/>
  <c r="N208" i="144"/>
  <c r="L208" i="144"/>
  <c r="J208" i="144"/>
  <c r="I208" i="144"/>
  <c r="P207" i="144"/>
  <c r="M206" i="144"/>
  <c r="K206" i="144"/>
  <c r="O206" i="144" s="1"/>
  <c r="O205" i="144"/>
  <c r="O204" i="144"/>
  <c r="F203" i="144"/>
  <c r="O202" i="144"/>
  <c r="E199" i="144" s="1"/>
  <c r="M202" i="144"/>
  <c r="O201" i="144"/>
  <c r="O200" i="144"/>
  <c r="O199" i="144"/>
  <c r="O197" i="144"/>
  <c r="E194" i="144" s="1"/>
  <c r="K197" i="144"/>
  <c r="O196" i="144"/>
  <c r="O195" i="144"/>
  <c r="O194" i="144"/>
  <c r="L192" i="144"/>
  <c r="K192" i="144"/>
  <c r="O192" i="144" s="1"/>
  <c r="E189" i="144" s="1"/>
  <c r="O191" i="144"/>
  <c r="O190" i="144"/>
  <c r="O189" i="144"/>
  <c r="L187" i="144"/>
  <c r="K187" i="144"/>
  <c r="O187" i="144" s="1"/>
  <c r="O186" i="144"/>
  <c r="L186" i="144"/>
  <c r="O185" i="144"/>
  <c r="O184" i="144"/>
  <c r="G184" i="144"/>
  <c r="L182" i="144"/>
  <c r="K182" i="144"/>
  <c r="O182" i="144" s="1"/>
  <c r="E179" i="144" s="1"/>
  <c r="O181" i="144"/>
  <c r="O180" i="144"/>
  <c r="O179" i="144"/>
  <c r="K177" i="144"/>
  <c r="O177" i="144" s="1"/>
  <c r="E174" i="144" s="1"/>
  <c r="O176" i="144"/>
  <c r="O175" i="144"/>
  <c r="P174" i="144"/>
  <c r="O174" i="144"/>
  <c r="O172" i="144"/>
  <c r="E169" i="144" s="1"/>
  <c r="K172" i="144"/>
  <c r="O171" i="144"/>
  <c r="O170" i="144"/>
  <c r="O169" i="144"/>
  <c r="M167" i="144"/>
  <c r="K167" i="144"/>
  <c r="O167" i="144" s="1"/>
  <c r="E164" i="144" s="1"/>
  <c r="O166" i="144"/>
  <c r="O165" i="144"/>
  <c r="O164" i="144"/>
  <c r="K162" i="144"/>
  <c r="O162" i="144" s="1"/>
  <c r="E159" i="144" s="1"/>
  <c r="O161" i="144"/>
  <c r="O160" i="144"/>
  <c r="O159" i="144"/>
  <c r="K157" i="144"/>
  <c r="O157" i="144" s="1"/>
  <c r="E154" i="144" s="1"/>
  <c r="O156" i="144"/>
  <c r="O155" i="144"/>
  <c r="O154" i="144"/>
  <c r="K152" i="144"/>
  <c r="O152" i="144" s="1"/>
  <c r="E149" i="144" s="1"/>
  <c r="O151" i="144"/>
  <c r="O150" i="144"/>
  <c r="P149" i="144"/>
  <c r="O149" i="144"/>
  <c r="K147" i="144"/>
  <c r="J147" i="144"/>
  <c r="O147" i="144" s="1"/>
  <c r="I147" i="144"/>
  <c r="O146" i="144"/>
  <c r="O145" i="144"/>
  <c r="O144" i="144"/>
  <c r="K144" i="144"/>
  <c r="K208" i="144" s="1"/>
  <c r="G144" i="144"/>
  <c r="E144" i="144" s="1"/>
  <c r="O142" i="144"/>
  <c r="E139" i="144" s="1"/>
  <c r="L142" i="144"/>
  <c r="O141" i="144"/>
  <c r="O140" i="144"/>
  <c r="O139" i="144"/>
  <c r="L137" i="144"/>
  <c r="K137" i="144"/>
  <c r="J137" i="144"/>
  <c r="I137" i="144"/>
  <c r="O137" i="144" s="1"/>
  <c r="E134" i="144" s="1"/>
  <c r="O136" i="144"/>
  <c r="O135" i="144"/>
  <c r="K134" i="144"/>
  <c r="O134" i="144" s="1"/>
  <c r="G134" i="144"/>
  <c r="K132" i="144"/>
  <c r="O132" i="144" s="1"/>
  <c r="O131" i="144"/>
  <c r="O130" i="144"/>
  <c r="O129" i="144"/>
  <c r="G129" i="144"/>
  <c r="E129" i="144" s="1"/>
  <c r="M127" i="144"/>
  <c r="K127" i="144"/>
  <c r="O127" i="144" s="1"/>
  <c r="O126" i="144"/>
  <c r="O125" i="144"/>
  <c r="O124" i="144"/>
  <c r="G124" i="144"/>
  <c r="E124" i="144" s="1"/>
  <c r="O122" i="144"/>
  <c r="E119" i="144" s="1"/>
  <c r="K122" i="144"/>
  <c r="O121" i="144"/>
  <c r="O120" i="144"/>
  <c r="O119" i="144"/>
  <c r="M117" i="144"/>
  <c r="K117" i="144"/>
  <c r="O117" i="144" s="1"/>
  <c r="E114" i="144" s="1"/>
  <c r="O116" i="144"/>
  <c r="O115" i="144"/>
  <c r="M114" i="144"/>
  <c r="M208" i="144" s="1"/>
  <c r="G114" i="144"/>
  <c r="N112" i="144"/>
  <c r="M112" i="144"/>
  <c r="L112" i="144"/>
  <c r="K112" i="144"/>
  <c r="O112" i="144" s="1"/>
  <c r="O111" i="144"/>
  <c r="O110" i="144"/>
  <c r="O109" i="144"/>
  <c r="M109" i="144"/>
  <c r="G109" i="144"/>
  <c r="E109" i="144" s="1"/>
  <c r="O107" i="144"/>
  <c r="E104" i="144" s="1"/>
  <c r="N107" i="144"/>
  <c r="O106" i="144"/>
  <c r="O105" i="144"/>
  <c r="O104" i="144"/>
  <c r="O102" i="144"/>
  <c r="E99" i="144" s="1"/>
  <c r="M102" i="144"/>
  <c r="O101" i="144"/>
  <c r="O100" i="144"/>
  <c r="O99" i="144"/>
  <c r="M97" i="144"/>
  <c r="K97" i="144"/>
  <c r="O97" i="144" s="1"/>
  <c r="E94" i="144" s="1"/>
  <c r="O96" i="144"/>
  <c r="O95" i="144"/>
  <c r="M94" i="144"/>
  <c r="O94" i="144" s="1"/>
  <c r="G94" i="144"/>
  <c r="M92" i="144"/>
  <c r="K92" i="144"/>
  <c r="O92" i="144" s="1"/>
  <c r="E89" i="144" s="1"/>
  <c r="O91" i="144"/>
  <c r="O90" i="144"/>
  <c r="O89" i="144"/>
  <c r="G89" i="144"/>
  <c r="M87" i="144"/>
  <c r="O87" i="144" s="1"/>
  <c r="E84" i="144" s="1"/>
  <c r="O86" i="144"/>
  <c r="O85" i="144"/>
  <c r="O84" i="144"/>
  <c r="K82" i="144"/>
  <c r="O82" i="144" s="1"/>
  <c r="E79" i="144" s="1"/>
  <c r="O81" i="144"/>
  <c r="O80" i="144"/>
  <c r="O79" i="144"/>
  <c r="G79" i="144"/>
  <c r="F79" i="144"/>
  <c r="M77" i="144"/>
  <c r="K77" i="144"/>
  <c r="O77" i="144" s="1"/>
  <c r="E74" i="144" s="1"/>
  <c r="O76" i="144"/>
  <c r="O75" i="144"/>
  <c r="O74" i="144"/>
  <c r="G74" i="144"/>
  <c r="M72" i="144"/>
  <c r="K72" i="144"/>
  <c r="O72" i="144" s="1"/>
  <c r="O71" i="144"/>
  <c r="O70" i="144"/>
  <c r="O69" i="144"/>
  <c r="M69" i="144"/>
  <c r="G69" i="144"/>
  <c r="M67" i="144"/>
  <c r="K67" i="144"/>
  <c r="O67" i="144" s="1"/>
  <c r="E64" i="144" s="1"/>
  <c r="O66" i="144"/>
  <c r="O65" i="144"/>
  <c r="M64" i="144"/>
  <c r="O64" i="144" s="1"/>
  <c r="G64" i="144"/>
  <c r="M62" i="144"/>
  <c r="K62" i="144"/>
  <c r="O62" i="144" s="1"/>
  <c r="E59" i="144" s="1"/>
  <c r="O61" i="144"/>
  <c r="O60" i="144"/>
  <c r="O59" i="144"/>
  <c r="M59" i="144"/>
  <c r="N57" i="144"/>
  <c r="M57" i="144"/>
  <c r="L57" i="144"/>
  <c r="K57" i="144"/>
  <c r="O57" i="144" s="1"/>
  <c r="E54" i="144" s="1"/>
  <c r="O56" i="144"/>
  <c r="O55" i="144"/>
  <c r="O54" i="144"/>
  <c r="M54" i="144"/>
  <c r="L52" i="144"/>
  <c r="K52" i="144"/>
  <c r="O52" i="144" s="1"/>
  <c r="E49" i="144" s="1"/>
  <c r="O51" i="144"/>
  <c r="O50" i="144"/>
  <c r="O49" i="144"/>
  <c r="G49" i="144"/>
  <c r="M47" i="144"/>
  <c r="K47" i="144"/>
  <c r="O47" i="144" s="1"/>
  <c r="E44" i="144" s="1"/>
  <c r="O46" i="144"/>
  <c r="O45" i="144"/>
  <c r="O44" i="144"/>
  <c r="M44" i="144"/>
  <c r="M42" i="144"/>
  <c r="K42" i="144"/>
  <c r="O42" i="144" s="1"/>
  <c r="E39" i="144" s="1"/>
  <c r="O41" i="144"/>
  <c r="O40" i="144"/>
  <c r="O39" i="144"/>
  <c r="M39" i="144"/>
  <c r="M37" i="144"/>
  <c r="K37" i="144"/>
  <c r="O37" i="144" s="1"/>
  <c r="E34" i="144" s="1"/>
  <c r="O36" i="144"/>
  <c r="O35" i="144"/>
  <c r="O34" i="144"/>
  <c r="M34" i="144"/>
  <c r="M32" i="144"/>
  <c r="K32" i="144"/>
  <c r="O32" i="144" s="1"/>
  <c r="E29" i="144" s="1"/>
  <c r="O31" i="144"/>
  <c r="O30" i="144"/>
  <c r="O29" i="144"/>
  <c r="G29" i="144"/>
  <c r="M27" i="144"/>
  <c r="K27" i="144"/>
  <c r="O27" i="144" s="1"/>
  <c r="E24" i="144" s="1"/>
  <c r="O26" i="144"/>
  <c r="O25" i="144"/>
  <c r="O24" i="144"/>
  <c r="M24" i="144"/>
  <c r="L22" i="144"/>
  <c r="K22" i="144"/>
  <c r="J22" i="144"/>
  <c r="I22" i="144"/>
  <c r="O22" i="144" s="1"/>
  <c r="O21" i="144"/>
  <c r="O20" i="144"/>
  <c r="O19" i="144"/>
  <c r="G19" i="144"/>
  <c r="F19" i="144"/>
  <c r="E19" i="144" s="1"/>
  <c r="M17" i="144"/>
  <c r="K17" i="144"/>
  <c r="O17" i="144" s="1"/>
  <c r="E14" i="144" s="1"/>
  <c r="O16" i="144"/>
  <c r="O15" i="144"/>
  <c r="M14" i="144"/>
  <c r="O14" i="144" s="1"/>
  <c r="J139" i="147"/>
  <c r="I139" i="147"/>
  <c r="K139" i="147" s="1"/>
  <c r="J138" i="147"/>
  <c r="J140" i="147" s="1"/>
  <c r="I138" i="147"/>
  <c r="I140" i="147" s="1"/>
  <c r="K140" i="147" s="1"/>
  <c r="J137" i="147"/>
  <c r="I137" i="147"/>
  <c r="K137" i="147" s="1"/>
  <c r="K135" i="147"/>
  <c r="E133" i="147" s="1"/>
  <c r="J135" i="147"/>
  <c r="K134" i="147"/>
  <c r="J132" i="147"/>
  <c r="K130" i="147"/>
  <c r="K132" i="147" s="1"/>
  <c r="E128" i="147" s="1"/>
  <c r="K129" i="147"/>
  <c r="J127" i="147"/>
  <c r="K127" i="147" s="1"/>
  <c r="E123" i="147" s="1"/>
  <c r="K126" i="147"/>
  <c r="K125" i="147"/>
  <c r="K124" i="147"/>
  <c r="J121" i="147"/>
  <c r="K121" i="147" s="1"/>
  <c r="E117" i="147" s="1"/>
  <c r="K120" i="147"/>
  <c r="K119" i="147"/>
  <c r="K118" i="147"/>
  <c r="J114" i="147"/>
  <c r="K114" i="147" s="1"/>
  <c r="E110" i="147" s="1"/>
  <c r="K113" i="147"/>
  <c r="K112" i="147"/>
  <c r="K111" i="147"/>
  <c r="J107" i="147"/>
  <c r="K107" i="147" s="1"/>
  <c r="E103" i="147" s="1"/>
  <c r="K106" i="147"/>
  <c r="K105" i="147"/>
  <c r="K104" i="147"/>
  <c r="J102" i="147"/>
  <c r="K102" i="147" s="1"/>
  <c r="E98" i="147" s="1"/>
  <c r="K101" i="147"/>
  <c r="K100" i="147"/>
  <c r="K99" i="147"/>
  <c r="J95" i="147"/>
  <c r="K95" i="147" s="1"/>
  <c r="E91" i="147" s="1"/>
  <c r="K94" i="147"/>
  <c r="K93" i="147"/>
  <c r="K92" i="147"/>
  <c r="J90" i="147"/>
  <c r="K90" i="147" s="1"/>
  <c r="E86" i="147" s="1"/>
  <c r="K89" i="147"/>
  <c r="K88" i="147"/>
  <c r="K87" i="147"/>
  <c r="J83" i="147"/>
  <c r="K83" i="147" s="1"/>
  <c r="E79" i="147" s="1"/>
  <c r="K82" i="147"/>
  <c r="K81" i="147"/>
  <c r="K80" i="147"/>
  <c r="J77" i="147"/>
  <c r="K77" i="147" s="1"/>
  <c r="E73" i="147" s="1"/>
  <c r="K76" i="147"/>
  <c r="K75" i="147"/>
  <c r="K74" i="147"/>
  <c r="J70" i="147"/>
  <c r="K70" i="147" s="1"/>
  <c r="E66" i="147" s="1"/>
  <c r="K69" i="147"/>
  <c r="K68" i="147"/>
  <c r="K67" i="147"/>
  <c r="J64" i="147"/>
  <c r="K64" i="147" s="1"/>
  <c r="E60" i="147" s="1"/>
  <c r="K63" i="147"/>
  <c r="K62" i="147"/>
  <c r="K61" i="147"/>
  <c r="J58" i="147"/>
  <c r="K58" i="147" s="1"/>
  <c r="E54" i="147" s="1"/>
  <c r="K57" i="147"/>
  <c r="K56" i="147"/>
  <c r="K55" i="147"/>
  <c r="J52" i="147"/>
  <c r="I52" i="147"/>
  <c r="K52" i="147" s="1"/>
  <c r="E48" i="147" s="1"/>
  <c r="K51" i="147"/>
  <c r="K50" i="147"/>
  <c r="K49" i="147"/>
  <c r="K47" i="147"/>
  <c r="E43" i="147" s="1"/>
  <c r="J47" i="147"/>
  <c r="K46" i="147"/>
  <c r="K45" i="147"/>
  <c r="K44" i="147"/>
  <c r="K42" i="147"/>
  <c r="E38" i="147" s="1"/>
  <c r="J42" i="147"/>
  <c r="K41" i="147"/>
  <c r="K40" i="147"/>
  <c r="K39" i="147"/>
  <c r="K37" i="147"/>
  <c r="J37" i="147"/>
  <c r="K35" i="147"/>
  <c r="K34" i="147"/>
  <c r="E33" i="147"/>
  <c r="J32" i="147"/>
  <c r="I32" i="147"/>
  <c r="K32" i="147" s="1"/>
  <c r="E28" i="147" s="1"/>
  <c r="K31" i="147"/>
  <c r="K30" i="147"/>
  <c r="K29" i="147"/>
  <c r="K27" i="147"/>
  <c r="J27" i="147"/>
  <c r="K26" i="147"/>
  <c r="K24" i="147"/>
  <c r="E23" i="147"/>
  <c r="J22" i="147"/>
  <c r="K22" i="147" s="1"/>
  <c r="E18" i="147" s="1"/>
  <c r="K21" i="147"/>
  <c r="K20" i="147"/>
  <c r="K19" i="147"/>
  <c r="J17" i="147"/>
  <c r="K17" i="147" s="1"/>
  <c r="E13" i="147" s="1"/>
  <c r="K16" i="147"/>
  <c r="K15" i="147"/>
  <c r="K14" i="147"/>
  <c r="K322" i="134"/>
  <c r="I322" i="134"/>
  <c r="K321" i="134"/>
  <c r="K323" i="134" s="1"/>
  <c r="J321" i="134"/>
  <c r="I321" i="134"/>
  <c r="L321" i="134" s="1"/>
  <c r="K320" i="134"/>
  <c r="J320" i="134"/>
  <c r="I320" i="134"/>
  <c r="L320" i="134" s="1"/>
  <c r="K318" i="134"/>
  <c r="J318" i="134"/>
  <c r="L317" i="134"/>
  <c r="L318" i="134" s="1"/>
  <c r="E316" i="134" s="1"/>
  <c r="L315" i="134"/>
  <c r="E313" i="134" s="1"/>
  <c r="J315" i="134"/>
  <c r="L314" i="134"/>
  <c r="L312" i="134"/>
  <c r="E310" i="134" s="1"/>
  <c r="J312" i="134"/>
  <c r="L311" i="134"/>
  <c r="L309" i="134"/>
  <c r="E307" i="134" s="1"/>
  <c r="J309" i="134"/>
  <c r="L308" i="134"/>
  <c r="L306" i="134"/>
  <c r="K306" i="134"/>
  <c r="L305" i="134"/>
  <c r="L304" i="134"/>
  <c r="E303" i="134"/>
  <c r="J302" i="134"/>
  <c r="L302" i="134" s="1"/>
  <c r="E299" i="134" s="1"/>
  <c r="L301" i="134"/>
  <c r="L300" i="134"/>
  <c r="L298" i="134"/>
  <c r="J298" i="134"/>
  <c r="L297" i="134"/>
  <c r="L296" i="134"/>
  <c r="E295" i="134"/>
  <c r="J293" i="134"/>
  <c r="J322" i="134" s="1"/>
  <c r="L292" i="134"/>
  <c r="J290" i="134"/>
  <c r="L290" i="134" s="1"/>
  <c r="E287" i="134" s="1"/>
  <c r="L289" i="134"/>
  <c r="L288" i="134"/>
  <c r="L286" i="134"/>
  <c r="J286" i="134"/>
  <c r="L285" i="134"/>
  <c r="L284" i="134"/>
  <c r="E283" i="134"/>
  <c r="J282" i="134"/>
  <c r="L282" i="134" s="1"/>
  <c r="E279" i="134" s="1"/>
  <c r="L281" i="134"/>
  <c r="L280" i="134"/>
  <c r="L278" i="134"/>
  <c r="J278" i="134"/>
  <c r="L277" i="134"/>
  <c r="L276" i="134"/>
  <c r="E275" i="134"/>
  <c r="J274" i="134"/>
  <c r="L274" i="134" s="1"/>
  <c r="E271" i="134" s="1"/>
  <c r="L273" i="134"/>
  <c r="L272" i="134"/>
  <c r="L270" i="134"/>
  <c r="K270" i="134"/>
  <c r="L269" i="134"/>
  <c r="L268" i="134"/>
  <c r="E267" i="134"/>
  <c r="K266" i="134"/>
  <c r="L266" i="134" s="1"/>
  <c r="E263" i="134" s="1"/>
  <c r="L265" i="134"/>
  <c r="L264" i="134"/>
  <c r="L262" i="134"/>
  <c r="E258" i="134" s="1"/>
  <c r="K262" i="134"/>
  <c r="L261" i="134"/>
  <c r="L260" i="134"/>
  <c r="L259" i="134"/>
  <c r="L257" i="134"/>
  <c r="E253" i="134" s="1"/>
  <c r="K257" i="134"/>
  <c r="L256" i="134"/>
  <c r="L255" i="134"/>
  <c r="L254" i="134"/>
  <c r="K252" i="134"/>
  <c r="J252" i="134"/>
  <c r="L252" i="134" s="1"/>
  <c r="E248" i="134" s="1"/>
  <c r="L251" i="134"/>
  <c r="L250" i="134"/>
  <c r="L249" i="134"/>
  <c r="K247" i="134"/>
  <c r="J247" i="134"/>
  <c r="L247" i="134" s="1"/>
  <c r="E243" i="134" s="1"/>
  <c r="L246" i="134"/>
  <c r="L245" i="134"/>
  <c r="L244" i="134"/>
  <c r="K242" i="134"/>
  <c r="J242" i="134"/>
  <c r="L242" i="134" s="1"/>
  <c r="E238" i="134" s="1"/>
  <c r="L241" i="134"/>
  <c r="L240" i="134"/>
  <c r="L239" i="134"/>
  <c r="K237" i="134"/>
  <c r="J237" i="134"/>
  <c r="L237" i="134" s="1"/>
  <c r="E233" i="134" s="1"/>
  <c r="L236" i="134"/>
  <c r="L235" i="134"/>
  <c r="L234" i="134"/>
  <c r="L232" i="134"/>
  <c r="K232" i="134"/>
  <c r="J232" i="134"/>
  <c r="L231" i="134"/>
  <c r="L230" i="134"/>
  <c r="L229" i="134"/>
  <c r="E228" i="134"/>
  <c r="K227" i="134"/>
  <c r="J227" i="134"/>
  <c r="L227" i="134" s="1"/>
  <c r="E223" i="134" s="1"/>
  <c r="L226" i="134"/>
  <c r="L225" i="134"/>
  <c r="L224" i="134"/>
  <c r="K222" i="134"/>
  <c r="J222" i="134"/>
  <c r="L222" i="134" s="1"/>
  <c r="E218" i="134" s="1"/>
  <c r="L221" i="134"/>
  <c r="L220" i="134"/>
  <c r="L219" i="134"/>
  <c r="K217" i="134"/>
  <c r="J217" i="134"/>
  <c r="L217" i="134" s="1"/>
  <c r="E213" i="134" s="1"/>
  <c r="L216" i="134"/>
  <c r="L215" i="134"/>
  <c r="L214" i="134"/>
  <c r="K212" i="134"/>
  <c r="J212" i="134"/>
  <c r="L212" i="134" s="1"/>
  <c r="E208" i="134" s="1"/>
  <c r="L211" i="134"/>
  <c r="L210" i="134"/>
  <c r="L209" i="134"/>
  <c r="K207" i="134"/>
  <c r="J207" i="134"/>
  <c r="L207" i="134" s="1"/>
  <c r="E203" i="134" s="1"/>
  <c r="L206" i="134"/>
  <c r="L205" i="134"/>
  <c r="L204" i="134"/>
  <c r="K202" i="134"/>
  <c r="J202" i="134"/>
  <c r="L202" i="134" s="1"/>
  <c r="E198" i="134" s="1"/>
  <c r="L201" i="134"/>
  <c r="L200" i="134"/>
  <c r="L199" i="134"/>
  <c r="K197" i="134"/>
  <c r="J197" i="134"/>
  <c r="L197" i="134" s="1"/>
  <c r="E193" i="134" s="1"/>
  <c r="L196" i="134"/>
  <c r="L195" i="134"/>
  <c r="L194" i="134"/>
  <c r="K192" i="134"/>
  <c r="J192" i="134"/>
  <c r="L192" i="134" s="1"/>
  <c r="E188" i="134" s="1"/>
  <c r="L191" i="134"/>
  <c r="L190" i="134"/>
  <c r="L189" i="134"/>
  <c r="K187" i="134"/>
  <c r="J187" i="134"/>
  <c r="I187" i="134"/>
  <c r="L187" i="134" s="1"/>
  <c r="L186" i="134"/>
  <c r="L185" i="134"/>
  <c r="L184" i="134"/>
  <c r="G183" i="134"/>
  <c r="E183" i="134" s="1"/>
  <c r="K182" i="134"/>
  <c r="J182" i="134"/>
  <c r="L182" i="134" s="1"/>
  <c r="E178" i="134" s="1"/>
  <c r="L181" i="134"/>
  <c r="L180" i="134"/>
  <c r="L179" i="134"/>
  <c r="K177" i="134"/>
  <c r="J177" i="134"/>
  <c r="L177" i="134" s="1"/>
  <c r="E173" i="134" s="1"/>
  <c r="L176" i="134"/>
  <c r="L175" i="134"/>
  <c r="L174" i="134"/>
  <c r="K172" i="134"/>
  <c r="J172" i="134"/>
  <c r="L172" i="134" s="1"/>
  <c r="E168" i="134" s="1"/>
  <c r="L171" i="134"/>
  <c r="L170" i="134"/>
  <c r="L169" i="134"/>
  <c r="K167" i="134"/>
  <c r="J167" i="134"/>
  <c r="L167" i="134" s="1"/>
  <c r="E163" i="134" s="1"/>
  <c r="L166" i="134"/>
  <c r="L165" i="134"/>
  <c r="L164" i="134"/>
  <c r="K162" i="134"/>
  <c r="J162" i="134"/>
  <c r="L162" i="134" s="1"/>
  <c r="E158" i="134" s="1"/>
  <c r="L161" i="134"/>
  <c r="L160" i="134"/>
  <c r="L159" i="134"/>
  <c r="K157" i="134"/>
  <c r="J157" i="134"/>
  <c r="L157" i="134" s="1"/>
  <c r="E153" i="134" s="1"/>
  <c r="L156" i="134"/>
  <c r="L155" i="134"/>
  <c r="L154" i="134"/>
  <c r="K152" i="134"/>
  <c r="J152" i="134"/>
  <c r="L152" i="134" s="1"/>
  <c r="E148" i="134" s="1"/>
  <c r="L151" i="134"/>
  <c r="L150" i="134"/>
  <c r="L149" i="134"/>
  <c r="K147" i="134"/>
  <c r="J147" i="134"/>
  <c r="L146" i="134"/>
  <c r="L145" i="134"/>
  <c r="L144" i="134"/>
  <c r="K142" i="134"/>
  <c r="J142" i="134"/>
  <c r="L142" i="134" s="1"/>
  <c r="E138" i="134" s="1"/>
  <c r="L141" i="134"/>
  <c r="L140" i="134"/>
  <c r="L139" i="134"/>
  <c r="K137" i="134"/>
  <c r="J137" i="134"/>
  <c r="L136" i="134"/>
  <c r="L135" i="134"/>
  <c r="L134" i="134"/>
  <c r="K132" i="134"/>
  <c r="J132" i="134"/>
  <c r="L132" i="134" s="1"/>
  <c r="E128" i="134" s="1"/>
  <c r="I132" i="134"/>
  <c r="L131" i="134"/>
  <c r="L130" i="134"/>
  <c r="L129" i="134"/>
  <c r="K127" i="134"/>
  <c r="J127" i="134"/>
  <c r="L127" i="134" s="1"/>
  <c r="E123" i="134" s="1"/>
  <c r="I127" i="134"/>
  <c r="L126" i="134"/>
  <c r="L125" i="134"/>
  <c r="L124" i="134"/>
  <c r="K122" i="134"/>
  <c r="J122" i="134"/>
  <c r="L122" i="134" s="1"/>
  <c r="E118" i="134" s="1"/>
  <c r="L121" i="134"/>
  <c r="L120" i="134"/>
  <c r="L119" i="134"/>
  <c r="K117" i="134"/>
  <c r="J117" i="134"/>
  <c r="L116" i="134"/>
  <c r="L115" i="134"/>
  <c r="L114" i="134"/>
  <c r="K112" i="134"/>
  <c r="J112" i="134"/>
  <c r="L112" i="134" s="1"/>
  <c r="E108" i="134" s="1"/>
  <c r="L111" i="134"/>
  <c r="L110" i="134"/>
  <c r="L109" i="134"/>
  <c r="K107" i="134"/>
  <c r="J107" i="134"/>
  <c r="L106" i="134"/>
  <c r="L105" i="134"/>
  <c r="L104" i="134"/>
  <c r="F103" i="134"/>
  <c r="K102" i="134"/>
  <c r="J102" i="134"/>
  <c r="L102" i="134" s="1"/>
  <c r="E98" i="134" s="1"/>
  <c r="L101" i="134"/>
  <c r="L100" i="134"/>
  <c r="L99" i="134"/>
  <c r="F98" i="134"/>
  <c r="K97" i="134"/>
  <c r="J97" i="134"/>
  <c r="L96" i="134"/>
  <c r="L95" i="134"/>
  <c r="L94" i="134"/>
  <c r="K92" i="134"/>
  <c r="J92" i="134"/>
  <c r="L92" i="134" s="1"/>
  <c r="L91" i="134"/>
  <c r="L90" i="134"/>
  <c r="L89" i="134"/>
  <c r="F88" i="134"/>
  <c r="K87" i="134"/>
  <c r="J87" i="134"/>
  <c r="L87" i="134" s="1"/>
  <c r="E83" i="134" s="1"/>
  <c r="L86" i="134"/>
  <c r="L85" i="134"/>
  <c r="L84" i="134"/>
  <c r="K82" i="134"/>
  <c r="J82" i="134"/>
  <c r="L82" i="134" s="1"/>
  <c r="E78" i="134" s="1"/>
  <c r="L81" i="134"/>
  <c r="L80" i="134"/>
  <c r="L79" i="134"/>
  <c r="K77" i="134"/>
  <c r="J77" i="134"/>
  <c r="L77" i="134" s="1"/>
  <c r="E73" i="134" s="1"/>
  <c r="L76" i="134"/>
  <c r="L75" i="134"/>
  <c r="L74" i="134"/>
  <c r="K72" i="134"/>
  <c r="J72" i="134"/>
  <c r="L72" i="134" s="1"/>
  <c r="E68" i="134" s="1"/>
  <c r="L71" i="134"/>
  <c r="L70" i="134"/>
  <c r="L69" i="134"/>
  <c r="F68" i="134"/>
  <c r="K67" i="134"/>
  <c r="J67" i="134"/>
  <c r="L66" i="134"/>
  <c r="L65" i="134"/>
  <c r="L64" i="134"/>
  <c r="F63" i="134"/>
  <c r="K62" i="134"/>
  <c r="J62" i="134"/>
  <c r="L62" i="134" s="1"/>
  <c r="E58" i="134" s="1"/>
  <c r="L61" i="134"/>
  <c r="L60" i="134"/>
  <c r="L59" i="134"/>
  <c r="F58" i="134"/>
  <c r="K57" i="134"/>
  <c r="J57" i="134"/>
  <c r="L56" i="134"/>
  <c r="L55" i="134"/>
  <c r="L54" i="134"/>
  <c r="F53" i="134"/>
  <c r="K52" i="134"/>
  <c r="J52" i="134"/>
  <c r="L52" i="134" s="1"/>
  <c r="E48" i="134" s="1"/>
  <c r="L51" i="134"/>
  <c r="L50" i="134"/>
  <c r="L49" i="134"/>
  <c r="K47" i="134"/>
  <c r="J47" i="134"/>
  <c r="L47" i="134" s="1"/>
  <c r="E43" i="134" s="1"/>
  <c r="L46" i="134"/>
  <c r="L45" i="134"/>
  <c r="L44" i="134"/>
  <c r="K42" i="134"/>
  <c r="J42" i="134"/>
  <c r="L42" i="134" s="1"/>
  <c r="E38" i="134" s="1"/>
  <c r="L41" i="134"/>
  <c r="L40" i="134"/>
  <c r="L39" i="134"/>
  <c r="K37" i="134"/>
  <c r="J37" i="134"/>
  <c r="L37" i="134" s="1"/>
  <c r="E33" i="134" s="1"/>
  <c r="L36" i="134"/>
  <c r="L35" i="134"/>
  <c r="L34" i="134"/>
  <c r="K32" i="134"/>
  <c r="J32" i="134"/>
  <c r="L32" i="134" s="1"/>
  <c r="E28" i="134" s="1"/>
  <c r="L31" i="134"/>
  <c r="L30" i="134"/>
  <c r="L29" i="134"/>
  <c r="K27" i="134"/>
  <c r="J27" i="134"/>
  <c r="L27" i="134" s="1"/>
  <c r="E23" i="134" s="1"/>
  <c r="I27" i="134"/>
  <c r="L26" i="134"/>
  <c r="L25" i="134"/>
  <c r="L24" i="134"/>
  <c r="G23" i="134"/>
  <c r="K22" i="134"/>
  <c r="J22" i="134"/>
  <c r="I22" i="134"/>
  <c r="L22" i="134" s="1"/>
  <c r="L21" i="134"/>
  <c r="L20" i="134"/>
  <c r="L19" i="134"/>
  <c r="G18" i="134"/>
  <c r="F18" i="134"/>
  <c r="E18" i="134"/>
  <c r="K17" i="134"/>
  <c r="J17" i="134"/>
  <c r="L16" i="134"/>
  <c r="L15" i="134"/>
  <c r="L14" i="134"/>
  <c r="C31" i="106"/>
  <c r="C30" i="106"/>
  <c r="C29" i="106"/>
  <c r="C19" i="106"/>
  <c r="C18" i="106"/>
  <c r="C17" i="106"/>
  <c r="C16" i="106"/>
  <c r="C15" i="106"/>
  <c r="C14" i="106"/>
  <c r="C13" i="106"/>
  <c r="I993" i="105"/>
  <c r="K991" i="105"/>
  <c r="M990" i="105"/>
  <c r="K990" i="105"/>
  <c r="J990" i="105"/>
  <c r="M989" i="105"/>
  <c r="M991" i="105" s="1"/>
  <c r="K989" i="105"/>
  <c r="J989" i="105"/>
  <c r="J991" i="105" s="1"/>
  <c r="I988" i="105"/>
  <c r="I892" i="105"/>
  <c r="I890" i="105"/>
  <c r="I888" i="105"/>
  <c r="I886" i="105"/>
  <c r="I884" i="105"/>
  <c r="I882" i="105"/>
  <c r="I880" i="105"/>
  <c r="I878" i="105"/>
  <c r="I876" i="105"/>
  <c r="I874" i="105"/>
  <c r="I872" i="105"/>
  <c r="I870" i="105"/>
  <c r="I868" i="105"/>
  <c r="I866" i="105"/>
  <c r="I864" i="105"/>
  <c r="I862" i="105"/>
  <c r="I860" i="105"/>
  <c r="I858" i="105"/>
  <c r="I856" i="105"/>
  <c r="I854" i="105"/>
  <c r="I852" i="105"/>
  <c r="I850" i="105"/>
  <c r="I848" i="105"/>
  <c r="I846" i="105"/>
  <c r="L843" i="105"/>
  <c r="K843" i="105"/>
  <c r="J843" i="105"/>
  <c r="I843" i="105" s="1"/>
  <c r="I842" i="105"/>
  <c r="L841" i="105"/>
  <c r="I841" i="105"/>
  <c r="I840" i="105"/>
  <c r="N838" i="105"/>
  <c r="I838" i="105" s="1"/>
  <c r="I837" i="105"/>
  <c r="I836" i="105"/>
  <c r="N834" i="105"/>
  <c r="L834" i="105"/>
  <c r="I834" i="105"/>
  <c r="I833" i="105"/>
  <c r="I832" i="105"/>
  <c r="L830" i="105"/>
  <c r="I830" i="105"/>
  <c r="I829" i="105"/>
  <c r="I828" i="105"/>
  <c r="I827" i="105"/>
  <c r="L825" i="105"/>
  <c r="I825" i="105" s="1"/>
  <c r="I824" i="105"/>
  <c r="I823" i="105"/>
  <c r="I822" i="105"/>
  <c r="L820" i="105"/>
  <c r="I820" i="105"/>
  <c r="I819" i="105"/>
  <c r="I818" i="105"/>
  <c r="I817" i="105"/>
  <c r="L815" i="105"/>
  <c r="I815" i="105" s="1"/>
  <c r="I814" i="105"/>
  <c r="I813" i="105"/>
  <c r="I812" i="105"/>
  <c r="L810" i="105"/>
  <c r="I810" i="105"/>
  <c r="I809" i="105"/>
  <c r="I808" i="105"/>
  <c r="I807" i="105"/>
  <c r="L805" i="105"/>
  <c r="I805" i="105" s="1"/>
  <c r="I804" i="105"/>
  <c r="I803" i="105"/>
  <c r="I802" i="105"/>
  <c r="L800" i="105"/>
  <c r="I800" i="105"/>
  <c r="I799" i="105"/>
  <c r="I798" i="105"/>
  <c r="I797" i="105"/>
  <c r="L795" i="105"/>
  <c r="I795" i="105" s="1"/>
  <c r="I794" i="105"/>
  <c r="I793" i="105"/>
  <c r="I792" i="105"/>
  <c r="L790" i="105"/>
  <c r="I790" i="105"/>
  <c r="I789" i="105"/>
  <c r="I788" i="105"/>
  <c r="I787" i="105"/>
  <c r="L785" i="105"/>
  <c r="I785" i="105" s="1"/>
  <c r="I784" i="105"/>
  <c r="I783" i="105"/>
  <c r="I782" i="105"/>
  <c r="L780" i="105"/>
  <c r="I780" i="105"/>
  <c r="I779" i="105"/>
  <c r="I778" i="105"/>
  <c r="I777" i="105"/>
  <c r="L775" i="105"/>
  <c r="I775" i="105" s="1"/>
  <c r="I774" i="105"/>
  <c r="I773" i="105"/>
  <c r="I772" i="105"/>
  <c r="L770" i="105"/>
  <c r="I770" i="105"/>
  <c r="I769" i="105"/>
  <c r="I768" i="105"/>
  <c r="I767" i="105"/>
  <c r="L765" i="105"/>
  <c r="I765" i="105" s="1"/>
  <c r="I764" i="105"/>
  <c r="I763" i="105"/>
  <c r="I762" i="105"/>
  <c r="L760" i="105"/>
  <c r="I760" i="105"/>
  <c r="I759" i="105"/>
  <c r="I758" i="105"/>
  <c r="I757" i="105"/>
  <c r="N755" i="105"/>
  <c r="I755" i="105" s="1"/>
  <c r="I754" i="105"/>
  <c r="I753" i="105"/>
  <c r="N752" i="105"/>
  <c r="I752" i="105" s="1"/>
  <c r="L750" i="105"/>
  <c r="I750" i="105" s="1"/>
  <c r="I749" i="105"/>
  <c r="I748" i="105"/>
  <c r="L747" i="105"/>
  <c r="I747" i="105" s="1"/>
  <c r="L745" i="105"/>
  <c r="I745" i="105" s="1"/>
  <c r="I744" i="105"/>
  <c r="I743" i="105"/>
  <c r="I742" i="105"/>
  <c r="L740" i="105"/>
  <c r="I740" i="105"/>
  <c r="I739" i="105"/>
  <c r="I738" i="105"/>
  <c r="I737" i="105"/>
  <c r="L735" i="105"/>
  <c r="I735" i="105" s="1"/>
  <c r="I734" i="105"/>
  <c r="I733" i="105"/>
  <c r="I732" i="105"/>
  <c r="L730" i="105"/>
  <c r="I730" i="105"/>
  <c r="I729" i="105"/>
  <c r="I728" i="105"/>
  <c r="L727" i="105"/>
  <c r="I727" i="105"/>
  <c r="N725" i="105"/>
  <c r="I725" i="105"/>
  <c r="I724" i="105"/>
  <c r="I723" i="105"/>
  <c r="I722" i="105"/>
  <c r="N720" i="105"/>
  <c r="I720" i="105" s="1"/>
  <c r="I719" i="105"/>
  <c r="I718" i="105"/>
  <c r="I717" i="105"/>
  <c r="N715" i="105"/>
  <c r="I715" i="105"/>
  <c r="I714" i="105"/>
  <c r="I713" i="105"/>
  <c r="I712" i="105"/>
  <c r="N710" i="105"/>
  <c r="I710" i="105" s="1"/>
  <c r="I709" i="105"/>
  <c r="I708" i="105"/>
  <c r="I707" i="105"/>
  <c r="N705" i="105"/>
  <c r="I705" i="105"/>
  <c r="I704" i="105"/>
  <c r="I703" i="105"/>
  <c r="I702" i="105"/>
  <c r="N699" i="105"/>
  <c r="N698" i="105"/>
  <c r="N697" i="105"/>
  <c r="I697" i="105" s="1"/>
  <c r="G696" i="105"/>
  <c r="F696" i="105"/>
  <c r="E696" i="105"/>
  <c r="L695" i="105"/>
  <c r="I695" i="105"/>
  <c r="I694" i="105"/>
  <c r="I693" i="105"/>
  <c r="L691" i="105"/>
  <c r="I691" i="105"/>
  <c r="I690" i="105"/>
  <c r="I689" i="105"/>
  <c r="I688" i="105"/>
  <c r="L686" i="105"/>
  <c r="I686" i="105" s="1"/>
  <c r="I685" i="105"/>
  <c r="I684" i="105"/>
  <c r="I683" i="105"/>
  <c r="L681" i="105"/>
  <c r="I681" i="105"/>
  <c r="I680" i="105"/>
  <c r="I679" i="105"/>
  <c r="I678" i="105"/>
  <c r="L676" i="105"/>
  <c r="I676" i="105" s="1"/>
  <c r="I675" i="105"/>
  <c r="I674" i="105"/>
  <c r="I673" i="105"/>
  <c r="L671" i="105"/>
  <c r="I671" i="105"/>
  <c r="I670" i="105"/>
  <c r="I669" i="105"/>
  <c r="I668" i="105"/>
  <c r="L666" i="105"/>
  <c r="I666" i="105" s="1"/>
  <c r="I665" i="105"/>
  <c r="I664" i="105"/>
  <c r="I663" i="105"/>
  <c r="L661" i="105"/>
  <c r="I661" i="105"/>
  <c r="I660" i="105"/>
  <c r="I659" i="105"/>
  <c r="I658" i="105"/>
  <c r="L656" i="105"/>
  <c r="I656" i="105" s="1"/>
  <c r="I655" i="105"/>
  <c r="I654" i="105"/>
  <c r="I653" i="105"/>
  <c r="L651" i="105"/>
  <c r="I651" i="105"/>
  <c r="I650" i="105"/>
  <c r="I649" i="105"/>
  <c r="I648" i="105"/>
  <c r="L646" i="105"/>
  <c r="I646" i="105" s="1"/>
  <c r="I645" i="105"/>
  <c r="I644" i="105"/>
  <c r="I643" i="105"/>
  <c r="L641" i="105"/>
  <c r="I641" i="105"/>
  <c r="I640" i="105"/>
  <c r="I639" i="105"/>
  <c r="I638" i="105"/>
  <c r="L636" i="105"/>
  <c r="I636" i="105" s="1"/>
  <c r="I635" i="105"/>
  <c r="I634" i="105"/>
  <c r="I633" i="105"/>
  <c r="L631" i="105"/>
  <c r="I631" i="105"/>
  <c r="I630" i="105"/>
  <c r="I629" i="105"/>
  <c r="I628" i="105"/>
  <c r="L626" i="105"/>
  <c r="I626" i="105" s="1"/>
  <c r="I625" i="105"/>
  <c r="I624" i="105"/>
  <c r="I623" i="105"/>
  <c r="L621" i="105"/>
  <c r="I621" i="105"/>
  <c r="I620" i="105"/>
  <c r="I619" i="105"/>
  <c r="I618" i="105"/>
  <c r="L616" i="105"/>
  <c r="I616" i="105" s="1"/>
  <c r="I615" i="105"/>
  <c r="I614" i="105"/>
  <c r="I613" i="105"/>
  <c r="L611" i="105"/>
  <c r="I611" i="105"/>
  <c r="I610" i="105"/>
  <c r="I609" i="105"/>
  <c r="I608" i="105"/>
  <c r="N606" i="105"/>
  <c r="I606" i="105" s="1"/>
  <c r="I605" i="105"/>
  <c r="I604" i="105"/>
  <c r="I603" i="105"/>
  <c r="N601" i="105"/>
  <c r="I601" i="105"/>
  <c r="I600" i="105"/>
  <c r="I599" i="105"/>
  <c r="N598" i="105"/>
  <c r="I598" i="105"/>
  <c r="F597" i="105"/>
  <c r="N595" i="105"/>
  <c r="I595" i="105" s="1"/>
  <c r="I594" i="105"/>
  <c r="I593" i="105"/>
  <c r="I592" i="105"/>
  <c r="N590" i="105"/>
  <c r="I590" i="105"/>
  <c r="I589" i="105"/>
  <c r="I588" i="105"/>
  <c r="I587" i="105"/>
  <c r="N585" i="105"/>
  <c r="I585" i="105" s="1"/>
  <c r="I584" i="105"/>
  <c r="I583" i="105"/>
  <c r="I582" i="105"/>
  <c r="N580" i="105"/>
  <c r="L580" i="105"/>
  <c r="I580" i="105" s="1"/>
  <c r="I579" i="105"/>
  <c r="I578" i="105"/>
  <c r="N577" i="105"/>
  <c r="I577" i="105" s="1"/>
  <c r="L574" i="105"/>
  <c r="I574" i="105" s="1"/>
  <c r="I573" i="105"/>
  <c r="I572" i="105"/>
  <c r="I571" i="105"/>
  <c r="N569" i="105"/>
  <c r="I569" i="105"/>
  <c r="I568" i="105"/>
  <c r="I567" i="105"/>
  <c r="I566" i="105"/>
  <c r="N564" i="105"/>
  <c r="I564" i="105" s="1"/>
  <c r="I563" i="105"/>
  <c r="I562" i="105"/>
  <c r="I561" i="105"/>
  <c r="I558" i="105"/>
  <c r="L557" i="105"/>
  <c r="I556" i="105"/>
  <c r="L554" i="105"/>
  <c r="I554" i="105"/>
  <c r="I553" i="105"/>
  <c r="I552" i="105"/>
  <c r="I551" i="105"/>
  <c r="L549" i="105"/>
  <c r="I549" i="105" s="1"/>
  <c r="I548" i="105"/>
  <c r="I547" i="105"/>
  <c r="I546" i="105"/>
  <c r="L544" i="105"/>
  <c r="I544" i="105"/>
  <c r="I543" i="105"/>
  <c r="I542" i="105"/>
  <c r="I541" i="105"/>
  <c r="J539" i="105"/>
  <c r="L538" i="105"/>
  <c r="L537" i="105"/>
  <c r="K537" i="105"/>
  <c r="I537" i="105"/>
  <c r="I536" i="105"/>
  <c r="N533" i="105"/>
  <c r="I533" i="105" s="1"/>
  <c r="I532" i="105"/>
  <c r="I531" i="105"/>
  <c r="I530" i="105"/>
  <c r="N528" i="105"/>
  <c r="I528" i="105"/>
  <c r="I527" i="105"/>
  <c r="I525" i="105"/>
  <c r="I522" i="105"/>
  <c r="L521" i="105"/>
  <c r="I520" i="105"/>
  <c r="L518" i="105"/>
  <c r="I518" i="105"/>
  <c r="I517" i="105"/>
  <c r="I516" i="105"/>
  <c r="I515" i="105"/>
  <c r="L512" i="105"/>
  <c r="I512" i="105" s="1"/>
  <c r="L511" i="105"/>
  <c r="I511" i="105" s="1"/>
  <c r="L509" i="105"/>
  <c r="I509" i="105" s="1"/>
  <c r="I508" i="105"/>
  <c r="I507" i="105"/>
  <c r="I506" i="105"/>
  <c r="L502" i="105"/>
  <c r="I502" i="105"/>
  <c r="I501" i="105"/>
  <c r="I500" i="105"/>
  <c r="I499" i="105"/>
  <c r="L497" i="105"/>
  <c r="I497" i="105" s="1"/>
  <c r="I496" i="105"/>
  <c r="I495" i="105"/>
  <c r="L494" i="105"/>
  <c r="I494" i="105" s="1"/>
  <c r="N492" i="105"/>
  <c r="I492" i="105" s="1"/>
  <c r="I491" i="105"/>
  <c r="I490" i="105"/>
  <c r="I489" i="105"/>
  <c r="N487" i="105"/>
  <c r="I487" i="105"/>
  <c r="I486" i="105"/>
  <c r="I485" i="105"/>
  <c r="I484" i="105"/>
  <c r="N482" i="105"/>
  <c r="I482" i="105" s="1"/>
  <c r="I481" i="105"/>
  <c r="I480" i="105"/>
  <c r="I479" i="105"/>
  <c r="N477" i="105"/>
  <c r="I477" i="105"/>
  <c r="I476" i="105"/>
  <c r="I475" i="105"/>
  <c r="I474" i="105"/>
  <c r="N472" i="105"/>
  <c r="I472" i="105" s="1"/>
  <c r="I471" i="105"/>
  <c r="I470" i="105"/>
  <c r="I469" i="105"/>
  <c r="L467" i="105"/>
  <c r="I467" i="105"/>
  <c r="I466" i="105"/>
  <c r="I465" i="105"/>
  <c r="I464" i="105"/>
  <c r="L462" i="105"/>
  <c r="I462" i="105" s="1"/>
  <c r="I461" i="105"/>
  <c r="I460" i="105"/>
  <c r="I459" i="105"/>
  <c r="L457" i="105"/>
  <c r="I456" i="105"/>
  <c r="N455" i="105"/>
  <c r="N457" i="105" s="1"/>
  <c r="I455" i="105"/>
  <c r="I454" i="105"/>
  <c r="N453" i="105"/>
  <c r="I453" i="105" s="1"/>
  <c r="L451" i="105"/>
  <c r="I451" i="105" s="1"/>
  <c r="I450" i="105"/>
  <c r="I449" i="105"/>
  <c r="I448" i="105"/>
  <c r="L446" i="105"/>
  <c r="K446" i="105"/>
  <c r="I446" i="105" s="1"/>
  <c r="J446" i="105"/>
  <c r="I445" i="105"/>
  <c r="I444" i="105"/>
  <c r="L443" i="105"/>
  <c r="I443" i="105"/>
  <c r="L441" i="105"/>
  <c r="I441" i="105"/>
  <c r="I440" i="105"/>
  <c r="I439" i="105"/>
  <c r="I438" i="105"/>
  <c r="L436" i="105"/>
  <c r="I436" i="105" s="1"/>
  <c r="I435" i="105"/>
  <c r="I434" i="105"/>
  <c r="I433" i="105"/>
  <c r="L431" i="105"/>
  <c r="I431" i="105"/>
  <c r="I430" i="105"/>
  <c r="I429" i="105"/>
  <c r="I428" i="105"/>
  <c r="N426" i="105"/>
  <c r="I426" i="105" s="1"/>
  <c r="I425" i="105"/>
  <c r="I424" i="105"/>
  <c r="I423" i="105"/>
  <c r="L421" i="105"/>
  <c r="I421" i="105"/>
  <c r="I420" i="105"/>
  <c r="I419" i="105"/>
  <c r="I418" i="105"/>
  <c r="L416" i="105"/>
  <c r="I416" i="105" s="1"/>
  <c r="I415" i="105"/>
  <c r="I414" i="105"/>
  <c r="I413" i="105"/>
  <c r="L411" i="105"/>
  <c r="I411" i="105"/>
  <c r="I410" i="105"/>
  <c r="I409" i="105"/>
  <c r="I408" i="105"/>
  <c r="N406" i="105"/>
  <c r="I406" i="105" s="1"/>
  <c r="I405" i="105"/>
  <c r="I404" i="105"/>
  <c r="I403" i="105"/>
  <c r="N401" i="105"/>
  <c r="L401" i="105"/>
  <c r="I401" i="105" s="1"/>
  <c r="I400" i="105"/>
  <c r="I399" i="105"/>
  <c r="I398" i="105"/>
  <c r="L396" i="105"/>
  <c r="I396" i="105"/>
  <c r="I395" i="105"/>
  <c r="I394" i="105"/>
  <c r="L393" i="105"/>
  <c r="I393" i="105"/>
  <c r="I390" i="105"/>
  <c r="I389" i="105"/>
  <c r="I388" i="105"/>
  <c r="N387" i="105"/>
  <c r="I387" i="105" s="1"/>
  <c r="N386" i="105"/>
  <c r="I385" i="105"/>
  <c r="I384" i="105"/>
  <c r="N382" i="105"/>
  <c r="I382" i="105" s="1"/>
  <c r="I381" i="105"/>
  <c r="I380" i="105"/>
  <c r="I379" i="105"/>
  <c r="N377" i="105"/>
  <c r="I377" i="105"/>
  <c r="I376" i="105"/>
  <c r="I375" i="105"/>
  <c r="I374" i="105"/>
  <c r="L372" i="105"/>
  <c r="I372" i="105" s="1"/>
  <c r="I371" i="105"/>
  <c r="I370" i="105"/>
  <c r="I369" i="105"/>
  <c r="M367" i="105"/>
  <c r="I367" i="105"/>
  <c r="I366" i="105"/>
  <c r="I365" i="105"/>
  <c r="I364" i="105"/>
  <c r="K362" i="105"/>
  <c r="J362" i="105"/>
  <c r="I362" i="105"/>
  <c r="I361" i="105"/>
  <c r="I360" i="105"/>
  <c r="I359" i="105"/>
  <c r="N357" i="105"/>
  <c r="L357" i="105"/>
  <c r="K357" i="105"/>
  <c r="J357" i="105"/>
  <c r="I357" i="105"/>
  <c r="I356" i="105"/>
  <c r="I355" i="105"/>
  <c r="I354" i="105"/>
  <c r="M352" i="105"/>
  <c r="I352" i="105" s="1"/>
  <c r="I351" i="105"/>
  <c r="I350" i="105"/>
  <c r="I349" i="105"/>
  <c r="M347" i="105"/>
  <c r="I347" i="105"/>
  <c r="I346" i="105"/>
  <c r="I345" i="105"/>
  <c r="I344" i="105"/>
  <c r="M342" i="105"/>
  <c r="I342" i="105" s="1"/>
  <c r="I341" i="105"/>
  <c r="I340" i="105"/>
  <c r="I339" i="105"/>
  <c r="M337" i="105"/>
  <c r="I337" i="105"/>
  <c r="I336" i="105"/>
  <c r="I335" i="105"/>
  <c r="I334" i="105"/>
  <c r="M332" i="105"/>
  <c r="I332" i="105" s="1"/>
  <c r="I331" i="105"/>
  <c r="I330" i="105"/>
  <c r="I329" i="105"/>
  <c r="M327" i="105"/>
  <c r="I327" i="105"/>
  <c r="I326" i="105"/>
  <c r="I325" i="105"/>
  <c r="I324" i="105"/>
  <c r="M322" i="105"/>
  <c r="I322" i="105" s="1"/>
  <c r="I321" i="105"/>
  <c r="I320" i="105"/>
  <c r="I319" i="105"/>
  <c r="M317" i="105"/>
  <c r="I317" i="105"/>
  <c r="I316" i="105"/>
  <c r="I315" i="105"/>
  <c r="I314" i="105"/>
  <c r="M312" i="105"/>
  <c r="I312" i="105" s="1"/>
  <c r="I311" i="105"/>
  <c r="I310" i="105"/>
  <c r="I309" i="105"/>
  <c r="M307" i="105"/>
  <c r="I307" i="105"/>
  <c r="I306" i="105"/>
  <c r="I305" i="105"/>
  <c r="M303" i="105"/>
  <c r="I303" i="105"/>
  <c r="I302" i="105"/>
  <c r="I301" i="105"/>
  <c r="I300" i="105"/>
  <c r="N297" i="105"/>
  <c r="M297" i="105"/>
  <c r="L297" i="105"/>
  <c r="L298" i="105" s="1"/>
  <c r="K297" i="105"/>
  <c r="J297" i="105"/>
  <c r="I297" i="105" s="1"/>
  <c r="N296" i="105"/>
  <c r="N298" i="105" s="1"/>
  <c r="M296" i="105"/>
  <c r="L296" i="105"/>
  <c r="K296" i="105"/>
  <c r="K298" i="105" s="1"/>
  <c r="J296" i="105"/>
  <c r="N295" i="105"/>
  <c r="M295" i="105"/>
  <c r="L295" i="105"/>
  <c r="K295" i="105"/>
  <c r="J295" i="105"/>
  <c r="I295" i="105" s="1"/>
  <c r="G294" i="105"/>
  <c r="F294" i="105"/>
  <c r="E294" i="105"/>
  <c r="L293" i="105"/>
  <c r="I293" i="105"/>
  <c r="I292" i="105"/>
  <c r="I291" i="105"/>
  <c r="I290" i="105"/>
  <c r="M288" i="105"/>
  <c r="I288" i="105" s="1"/>
  <c r="I287" i="105"/>
  <c r="I286" i="105"/>
  <c r="I285" i="105"/>
  <c r="M283" i="105"/>
  <c r="I283" i="105"/>
  <c r="I282" i="105"/>
  <c r="I281" i="105"/>
  <c r="I280" i="105"/>
  <c r="N278" i="105"/>
  <c r="I278" i="105" s="1"/>
  <c r="I277" i="105"/>
  <c r="I276" i="105"/>
  <c r="I275" i="105"/>
  <c r="N273" i="105"/>
  <c r="I273" i="105"/>
  <c r="I272" i="105"/>
  <c r="I271" i="105"/>
  <c r="I270" i="105"/>
  <c r="L268" i="105"/>
  <c r="I268" i="105" s="1"/>
  <c r="I267" i="105"/>
  <c r="I266" i="105"/>
  <c r="I265" i="105"/>
  <c r="I262" i="105"/>
  <c r="N261" i="105"/>
  <c r="I260" i="105"/>
  <c r="I257" i="105"/>
  <c r="N256" i="105"/>
  <c r="N258" i="105" s="1"/>
  <c r="L256" i="105"/>
  <c r="I255" i="105"/>
  <c r="N252" i="105"/>
  <c r="M252" i="105"/>
  <c r="L252" i="105"/>
  <c r="K252" i="105"/>
  <c r="J252" i="105"/>
  <c r="I252" i="105"/>
  <c r="M251" i="105"/>
  <c r="K251" i="105"/>
  <c r="J251" i="105"/>
  <c r="N250" i="105"/>
  <c r="M250" i="105"/>
  <c r="L250" i="105"/>
  <c r="K250" i="105"/>
  <c r="J250" i="105"/>
  <c r="I250" i="105"/>
  <c r="G249" i="105"/>
  <c r="F249" i="105"/>
  <c r="E249" i="105"/>
  <c r="N248" i="105"/>
  <c r="I248" i="105" s="1"/>
  <c r="I247" i="105"/>
  <c r="I246" i="105"/>
  <c r="I245" i="105"/>
  <c r="I242" i="105"/>
  <c r="L241" i="105"/>
  <c r="I240" i="105"/>
  <c r="N238" i="105"/>
  <c r="I238" i="105"/>
  <c r="I237" i="105"/>
  <c r="I236" i="105"/>
  <c r="I235" i="105"/>
  <c r="N233" i="105"/>
  <c r="I233" i="105" s="1"/>
  <c r="I232" i="105"/>
  <c r="I231" i="105"/>
  <c r="I230" i="105"/>
  <c r="N227" i="105"/>
  <c r="M227" i="105"/>
  <c r="L227" i="105"/>
  <c r="K227" i="105"/>
  <c r="J227" i="105"/>
  <c r="I227" i="105"/>
  <c r="N226" i="105"/>
  <c r="N228" i="105" s="1"/>
  <c r="M226" i="105"/>
  <c r="M228" i="105" s="1"/>
  <c r="K226" i="105"/>
  <c r="J226" i="105"/>
  <c r="N225" i="105"/>
  <c r="M225" i="105"/>
  <c r="L225" i="105"/>
  <c r="K225" i="105"/>
  <c r="I225" i="105" s="1"/>
  <c r="J225" i="105"/>
  <c r="J228" i="105" s="1"/>
  <c r="G224" i="105"/>
  <c r="F224" i="105"/>
  <c r="E224" i="105"/>
  <c r="L223" i="105"/>
  <c r="I223" i="105" s="1"/>
  <c r="I222" i="105"/>
  <c r="I221" i="105"/>
  <c r="I220" i="105"/>
  <c r="L218" i="105"/>
  <c r="I218" i="105"/>
  <c r="I217" i="105"/>
  <c r="I216" i="105"/>
  <c r="I215" i="105"/>
  <c r="L213" i="105"/>
  <c r="I213" i="105" s="1"/>
  <c r="I212" i="105"/>
  <c r="I211" i="105"/>
  <c r="I210" i="105"/>
  <c r="L208" i="105"/>
  <c r="I208" i="105"/>
  <c r="I207" i="105"/>
  <c r="I206" i="105"/>
  <c r="I205" i="105"/>
  <c r="N203" i="105"/>
  <c r="I202" i="105"/>
  <c r="L201" i="105"/>
  <c r="I200" i="105"/>
  <c r="L198" i="105"/>
  <c r="I198" i="105"/>
  <c r="I197" i="105"/>
  <c r="I196" i="105"/>
  <c r="I195" i="105"/>
  <c r="N193" i="105"/>
  <c r="I192" i="105"/>
  <c r="N191" i="105"/>
  <c r="L191" i="105"/>
  <c r="L193" i="105" s="1"/>
  <c r="I193" i="105" s="1"/>
  <c r="I191" i="105"/>
  <c r="N190" i="105"/>
  <c r="I190" i="105"/>
  <c r="N188" i="105"/>
  <c r="I188" i="105"/>
  <c r="I187" i="105"/>
  <c r="I186" i="105"/>
  <c r="I185" i="105"/>
  <c r="N182" i="105"/>
  <c r="I182" i="105" s="1"/>
  <c r="I181" i="105"/>
  <c r="I180" i="105"/>
  <c r="I179" i="105"/>
  <c r="N176" i="105"/>
  <c r="L176" i="105"/>
  <c r="I176" i="105" s="1"/>
  <c r="I175" i="105"/>
  <c r="I174" i="105"/>
  <c r="I173" i="105"/>
  <c r="N171" i="105"/>
  <c r="I171" i="105"/>
  <c r="I170" i="105"/>
  <c r="I169" i="105"/>
  <c r="I168" i="105"/>
  <c r="N166" i="105"/>
  <c r="I166" i="105" s="1"/>
  <c r="I165" i="105"/>
  <c r="I164" i="105"/>
  <c r="I163" i="105"/>
  <c r="N159" i="105"/>
  <c r="I159" i="105"/>
  <c r="I158" i="105"/>
  <c r="I157" i="105"/>
  <c r="I156" i="105"/>
  <c r="L154" i="105"/>
  <c r="I154" i="105" s="1"/>
  <c r="I153" i="105"/>
  <c r="I152" i="105"/>
  <c r="I151" i="105"/>
  <c r="N149" i="105"/>
  <c r="L149" i="105"/>
  <c r="I149" i="105" s="1"/>
  <c r="I148" i="105"/>
  <c r="I147" i="105"/>
  <c r="I146" i="105"/>
  <c r="L144" i="105"/>
  <c r="I144" i="105"/>
  <c r="I143" i="105"/>
  <c r="I142" i="105"/>
  <c r="I141" i="105"/>
  <c r="N139" i="105"/>
  <c r="I139" i="105" s="1"/>
  <c r="I138" i="105"/>
  <c r="I137" i="105"/>
  <c r="I136" i="105"/>
  <c r="N134" i="105"/>
  <c r="I134" i="105"/>
  <c r="I133" i="105"/>
  <c r="I132" i="105"/>
  <c r="I131" i="105"/>
  <c r="N129" i="105"/>
  <c r="I129" i="105" s="1"/>
  <c r="I128" i="105"/>
  <c r="I127" i="105"/>
  <c r="I126" i="105"/>
  <c r="N124" i="105"/>
  <c r="I124" i="105"/>
  <c r="I123" i="105"/>
  <c r="I122" i="105"/>
  <c r="I121" i="105"/>
  <c r="N119" i="105"/>
  <c r="I119" i="105" s="1"/>
  <c r="I118" i="105"/>
  <c r="I117" i="105"/>
  <c r="I116" i="105"/>
  <c r="N113" i="105"/>
  <c r="M113" i="105"/>
  <c r="L113" i="105"/>
  <c r="K113" i="105"/>
  <c r="I113" i="105" s="1"/>
  <c r="J113" i="105"/>
  <c r="N112" i="105"/>
  <c r="N114" i="105" s="1"/>
  <c r="M112" i="105"/>
  <c r="M114" i="105" s="1"/>
  <c r="L112" i="105"/>
  <c r="L114" i="105" s="1"/>
  <c r="K112" i="105"/>
  <c r="K114" i="105" s="1"/>
  <c r="I114" i="105" s="1"/>
  <c r="J112" i="105"/>
  <c r="J114" i="105" s="1"/>
  <c r="I112" i="105"/>
  <c r="N111" i="105"/>
  <c r="M111" i="105"/>
  <c r="L111" i="105"/>
  <c r="K111" i="105"/>
  <c r="I111" i="105" s="1"/>
  <c r="J111" i="105"/>
  <c r="G110" i="105"/>
  <c r="F110" i="105"/>
  <c r="E110" i="105"/>
  <c r="L108" i="105"/>
  <c r="I108" i="105" s="1"/>
  <c r="I107" i="105"/>
  <c r="I106" i="105"/>
  <c r="I105" i="105"/>
  <c r="N103" i="105"/>
  <c r="I103" i="105" s="1"/>
  <c r="I102" i="105"/>
  <c r="N101" i="105"/>
  <c r="I101" i="105"/>
  <c r="I100" i="105"/>
  <c r="N98" i="105"/>
  <c r="I98" i="105" s="1"/>
  <c r="I97" i="105"/>
  <c r="I96" i="105"/>
  <c r="I95" i="105"/>
  <c r="N93" i="105"/>
  <c r="I93" i="105"/>
  <c r="I92" i="105"/>
  <c r="I91" i="105"/>
  <c r="I90" i="105"/>
  <c r="N88" i="105"/>
  <c r="I88" i="105" s="1"/>
  <c r="I87" i="105"/>
  <c r="I86" i="105"/>
  <c r="I85" i="105"/>
  <c r="N79" i="105"/>
  <c r="I79" i="105"/>
  <c r="I78" i="105"/>
  <c r="I77" i="105"/>
  <c r="I76" i="105"/>
  <c r="N74" i="105"/>
  <c r="I74" i="105" s="1"/>
  <c r="I73" i="105"/>
  <c r="I72" i="105"/>
  <c r="I71" i="105"/>
  <c r="N69" i="105"/>
  <c r="I69" i="105"/>
  <c r="I68" i="105"/>
  <c r="I67" i="105"/>
  <c r="I66" i="105"/>
  <c r="N63" i="105"/>
  <c r="N995" i="105" s="1"/>
  <c r="M63" i="105"/>
  <c r="L63" i="105"/>
  <c r="K63" i="105"/>
  <c r="J63" i="105"/>
  <c r="J995" i="105" s="1"/>
  <c r="N62" i="105"/>
  <c r="N64" i="105" s="1"/>
  <c r="M62" i="105"/>
  <c r="M64" i="105" s="1"/>
  <c r="L62" i="105"/>
  <c r="L64" i="105" s="1"/>
  <c r="K62" i="105"/>
  <c r="K64" i="105" s="1"/>
  <c r="J62" i="105"/>
  <c r="I62" i="105" s="1"/>
  <c r="N61" i="105"/>
  <c r="M61" i="105"/>
  <c r="L61" i="105"/>
  <c r="K61" i="105"/>
  <c r="J61" i="105"/>
  <c r="I61" i="105" s="1"/>
  <c r="G60" i="105"/>
  <c r="F60" i="105"/>
  <c r="E60" i="105"/>
  <c r="L59" i="105"/>
  <c r="I59" i="105"/>
  <c r="I58" i="105"/>
  <c r="I57" i="105"/>
  <c r="I56" i="105"/>
  <c r="L54" i="105"/>
  <c r="I54" i="105" s="1"/>
  <c r="I53" i="105"/>
  <c r="I52" i="105"/>
  <c r="I51" i="105"/>
  <c r="I48" i="105"/>
  <c r="L47" i="105"/>
  <c r="L49" i="105" s="1"/>
  <c r="I49" i="105" s="1"/>
  <c r="L45" i="105"/>
  <c r="I45" i="105" s="1"/>
  <c r="I44" i="105"/>
  <c r="I43" i="105"/>
  <c r="G35" i="105"/>
  <c r="F35" i="105"/>
  <c r="E35" i="105"/>
  <c r="N33" i="105"/>
  <c r="L33" i="105"/>
  <c r="K33" i="105"/>
  <c r="J33" i="105"/>
  <c r="I33" i="105" s="1"/>
  <c r="I32" i="105"/>
  <c r="I31" i="105"/>
  <c r="I30" i="105"/>
  <c r="L28" i="105"/>
  <c r="I28" i="105"/>
  <c r="I27" i="105"/>
  <c r="I26" i="105"/>
  <c r="L24" i="105"/>
  <c r="K24" i="105"/>
  <c r="J24" i="105"/>
  <c r="I24" i="105"/>
  <c r="I23" i="105"/>
  <c r="I22" i="105"/>
  <c r="I21" i="105"/>
  <c r="L19" i="105"/>
  <c r="K19" i="105"/>
  <c r="J19" i="105"/>
  <c r="I19" i="105" s="1"/>
  <c r="I18" i="105"/>
  <c r="I17" i="105"/>
  <c r="L15" i="105"/>
  <c r="I15" i="105" s="1"/>
  <c r="I14" i="105"/>
  <c r="I13" i="105"/>
  <c r="K122" i="156"/>
  <c r="J122" i="156"/>
  <c r="I122" i="156"/>
  <c r="L121" i="156"/>
  <c r="L120" i="156"/>
  <c r="L122" i="156" s="1"/>
  <c r="K117" i="156"/>
  <c r="J117" i="156"/>
  <c r="I117" i="156"/>
  <c r="H117" i="156"/>
  <c r="G117" i="156"/>
  <c r="F117" i="156"/>
  <c r="F118" i="156" s="1"/>
  <c r="F123" i="156" s="1"/>
  <c r="L116" i="156"/>
  <c r="L115" i="156"/>
  <c r="L114" i="156"/>
  <c r="L113" i="156"/>
  <c r="L117" i="156" s="1"/>
  <c r="L112" i="156"/>
  <c r="J110" i="156"/>
  <c r="I110" i="156"/>
  <c r="I118" i="156" s="1"/>
  <c r="G110" i="156"/>
  <c r="G118" i="156" s="1"/>
  <c r="G123" i="156" s="1"/>
  <c r="F110" i="156"/>
  <c r="L108" i="156"/>
  <c r="L107" i="156"/>
  <c r="L106" i="156"/>
  <c r="L104" i="156"/>
  <c r="L103" i="156"/>
  <c r="L102" i="156"/>
  <c r="L101" i="156"/>
  <c r="L100" i="156"/>
  <c r="L98" i="156"/>
  <c r="L97" i="156"/>
  <c r="L96" i="156"/>
  <c r="L95" i="156"/>
  <c r="L94" i="156"/>
  <c r="L93" i="156"/>
  <c r="L92" i="156"/>
  <c r="L91" i="156"/>
  <c r="L90" i="156"/>
  <c r="L89" i="156"/>
  <c r="F88" i="156"/>
  <c r="L87" i="156"/>
  <c r="L86" i="156"/>
  <c r="L85" i="156"/>
  <c r="L84" i="156"/>
  <c r="L83" i="156"/>
  <c r="L82" i="156"/>
  <c r="H80" i="156"/>
  <c r="H110" i="156" s="1"/>
  <c r="L79" i="156"/>
  <c r="L78" i="156"/>
  <c r="L77" i="156"/>
  <c r="L76" i="156"/>
  <c r="L75" i="156"/>
  <c r="L73" i="156"/>
  <c r="L72" i="156"/>
  <c r="L71" i="156"/>
  <c r="L68" i="156"/>
  <c r="L67" i="156"/>
  <c r="L66" i="156"/>
  <c r="L65" i="156"/>
  <c r="L64" i="156"/>
  <c r="L62" i="156"/>
  <c r="L61" i="156"/>
  <c r="L59" i="156"/>
  <c r="L57" i="156"/>
  <c r="L54" i="156"/>
  <c r="L52" i="156"/>
  <c r="L50" i="156"/>
  <c r="L48" i="156"/>
  <c r="L46" i="156"/>
  <c r="L45" i="156"/>
  <c r="L42" i="156"/>
  <c r="L41" i="156"/>
  <c r="L40" i="156"/>
  <c r="L39" i="156"/>
  <c r="L38" i="156"/>
  <c r="L37" i="156"/>
  <c r="L36" i="156"/>
  <c r="L35" i="156"/>
  <c r="L34" i="156"/>
  <c r="L33" i="156"/>
  <c r="L32" i="156"/>
  <c r="L31" i="156"/>
  <c r="L30" i="156"/>
  <c r="L29" i="156"/>
  <c r="L28" i="156"/>
  <c r="L27" i="156"/>
  <c r="L26" i="156"/>
  <c r="K26" i="156"/>
  <c r="L24" i="156"/>
  <c r="K23" i="156"/>
  <c r="L23" i="156" s="1"/>
  <c r="L22" i="156"/>
  <c r="L20" i="156"/>
  <c r="K20" i="156"/>
  <c r="K110" i="156" s="1"/>
  <c r="K118" i="156" s="1"/>
  <c r="L19" i="156"/>
  <c r="L18" i="156"/>
  <c r="L16" i="156"/>
  <c r="L14" i="156"/>
  <c r="L13" i="156"/>
  <c r="L110" i="156" s="1"/>
  <c r="R316" i="157"/>
  <c r="Q316" i="157"/>
  <c r="P316" i="157"/>
  <c r="O316" i="157"/>
  <c r="N316" i="157"/>
  <c r="M316" i="157"/>
  <c r="L316" i="157"/>
  <c r="K316" i="157"/>
  <c r="J316" i="157" s="1"/>
  <c r="R315" i="157"/>
  <c r="R317" i="157" s="1"/>
  <c r="Q315" i="157"/>
  <c r="P315" i="157"/>
  <c r="P317" i="157" s="1"/>
  <c r="O315" i="157"/>
  <c r="N315" i="157"/>
  <c r="N317" i="157" s="1"/>
  <c r="M315" i="157"/>
  <c r="L315" i="157"/>
  <c r="L317" i="157" s="1"/>
  <c r="K315" i="157"/>
  <c r="J315" i="157"/>
  <c r="R314" i="157"/>
  <c r="Q314" i="157"/>
  <c r="P314" i="157"/>
  <c r="O314" i="157"/>
  <c r="N314" i="157"/>
  <c r="M314" i="157"/>
  <c r="L314" i="157"/>
  <c r="K314" i="157"/>
  <c r="J314" i="157" s="1"/>
  <c r="I313" i="157"/>
  <c r="H313" i="157"/>
  <c r="G313" i="157"/>
  <c r="R299" i="157"/>
  <c r="R322" i="157" s="1"/>
  <c r="Q299" i="157"/>
  <c r="Q322" i="157" s="1"/>
  <c r="P299" i="157"/>
  <c r="P322" i="157" s="1"/>
  <c r="O299" i="157"/>
  <c r="O322" i="157" s="1"/>
  <c r="N299" i="157"/>
  <c r="N322" i="157" s="1"/>
  <c r="M299" i="157"/>
  <c r="M322" i="157" s="1"/>
  <c r="L299" i="157"/>
  <c r="L322" i="157" s="1"/>
  <c r="K299" i="157"/>
  <c r="K322" i="157" s="1"/>
  <c r="R298" i="157"/>
  <c r="R321" i="157" s="1"/>
  <c r="R323" i="157" s="1"/>
  <c r="Q298" i="157"/>
  <c r="P298" i="157"/>
  <c r="P321" i="157" s="1"/>
  <c r="P323" i="157" s="1"/>
  <c r="O298" i="157"/>
  <c r="N298" i="157"/>
  <c r="N321" i="157" s="1"/>
  <c r="N323" i="157" s="1"/>
  <c r="M298" i="157"/>
  <c r="M300" i="157" s="1"/>
  <c r="L298" i="157"/>
  <c r="L321" i="157" s="1"/>
  <c r="L323" i="157" s="1"/>
  <c r="K298" i="157"/>
  <c r="K300" i="157" s="1"/>
  <c r="R297" i="157"/>
  <c r="R320" i="157" s="1"/>
  <c r="Q297" i="157"/>
  <c r="Q320" i="157" s="1"/>
  <c r="P297" i="157"/>
  <c r="P320" i="157" s="1"/>
  <c r="O297" i="157"/>
  <c r="O320" i="157" s="1"/>
  <c r="N297" i="157"/>
  <c r="N320" i="157" s="1"/>
  <c r="M297" i="157"/>
  <c r="M320" i="157" s="1"/>
  <c r="I296" i="157"/>
  <c r="I319" i="157" s="1"/>
  <c r="H296" i="157"/>
  <c r="H319" i="157" s="1"/>
  <c r="G296" i="157"/>
  <c r="G319" i="157" s="1"/>
  <c r="L291" i="157"/>
  <c r="K291" i="157"/>
  <c r="J291" i="157" s="1"/>
  <c r="J290" i="157"/>
  <c r="M288" i="157"/>
  <c r="L288" i="157"/>
  <c r="K288" i="157"/>
  <c r="J288" i="157" s="1"/>
  <c r="J287" i="157"/>
  <c r="J286" i="157"/>
  <c r="P284" i="157"/>
  <c r="M284" i="157"/>
  <c r="J283" i="157"/>
  <c r="J282" i="157"/>
  <c r="L280" i="157"/>
  <c r="K280" i="157"/>
  <c r="J280" i="157"/>
  <c r="J279" i="157"/>
  <c r="J278" i="157"/>
  <c r="M276" i="157"/>
  <c r="J276" i="157"/>
  <c r="J275" i="157"/>
  <c r="J274" i="157"/>
  <c r="M270" i="157"/>
  <c r="L270" i="157"/>
  <c r="K270" i="157"/>
  <c r="J270" i="157"/>
  <c r="J269" i="157"/>
  <c r="J268" i="157"/>
  <c r="J267" i="157"/>
  <c r="L265" i="157"/>
  <c r="K265" i="157"/>
  <c r="J265" i="157"/>
  <c r="J264" i="157"/>
  <c r="J263" i="157"/>
  <c r="J262" i="157"/>
  <c r="L259" i="157"/>
  <c r="K259" i="157"/>
  <c r="J259" i="157"/>
  <c r="J258" i="157"/>
  <c r="J257" i="157"/>
  <c r="J256" i="157"/>
  <c r="L254" i="157"/>
  <c r="K254" i="157"/>
  <c r="J254" i="157"/>
  <c r="J253" i="157"/>
  <c r="J252" i="157"/>
  <c r="J251" i="157"/>
  <c r="L248" i="157"/>
  <c r="K248" i="157"/>
  <c r="J248" i="157"/>
  <c r="J247" i="157"/>
  <c r="J246" i="157"/>
  <c r="J245" i="157"/>
  <c r="L243" i="157"/>
  <c r="K243" i="157"/>
  <c r="J243" i="157"/>
  <c r="J242" i="157"/>
  <c r="J241" i="157"/>
  <c r="J240" i="157"/>
  <c r="L235" i="157"/>
  <c r="K235" i="157"/>
  <c r="J235" i="157"/>
  <c r="J234" i="157"/>
  <c r="J233" i="157"/>
  <c r="J232" i="157"/>
  <c r="L230" i="157"/>
  <c r="K230" i="157"/>
  <c r="J230" i="157"/>
  <c r="J229" i="157"/>
  <c r="J228" i="157"/>
  <c r="J227" i="157"/>
  <c r="L225" i="157"/>
  <c r="K225" i="157"/>
  <c r="J225" i="157"/>
  <c r="J224" i="157"/>
  <c r="J223" i="157"/>
  <c r="J222" i="157"/>
  <c r="M218" i="157"/>
  <c r="J218" i="157" s="1"/>
  <c r="J217" i="157"/>
  <c r="J216" i="157"/>
  <c r="J215" i="157"/>
  <c r="P213" i="157"/>
  <c r="M213" i="157"/>
  <c r="J212" i="157"/>
  <c r="J211" i="157"/>
  <c r="J210" i="157"/>
  <c r="P208" i="157"/>
  <c r="M208" i="157"/>
  <c r="L208" i="157"/>
  <c r="K208" i="157"/>
  <c r="J208" i="157" s="1"/>
  <c r="J207" i="157"/>
  <c r="J206" i="157"/>
  <c r="J205" i="157"/>
  <c r="L203" i="157"/>
  <c r="K203" i="157"/>
  <c r="J202" i="157"/>
  <c r="J201" i="157"/>
  <c r="J200" i="157"/>
  <c r="L198" i="157"/>
  <c r="K198" i="157"/>
  <c r="J198" i="157" s="1"/>
  <c r="J197" i="157"/>
  <c r="J196" i="157"/>
  <c r="J195" i="157"/>
  <c r="M193" i="157"/>
  <c r="L193" i="157"/>
  <c r="K193" i="157"/>
  <c r="J193" i="157" s="1"/>
  <c r="J192" i="157"/>
  <c r="J191" i="157"/>
  <c r="L190" i="157"/>
  <c r="L297" i="157" s="1"/>
  <c r="K190" i="157"/>
  <c r="M182" i="157"/>
  <c r="L182" i="157"/>
  <c r="K182" i="157"/>
  <c r="J182" i="157" s="1"/>
  <c r="J181" i="157"/>
  <c r="J180" i="157"/>
  <c r="J179" i="157"/>
  <c r="R176" i="157"/>
  <c r="Q176" i="157"/>
  <c r="O176" i="157"/>
  <c r="N176" i="157"/>
  <c r="L176" i="157"/>
  <c r="K176" i="157"/>
  <c r="R175" i="157"/>
  <c r="Q175" i="157"/>
  <c r="P175" i="157"/>
  <c r="O175" i="157"/>
  <c r="N175" i="157"/>
  <c r="M175" i="157"/>
  <c r="L175" i="157"/>
  <c r="K175" i="157"/>
  <c r="J175" i="157"/>
  <c r="R174" i="157"/>
  <c r="Q174" i="157"/>
  <c r="P174" i="157"/>
  <c r="O174" i="157"/>
  <c r="N174" i="157"/>
  <c r="M174" i="157"/>
  <c r="I173" i="157"/>
  <c r="H173" i="157"/>
  <c r="G173" i="157"/>
  <c r="P172" i="157"/>
  <c r="M172" i="157"/>
  <c r="L172" i="157"/>
  <c r="K172" i="157"/>
  <c r="J172" i="157" s="1"/>
  <c r="J171" i="157"/>
  <c r="J170" i="157"/>
  <c r="J169" i="157"/>
  <c r="J168" i="157"/>
  <c r="P166" i="157"/>
  <c r="M166" i="157"/>
  <c r="K166" i="157"/>
  <c r="J165" i="157"/>
  <c r="J164" i="157"/>
  <c r="J163" i="157"/>
  <c r="L161" i="157"/>
  <c r="K161" i="157"/>
  <c r="J161" i="157" s="1"/>
  <c r="J160" i="157"/>
  <c r="J159" i="157"/>
  <c r="J158" i="157"/>
  <c r="P156" i="157"/>
  <c r="M156" i="157"/>
  <c r="L156" i="157"/>
  <c r="K156" i="157"/>
  <c r="J155" i="157"/>
  <c r="J154" i="157"/>
  <c r="J153" i="157"/>
  <c r="J152" i="157"/>
  <c r="L148" i="157"/>
  <c r="K148" i="157"/>
  <c r="J148" i="157"/>
  <c r="J147" i="157"/>
  <c r="J146" i="157"/>
  <c r="J145" i="157"/>
  <c r="O143" i="157"/>
  <c r="L143" i="157"/>
  <c r="K143" i="157"/>
  <c r="P142" i="157"/>
  <c r="M142" i="157"/>
  <c r="J142" i="157"/>
  <c r="M141" i="157"/>
  <c r="M176" i="157" s="1"/>
  <c r="J141" i="157"/>
  <c r="J140" i="157"/>
  <c r="J139" i="157"/>
  <c r="L138" i="157"/>
  <c r="K138" i="157"/>
  <c r="J138" i="157" s="1"/>
  <c r="P136" i="157"/>
  <c r="M136" i="157"/>
  <c r="L136" i="157"/>
  <c r="K136" i="157"/>
  <c r="J136" i="157" s="1"/>
  <c r="J135" i="157"/>
  <c r="J134" i="157"/>
  <c r="J133" i="157"/>
  <c r="L130" i="157"/>
  <c r="K130" i="157"/>
  <c r="J130" i="157" s="1"/>
  <c r="J129" i="157"/>
  <c r="J128" i="157"/>
  <c r="J127" i="157"/>
  <c r="P125" i="157"/>
  <c r="M125" i="157"/>
  <c r="L125" i="157"/>
  <c r="K125" i="157"/>
  <c r="J125" i="157" s="1"/>
  <c r="J124" i="157"/>
  <c r="J123" i="157"/>
  <c r="J122" i="157"/>
  <c r="J121" i="157"/>
  <c r="L120" i="157"/>
  <c r="K120" i="157"/>
  <c r="J120" i="157" s="1"/>
  <c r="L118" i="157"/>
  <c r="K118" i="157"/>
  <c r="J118" i="157" s="1"/>
  <c r="J117" i="157"/>
  <c r="J116" i="157"/>
  <c r="J115" i="157"/>
  <c r="P113" i="157"/>
  <c r="M113" i="157"/>
  <c r="L113" i="157"/>
  <c r="K113" i="157"/>
  <c r="J113" i="157" s="1"/>
  <c r="J112" i="157"/>
  <c r="J111" i="157"/>
  <c r="J110" i="157"/>
  <c r="J109" i="157"/>
  <c r="L108" i="157"/>
  <c r="K108" i="157"/>
  <c r="P106" i="157"/>
  <c r="M106" i="157"/>
  <c r="L106" i="157"/>
  <c r="K106" i="157"/>
  <c r="J106" i="157" s="1"/>
  <c r="J105" i="157"/>
  <c r="J104" i="157"/>
  <c r="J103" i="157"/>
  <c r="L101" i="157"/>
  <c r="K101" i="157"/>
  <c r="J101" i="157" s="1"/>
  <c r="J100" i="157"/>
  <c r="J99" i="157"/>
  <c r="J98" i="157"/>
  <c r="P96" i="157"/>
  <c r="M96" i="157"/>
  <c r="L96" i="157"/>
  <c r="K96" i="157"/>
  <c r="J96" i="157" s="1"/>
  <c r="J95" i="157"/>
  <c r="J94" i="157"/>
  <c r="L93" i="157"/>
  <c r="L174" i="157" s="1"/>
  <c r="K93" i="157"/>
  <c r="R90" i="157"/>
  <c r="Q90" i="157"/>
  <c r="P90" i="157"/>
  <c r="O90" i="157"/>
  <c r="N90" i="157"/>
  <c r="M90" i="157"/>
  <c r="L90" i="157"/>
  <c r="K90" i="157"/>
  <c r="J90" i="157" s="1"/>
  <c r="R89" i="157"/>
  <c r="R91" i="157" s="1"/>
  <c r="Q89" i="157"/>
  <c r="Q91" i="157" s="1"/>
  <c r="P89" i="157"/>
  <c r="P91" i="157" s="1"/>
  <c r="O89" i="157"/>
  <c r="O91" i="157" s="1"/>
  <c r="N89" i="157"/>
  <c r="N91" i="157" s="1"/>
  <c r="M89" i="157"/>
  <c r="M91" i="157" s="1"/>
  <c r="L89" i="157"/>
  <c r="L91" i="157" s="1"/>
  <c r="K89" i="157"/>
  <c r="K91" i="157" s="1"/>
  <c r="J91" i="157" s="1"/>
  <c r="J89" i="157"/>
  <c r="R88" i="157"/>
  <c r="Q88" i="157"/>
  <c r="P88" i="157"/>
  <c r="O88" i="157"/>
  <c r="N88" i="157"/>
  <c r="M88" i="157"/>
  <c r="L88" i="157"/>
  <c r="K88" i="157"/>
  <c r="H87" i="157"/>
  <c r="G87" i="157"/>
  <c r="I86" i="157"/>
  <c r="P85" i="157"/>
  <c r="M85" i="157"/>
  <c r="L85" i="157"/>
  <c r="K85" i="157"/>
  <c r="J85" i="157"/>
  <c r="J84" i="157"/>
  <c r="J83" i="157"/>
  <c r="J82" i="157"/>
  <c r="J81" i="157"/>
  <c r="J80" i="157"/>
  <c r="I79" i="157"/>
  <c r="I87" i="157" s="1"/>
  <c r="P77" i="157"/>
  <c r="M77" i="157"/>
  <c r="L77" i="157"/>
  <c r="K77" i="157"/>
  <c r="J77" i="157" s="1"/>
  <c r="J76" i="157"/>
  <c r="J75" i="157"/>
  <c r="J74" i="157"/>
  <c r="J73" i="157"/>
  <c r="J72" i="157"/>
  <c r="J70" i="157"/>
  <c r="J69" i="157"/>
  <c r="J68" i="157"/>
  <c r="P66" i="157"/>
  <c r="M66" i="157"/>
  <c r="L66" i="157"/>
  <c r="K66" i="157"/>
  <c r="J66" i="157" s="1"/>
  <c r="J65" i="157"/>
  <c r="J64" i="157"/>
  <c r="J63" i="157"/>
  <c r="J62" i="157"/>
  <c r="J61" i="157"/>
  <c r="J60" i="157"/>
  <c r="R57" i="157"/>
  <c r="Q57" i="157"/>
  <c r="P57" i="157"/>
  <c r="O57" i="157"/>
  <c r="N57" i="157"/>
  <c r="N310" i="157" s="1"/>
  <c r="M57" i="157"/>
  <c r="L57" i="157"/>
  <c r="L310" i="157" s="1"/>
  <c r="K57" i="157"/>
  <c r="J57" i="157"/>
  <c r="R56" i="157"/>
  <c r="Q56" i="157"/>
  <c r="Q309" i="157" s="1"/>
  <c r="P56" i="157"/>
  <c r="O56" i="157"/>
  <c r="O309" i="157" s="1"/>
  <c r="N56" i="157"/>
  <c r="M56" i="157"/>
  <c r="M309" i="157" s="1"/>
  <c r="L56" i="157"/>
  <c r="K56" i="157"/>
  <c r="K309" i="157" s="1"/>
  <c r="R55" i="157"/>
  <c r="R308" i="157" s="1"/>
  <c r="Q55" i="157"/>
  <c r="P55" i="157"/>
  <c r="P308" i="157" s="1"/>
  <c r="O55" i="157"/>
  <c r="N55" i="157"/>
  <c r="N308" i="157" s="1"/>
  <c r="M55" i="157"/>
  <c r="L55" i="157"/>
  <c r="L308" i="157" s="1"/>
  <c r="K55" i="157"/>
  <c r="J55" i="157" s="1"/>
  <c r="I54" i="157"/>
  <c r="H54" i="157"/>
  <c r="G54" i="157"/>
  <c r="M53" i="157"/>
  <c r="L53" i="157"/>
  <c r="K53" i="157"/>
  <c r="J52" i="157"/>
  <c r="J51" i="157"/>
  <c r="J50" i="157"/>
  <c r="P48" i="157"/>
  <c r="O48" i="157"/>
  <c r="M48" i="157"/>
  <c r="L48" i="157"/>
  <c r="K48" i="157"/>
  <c r="J48" i="157"/>
  <c r="J47" i="157"/>
  <c r="J46" i="157"/>
  <c r="J45" i="157"/>
  <c r="P42" i="157"/>
  <c r="M42" i="157"/>
  <c r="L42" i="157"/>
  <c r="K42" i="157"/>
  <c r="J42" i="157"/>
  <c r="J41" i="157"/>
  <c r="J40" i="157"/>
  <c r="J39" i="157"/>
  <c r="M36" i="157"/>
  <c r="L36" i="157"/>
  <c r="K36" i="157"/>
  <c r="J36" i="157" s="1"/>
  <c r="J35" i="157"/>
  <c r="J34" i="157"/>
  <c r="J33" i="157"/>
  <c r="P30" i="157"/>
  <c r="M30" i="157"/>
  <c r="L30" i="157"/>
  <c r="K30" i="157"/>
  <c r="J29" i="157"/>
  <c r="J28" i="157"/>
  <c r="J27" i="157"/>
  <c r="Q24" i="157"/>
  <c r="P24" i="157"/>
  <c r="M24" i="157"/>
  <c r="L24" i="157"/>
  <c r="K24" i="157"/>
  <c r="J24" i="157"/>
  <c r="J23" i="157"/>
  <c r="J22" i="157"/>
  <c r="J21" i="157"/>
  <c r="J20" i="157"/>
  <c r="Q17" i="157"/>
  <c r="P17" i="157"/>
  <c r="M17" i="157"/>
  <c r="L17" i="157"/>
  <c r="K17" i="157"/>
  <c r="J17" i="157"/>
  <c r="J16" i="157"/>
  <c r="J15" i="157"/>
  <c r="J14" i="157"/>
  <c r="J13" i="157"/>
  <c r="G28" i="153"/>
  <c r="E28" i="153"/>
  <c r="H26" i="153"/>
  <c r="H28" i="153" s="1"/>
  <c r="F25" i="153"/>
  <c r="F28" i="153" s="1"/>
  <c r="H21" i="153"/>
  <c r="G21" i="153"/>
  <c r="F21" i="153"/>
  <c r="E21" i="153"/>
  <c r="H17" i="153"/>
  <c r="H30" i="153" s="1"/>
  <c r="H32" i="153" s="1"/>
  <c r="G17" i="153"/>
  <c r="G30" i="153" s="1"/>
  <c r="G32" i="153" s="1"/>
  <c r="F17" i="153"/>
  <c r="E17" i="153"/>
  <c r="E30" i="153" s="1"/>
  <c r="E32" i="153" s="1"/>
  <c r="N183" i="152"/>
  <c r="M183" i="152"/>
  <c r="L183" i="152"/>
  <c r="I183" i="152"/>
  <c r="H183" i="152"/>
  <c r="G183" i="152"/>
  <c r="O183" i="152" s="1"/>
  <c r="F183" i="152"/>
  <c r="O182" i="152"/>
  <c r="O181" i="152"/>
  <c r="O180" i="152"/>
  <c r="O179" i="152"/>
  <c r="O178" i="152"/>
  <c r="O177" i="152"/>
  <c r="N170" i="152"/>
  <c r="M170" i="152"/>
  <c r="L170" i="152"/>
  <c r="F170" i="152"/>
  <c r="O170" i="152" s="1"/>
  <c r="O169" i="152"/>
  <c r="O168" i="152"/>
  <c r="O167" i="152"/>
  <c r="N164" i="152"/>
  <c r="M164" i="152"/>
  <c r="L164" i="152"/>
  <c r="K164" i="152"/>
  <c r="J164" i="152"/>
  <c r="I164" i="152"/>
  <c r="H164" i="152"/>
  <c r="G164" i="152"/>
  <c r="O164" i="152" s="1"/>
  <c r="F164" i="152"/>
  <c r="N163" i="152"/>
  <c r="N173" i="152" s="1"/>
  <c r="M163" i="152"/>
  <c r="M173" i="152" s="1"/>
  <c r="L163" i="152"/>
  <c r="L173" i="152" s="1"/>
  <c r="K163" i="152"/>
  <c r="K173" i="152" s="1"/>
  <c r="J163" i="152"/>
  <c r="J173" i="152" s="1"/>
  <c r="I163" i="152"/>
  <c r="I173" i="152" s="1"/>
  <c r="H163" i="152"/>
  <c r="H173" i="152" s="1"/>
  <c r="G163" i="152"/>
  <c r="G173" i="152" s="1"/>
  <c r="F163" i="152"/>
  <c r="F173" i="152" s="1"/>
  <c r="N162" i="152"/>
  <c r="N172" i="152" s="1"/>
  <c r="N185" i="152" s="1"/>
  <c r="M162" i="152"/>
  <c r="M172" i="152" s="1"/>
  <c r="M185" i="152" s="1"/>
  <c r="K162" i="152"/>
  <c r="K172" i="152" s="1"/>
  <c r="K185" i="152" s="1"/>
  <c r="J162" i="152"/>
  <c r="J172" i="152" s="1"/>
  <c r="J185" i="152" s="1"/>
  <c r="I162" i="152"/>
  <c r="I172" i="152" s="1"/>
  <c r="I185" i="152" s="1"/>
  <c r="H162" i="152"/>
  <c r="H172" i="152" s="1"/>
  <c r="H185" i="152" s="1"/>
  <c r="G162" i="152"/>
  <c r="G172" i="152" s="1"/>
  <c r="G185" i="152" s="1"/>
  <c r="F162" i="152"/>
  <c r="F172" i="152" s="1"/>
  <c r="N160" i="152"/>
  <c r="M160" i="152"/>
  <c r="L160" i="152"/>
  <c r="G160" i="152"/>
  <c r="O160" i="152" s="1"/>
  <c r="F160" i="152"/>
  <c r="O159" i="152"/>
  <c r="O158" i="152"/>
  <c r="O157" i="152"/>
  <c r="L155" i="152"/>
  <c r="F155" i="152"/>
  <c r="O155" i="152" s="1"/>
  <c r="O154" i="152"/>
  <c r="O153" i="152"/>
  <c r="O152" i="152"/>
  <c r="G150" i="152"/>
  <c r="O150" i="152" s="1"/>
  <c r="O149" i="152"/>
  <c r="O148" i="152"/>
  <c r="O147" i="152"/>
  <c r="N145" i="152"/>
  <c r="M145" i="152"/>
  <c r="L145" i="152"/>
  <c r="J145" i="152"/>
  <c r="H145" i="152"/>
  <c r="G145" i="152"/>
  <c r="O145" i="152" s="1"/>
  <c r="F145" i="152"/>
  <c r="O144" i="152"/>
  <c r="O143" i="152"/>
  <c r="O142" i="152"/>
  <c r="O141" i="152"/>
  <c r="N139" i="152"/>
  <c r="M139" i="152"/>
  <c r="L139" i="152"/>
  <c r="I139" i="152"/>
  <c r="G139" i="152"/>
  <c r="F139" i="152"/>
  <c r="O139" i="152" s="1"/>
  <c r="O138" i="152"/>
  <c r="O137" i="152"/>
  <c r="O136" i="152"/>
  <c r="O135" i="152"/>
  <c r="L133" i="152"/>
  <c r="G133" i="152"/>
  <c r="O133" i="152" s="1"/>
  <c r="O132" i="152"/>
  <c r="O131" i="152"/>
  <c r="O130" i="152"/>
  <c r="L130" i="152"/>
  <c r="L162" i="152" s="1"/>
  <c r="L172" i="152" s="1"/>
  <c r="L185" i="152" s="1"/>
  <c r="N128" i="152"/>
  <c r="M128" i="152"/>
  <c r="L128" i="152"/>
  <c r="G128" i="152"/>
  <c r="O128" i="152" s="1"/>
  <c r="F128" i="152"/>
  <c r="O127" i="152"/>
  <c r="O126" i="152"/>
  <c r="O125" i="152"/>
  <c r="O124" i="152"/>
  <c r="O123" i="152"/>
  <c r="O122" i="152"/>
  <c r="N120" i="152"/>
  <c r="M120" i="152"/>
  <c r="L120" i="152"/>
  <c r="H120" i="152"/>
  <c r="G120" i="152"/>
  <c r="F120" i="152"/>
  <c r="O120" i="152" s="1"/>
  <c r="O119" i="152"/>
  <c r="O118" i="152"/>
  <c r="O117" i="152"/>
  <c r="O116" i="152"/>
  <c r="O115" i="152"/>
  <c r="L113" i="152"/>
  <c r="J113" i="152"/>
  <c r="O113" i="152" s="1"/>
  <c r="G113" i="152"/>
  <c r="O112" i="152"/>
  <c r="O111" i="152"/>
  <c r="O110" i="152"/>
  <c r="N108" i="152"/>
  <c r="M108" i="152"/>
  <c r="L108" i="152"/>
  <c r="F108" i="152"/>
  <c r="O108" i="152" s="1"/>
  <c r="O107" i="152"/>
  <c r="O106" i="152"/>
  <c r="O105" i="152"/>
  <c r="M102" i="152"/>
  <c r="L102" i="152"/>
  <c r="K102" i="152"/>
  <c r="J102" i="152"/>
  <c r="I102" i="152"/>
  <c r="H102" i="152"/>
  <c r="G102" i="152"/>
  <c r="F102" i="152"/>
  <c r="O102" i="152" s="1"/>
  <c r="N101" i="152"/>
  <c r="N103" i="152" s="1"/>
  <c r="M101" i="152"/>
  <c r="M103" i="152" s="1"/>
  <c r="L101" i="152"/>
  <c r="L103" i="152" s="1"/>
  <c r="K101" i="152"/>
  <c r="K103" i="152" s="1"/>
  <c r="J101" i="152"/>
  <c r="J103" i="152" s="1"/>
  <c r="I101" i="152"/>
  <c r="I103" i="152" s="1"/>
  <c r="H101" i="152"/>
  <c r="H103" i="152" s="1"/>
  <c r="G101" i="152"/>
  <c r="G103" i="152" s="1"/>
  <c r="F101" i="152"/>
  <c r="F103" i="152" s="1"/>
  <c r="O103" i="152" s="1"/>
  <c r="N100" i="152"/>
  <c r="M100" i="152"/>
  <c r="L100" i="152"/>
  <c r="K100" i="152"/>
  <c r="J100" i="152"/>
  <c r="I100" i="152"/>
  <c r="H100" i="152"/>
  <c r="G100" i="152"/>
  <c r="F100" i="152"/>
  <c r="O100" i="152" s="1"/>
  <c r="M98" i="152"/>
  <c r="L98" i="152"/>
  <c r="F98" i="152"/>
  <c r="O98" i="152" s="1"/>
  <c r="O97" i="152"/>
  <c r="O96" i="152"/>
  <c r="O95" i="152"/>
  <c r="O94" i="152"/>
  <c r="N94" i="152"/>
  <c r="N102" i="152" s="1"/>
  <c r="O93" i="152"/>
  <c r="O92" i="152"/>
  <c r="N90" i="152"/>
  <c r="M90" i="152"/>
  <c r="L90" i="152"/>
  <c r="F90" i="152"/>
  <c r="O90" i="152" s="1"/>
  <c r="O89" i="152"/>
  <c r="O88" i="152"/>
  <c r="O87" i="152"/>
  <c r="N87" i="152"/>
  <c r="O86" i="152"/>
  <c r="O85" i="152"/>
  <c r="N83" i="152"/>
  <c r="M83" i="152"/>
  <c r="L83" i="152"/>
  <c r="I83" i="152"/>
  <c r="G83" i="152"/>
  <c r="F83" i="152"/>
  <c r="O83" i="152" s="1"/>
  <c r="O82" i="152"/>
  <c r="O81" i="152"/>
  <c r="O80" i="152"/>
  <c r="O79" i="152"/>
  <c r="O78" i="152"/>
  <c r="O77" i="152"/>
  <c r="O76" i="152"/>
  <c r="O75" i="152"/>
  <c r="O74" i="152"/>
  <c r="O73" i="152"/>
  <c r="O72" i="152"/>
  <c r="N69" i="152"/>
  <c r="N174" i="152" s="1"/>
  <c r="N187" i="152" s="1"/>
  <c r="M69" i="152"/>
  <c r="M174" i="152" s="1"/>
  <c r="M187" i="152" s="1"/>
  <c r="L69" i="152"/>
  <c r="L174" i="152" s="1"/>
  <c r="L187" i="152" s="1"/>
  <c r="K69" i="152"/>
  <c r="K174" i="152" s="1"/>
  <c r="K187" i="152" s="1"/>
  <c r="J69" i="152"/>
  <c r="J174" i="152" s="1"/>
  <c r="J187" i="152" s="1"/>
  <c r="I69" i="152"/>
  <c r="I174" i="152" s="1"/>
  <c r="I187" i="152" s="1"/>
  <c r="H69" i="152"/>
  <c r="H174" i="152" s="1"/>
  <c r="H187" i="152" s="1"/>
  <c r="G69" i="152"/>
  <c r="G174" i="152" s="1"/>
  <c r="G187" i="152" s="1"/>
  <c r="F69" i="152"/>
  <c r="F174" i="152" s="1"/>
  <c r="N68" i="152"/>
  <c r="N70" i="152" s="1"/>
  <c r="M68" i="152"/>
  <c r="M70" i="152" s="1"/>
  <c r="L68" i="152"/>
  <c r="L70" i="152" s="1"/>
  <c r="K68" i="152"/>
  <c r="K70" i="152" s="1"/>
  <c r="J68" i="152"/>
  <c r="J70" i="152" s="1"/>
  <c r="I68" i="152"/>
  <c r="I70" i="152" s="1"/>
  <c r="H68" i="152"/>
  <c r="H70" i="152" s="1"/>
  <c r="G68" i="152"/>
  <c r="G70" i="152" s="1"/>
  <c r="F68" i="152"/>
  <c r="F70" i="152" s="1"/>
  <c r="O70" i="152" s="1"/>
  <c r="N67" i="152"/>
  <c r="M67" i="152"/>
  <c r="L67" i="152"/>
  <c r="K67" i="152"/>
  <c r="J67" i="152"/>
  <c r="I67" i="152"/>
  <c r="H67" i="152"/>
  <c r="G67" i="152"/>
  <c r="O67" i="152" s="1"/>
  <c r="F67" i="152"/>
  <c r="O65" i="152"/>
  <c r="G65" i="152"/>
  <c r="O64" i="152"/>
  <c r="O63" i="152"/>
  <c r="O62" i="152"/>
  <c r="N60" i="152"/>
  <c r="M60" i="152"/>
  <c r="L60" i="152"/>
  <c r="F60" i="152"/>
  <c r="O60" i="152" s="1"/>
  <c r="O59" i="152"/>
  <c r="O58" i="152"/>
  <c r="O57" i="152"/>
  <c r="O56" i="152"/>
  <c r="O55" i="152"/>
  <c r="N52" i="152"/>
  <c r="M52" i="152"/>
  <c r="L52" i="152"/>
  <c r="F52" i="152"/>
  <c r="O52" i="152" s="1"/>
  <c r="O51" i="152"/>
  <c r="O50" i="152"/>
  <c r="O49" i="152"/>
  <c r="O48" i="152"/>
  <c r="O47" i="152"/>
  <c r="N44" i="152"/>
  <c r="M44" i="152"/>
  <c r="L44" i="152"/>
  <c r="F44" i="152"/>
  <c r="O44" i="152" s="1"/>
  <c r="O43" i="152"/>
  <c r="O42" i="152"/>
  <c r="O41" i="152"/>
  <c r="O40" i="152"/>
  <c r="O39" i="152"/>
  <c r="O38" i="152"/>
  <c r="N35" i="152"/>
  <c r="M35" i="152"/>
  <c r="L35" i="152"/>
  <c r="F35" i="152"/>
  <c r="O35" i="152" s="1"/>
  <c r="O34" i="152"/>
  <c r="O33" i="152"/>
  <c r="O32" i="152"/>
  <c r="O31" i="152"/>
  <c r="O30" i="152"/>
  <c r="N27" i="152"/>
  <c r="M27" i="152"/>
  <c r="L27" i="152"/>
  <c r="F27" i="152"/>
  <c r="O27" i="152" s="1"/>
  <c r="O26" i="152"/>
  <c r="O25" i="152"/>
  <c r="O24" i="152"/>
  <c r="O23" i="152"/>
  <c r="O22" i="152"/>
  <c r="N19" i="152"/>
  <c r="M19" i="152"/>
  <c r="L19" i="152"/>
  <c r="F19" i="152"/>
  <c r="O19" i="152" s="1"/>
  <c r="O18" i="152"/>
  <c r="O17" i="152"/>
  <c r="O16" i="152"/>
  <c r="O15" i="152"/>
  <c r="O14" i="152"/>
  <c r="O13" i="152"/>
  <c r="M41" i="115"/>
  <c r="M39" i="115"/>
  <c r="M37" i="115" s="1"/>
  <c r="L37" i="115"/>
  <c r="K37" i="115"/>
  <c r="J37" i="115"/>
  <c r="I37" i="115"/>
  <c r="H37" i="115"/>
  <c r="G37" i="115"/>
  <c r="M33" i="115"/>
  <c r="K33" i="115"/>
  <c r="J33" i="115"/>
  <c r="I33" i="115"/>
  <c r="H33" i="115"/>
  <c r="G33" i="115"/>
  <c r="M32" i="115"/>
  <c r="M31" i="115"/>
  <c r="K30" i="115"/>
  <c r="K29" i="115" s="1"/>
  <c r="J29" i="115"/>
  <c r="I29" i="115"/>
  <c r="H29" i="115"/>
  <c r="G29" i="115"/>
  <c r="M28" i="115"/>
  <c r="M27" i="115"/>
  <c r="M26" i="115"/>
  <c r="K24" i="115"/>
  <c r="J24" i="115"/>
  <c r="H24" i="115"/>
  <c r="G24" i="115"/>
  <c r="M23" i="115"/>
  <c r="M22" i="115"/>
  <c r="M21" i="115"/>
  <c r="M20" i="115"/>
  <c r="M19" i="115"/>
  <c r="K18" i="115"/>
  <c r="M18" i="115" s="1"/>
  <c r="J18" i="115"/>
  <c r="I18" i="115"/>
  <c r="I17" i="115" s="1"/>
  <c r="I15" i="115" s="1"/>
  <c r="I36" i="115" s="1"/>
  <c r="H18" i="115"/>
  <c r="G18" i="115"/>
  <c r="G17" i="115" s="1"/>
  <c r="G15" i="115" s="1"/>
  <c r="G36" i="115" s="1"/>
  <c r="J17" i="115"/>
  <c r="H17" i="115"/>
  <c r="K16" i="115"/>
  <c r="J15" i="115"/>
  <c r="H15" i="115"/>
  <c r="M14" i="115"/>
  <c r="M13" i="115"/>
  <c r="M12" i="115" s="1"/>
  <c r="K12" i="115"/>
  <c r="J12" i="115"/>
  <c r="I12" i="115"/>
  <c r="H12" i="115"/>
  <c r="G12" i="115"/>
  <c r="M11" i="115"/>
  <c r="M10" i="115" s="1"/>
  <c r="K10" i="115"/>
  <c r="J10" i="115"/>
  <c r="J36" i="115" s="1"/>
  <c r="I10" i="115"/>
  <c r="H10" i="115"/>
  <c r="H36" i="115" s="1"/>
  <c r="G10" i="115"/>
  <c r="M65" i="113"/>
  <c r="M64" i="113"/>
  <c r="M62" i="113" s="1"/>
  <c r="L62" i="113"/>
  <c r="K62" i="113"/>
  <c r="J62" i="113"/>
  <c r="I62" i="113"/>
  <c r="H62" i="113"/>
  <c r="G62" i="113"/>
  <c r="M61" i="113"/>
  <c r="M60" i="113"/>
  <c r="M59" i="113"/>
  <c r="M58" i="113" s="1"/>
  <c r="L58" i="113"/>
  <c r="K58" i="113"/>
  <c r="J58" i="113"/>
  <c r="I58" i="113"/>
  <c r="H58" i="113"/>
  <c r="G58" i="113"/>
  <c r="M57" i="113"/>
  <c r="M56" i="113"/>
  <c r="M55" i="113"/>
  <c r="M54" i="113" s="1"/>
  <c r="M53" i="113" s="1"/>
  <c r="M51" i="113" s="1"/>
  <c r="L54" i="113"/>
  <c r="L53" i="113" s="1"/>
  <c r="L51" i="113" s="1"/>
  <c r="K54" i="113"/>
  <c r="J54" i="113"/>
  <c r="J53" i="113" s="1"/>
  <c r="J51" i="113" s="1"/>
  <c r="I54" i="113"/>
  <c r="H54" i="113"/>
  <c r="H53" i="113" s="1"/>
  <c r="H51" i="113" s="1"/>
  <c r="G54" i="113"/>
  <c r="K53" i="113"/>
  <c r="K51" i="113" s="1"/>
  <c r="I53" i="113"/>
  <c r="I51" i="113" s="1"/>
  <c r="G53" i="113"/>
  <c r="G51" i="113" s="1"/>
  <c r="M47" i="113"/>
  <c r="L47" i="113"/>
  <c r="K47" i="113"/>
  <c r="J47" i="113"/>
  <c r="I47" i="113"/>
  <c r="H47" i="113"/>
  <c r="G47" i="113"/>
  <c r="M44" i="113"/>
  <c r="M43" i="113"/>
  <c r="M42" i="113" s="1"/>
  <c r="L42" i="113"/>
  <c r="K42" i="113"/>
  <c r="J42" i="113"/>
  <c r="I42" i="113"/>
  <c r="H42" i="113"/>
  <c r="G42" i="113"/>
  <c r="M41" i="113"/>
  <c r="M40" i="113"/>
  <c r="M38" i="113"/>
  <c r="L38" i="113"/>
  <c r="K38" i="113"/>
  <c r="K37" i="113" s="1"/>
  <c r="J38" i="113"/>
  <c r="I38" i="113"/>
  <c r="I37" i="113" s="1"/>
  <c r="H38" i="113"/>
  <c r="G38" i="113"/>
  <c r="G37" i="113" s="1"/>
  <c r="L37" i="113"/>
  <c r="J37" i="113"/>
  <c r="H37" i="113"/>
  <c r="M36" i="113"/>
  <c r="M35" i="113"/>
  <c r="M34" i="113"/>
  <c r="M33" i="113"/>
  <c r="M32" i="113"/>
  <c r="M31" i="113"/>
  <c r="M30" i="113"/>
  <c r="M29" i="113"/>
  <c r="M28" i="113"/>
  <c r="L28" i="113"/>
  <c r="K28" i="113"/>
  <c r="J28" i="113"/>
  <c r="I28" i="113"/>
  <c r="H28" i="113"/>
  <c r="G28" i="113"/>
  <c r="M27" i="113"/>
  <c r="M26" i="113"/>
  <c r="M25" i="113"/>
  <c r="M24" i="113"/>
  <c r="M23" i="113"/>
  <c r="M22" i="113"/>
  <c r="M21" i="113"/>
  <c r="M20" i="113"/>
  <c r="M19" i="113" s="1"/>
  <c r="M18" i="113" s="1"/>
  <c r="L19" i="113"/>
  <c r="L18" i="113" s="1"/>
  <c r="K19" i="113"/>
  <c r="J19" i="113"/>
  <c r="J18" i="113" s="1"/>
  <c r="I19" i="113"/>
  <c r="H19" i="113"/>
  <c r="H18" i="113" s="1"/>
  <c r="G19" i="113"/>
  <c r="K18" i="113"/>
  <c r="I18" i="113"/>
  <c r="G18" i="113"/>
  <c r="M17" i="113"/>
  <c r="M16" i="113"/>
  <c r="M15" i="113"/>
  <c r="M14" i="113"/>
  <c r="M13" i="113"/>
  <c r="M12" i="113"/>
  <c r="M11" i="113" s="1"/>
  <c r="M10" i="113" s="1"/>
  <c r="L12" i="113"/>
  <c r="K12" i="113"/>
  <c r="K11" i="113" s="1"/>
  <c r="K10" i="113" s="1"/>
  <c r="K49" i="113" s="1"/>
  <c r="J12" i="113"/>
  <c r="I12" i="113"/>
  <c r="I11" i="113" s="1"/>
  <c r="I10" i="113" s="1"/>
  <c r="I49" i="113" s="1"/>
  <c r="H12" i="113"/>
  <c r="G12" i="113"/>
  <c r="G11" i="113" s="1"/>
  <c r="G10" i="113" s="1"/>
  <c r="G49" i="113" s="1"/>
  <c r="L11" i="113"/>
  <c r="J11" i="113"/>
  <c r="J10" i="113" s="1"/>
  <c r="J49" i="113" s="1"/>
  <c r="H11" i="113"/>
  <c r="I123" i="156" l="1"/>
  <c r="J118" i="156"/>
  <c r="J123" i="156" s="1"/>
  <c r="M82" i="148"/>
  <c r="O79" i="148"/>
  <c r="O47" i="148"/>
  <c r="E44" i="148" s="1"/>
  <c r="M32" i="148"/>
  <c r="O32" i="148" s="1"/>
  <c r="E29" i="148" s="1"/>
  <c r="K81" i="148"/>
  <c r="O81" i="148" s="1"/>
  <c r="M81" i="148"/>
  <c r="O30" i="148"/>
  <c r="O80" i="148" s="1"/>
  <c r="O82" i="148" s="1"/>
  <c r="O54" i="148"/>
  <c r="J30" i="157"/>
  <c r="J53" i="157"/>
  <c r="M186" i="157"/>
  <c r="M304" i="157" s="1"/>
  <c r="O186" i="157"/>
  <c r="O304" i="157" s="1"/>
  <c r="J93" i="157"/>
  <c r="M143" i="157"/>
  <c r="J156" i="157"/>
  <c r="J166" i="157"/>
  <c r="H183" i="157"/>
  <c r="M184" i="157"/>
  <c r="O184" i="157"/>
  <c r="Q184" i="157"/>
  <c r="L185" i="157"/>
  <c r="N185" i="157"/>
  <c r="P185" i="157"/>
  <c r="R185" i="157"/>
  <c r="I307" i="157"/>
  <c r="G307" i="157"/>
  <c r="J88" i="157"/>
  <c r="L184" i="157"/>
  <c r="J108" i="157"/>
  <c r="G183" i="157"/>
  <c r="N184" i="157"/>
  <c r="P184" i="157"/>
  <c r="R184" i="157"/>
  <c r="K185" i="157"/>
  <c r="M185" i="157"/>
  <c r="O185" i="157"/>
  <c r="Q185" i="157"/>
  <c r="J203" i="157"/>
  <c r="J213" i="157"/>
  <c r="J284" i="157"/>
  <c r="K317" i="157"/>
  <c r="M317" i="157"/>
  <c r="O317" i="157"/>
  <c r="Q317" i="157"/>
  <c r="M24" i="115"/>
  <c r="M17" i="115" s="1"/>
  <c r="G19" i="160"/>
  <c r="V15" i="160"/>
  <c r="G15" i="160" s="1"/>
  <c r="M44" i="160"/>
  <c r="O44" i="160"/>
  <c r="O35" i="160"/>
  <c r="G35" i="160" s="1"/>
  <c r="E74" i="149"/>
  <c r="P183" i="149"/>
  <c r="P185" i="149" s="1"/>
  <c r="I185" i="149"/>
  <c r="K182" i="149"/>
  <c r="E80" i="149"/>
  <c r="P86" i="149"/>
  <c r="P94" i="149"/>
  <c r="P102" i="149"/>
  <c r="E176" i="149"/>
  <c r="J185" i="149"/>
  <c r="L185" i="149"/>
  <c r="N185" i="149"/>
  <c r="P184" i="149"/>
  <c r="P15" i="149"/>
  <c r="P75" i="149" s="1"/>
  <c r="P182" i="149" s="1"/>
  <c r="P76" i="149"/>
  <c r="P78" i="149" s="1"/>
  <c r="I180" i="149"/>
  <c r="K180" i="149"/>
  <c r="M180" i="149"/>
  <c r="O180" i="149"/>
  <c r="P178" i="149"/>
  <c r="P180" i="149" s="1"/>
  <c r="P179" i="149"/>
  <c r="J180" i="149"/>
  <c r="L180" i="149"/>
  <c r="N180" i="149"/>
  <c r="E69" i="144"/>
  <c r="E184" i="144"/>
  <c r="O208" i="144"/>
  <c r="E203" i="144"/>
  <c r="O211" i="144"/>
  <c r="O114" i="144"/>
  <c r="O209" i="144"/>
  <c r="K138" i="147"/>
  <c r="J323" i="134"/>
  <c r="L17" i="134"/>
  <c r="E13" i="134" s="1"/>
  <c r="L57" i="134"/>
  <c r="E53" i="134" s="1"/>
  <c r="L67" i="134"/>
  <c r="E63" i="134" s="1"/>
  <c r="E88" i="134"/>
  <c r="L97" i="134"/>
  <c r="E93" i="134" s="1"/>
  <c r="L107" i="134"/>
  <c r="E103" i="134" s="1"/>
  <c r="L117" i="134"/>
  <c r="E113" i="134" s="1"/>
  <c r="L137" i="134"/>
  <c r="E133" i="134" s="1"/>
  <c r="L147" i="134"/>
  <c r="E143" i="134" s="1"/>
  <c r="J294" i="134"/>
  <c r="L294" i="134" s="1"/>
  <c r="E291" i="134" s="1"/>
  <c r="I323" i="134"/>
  <c r="L323" i="134" s="1"/>
  <c r="L293" i="134"/>
  <c r="L322" i="134" s="1"/>
  <c r="K228" i="105"/>
  <c r="I228" i="105" s="1"/>
  <c r="K994" i="105"/>
  <c r="M995" i="105"/>
  <c r="M253" i="105"/>
  <c r="J64" i="105"/>
  <c r="I64" i="105" s="1"/>
  <c r="L243" i="105"/>
  <c r="I243" i="105" s="1"/>
  <c r="I241" i="105"/>
  <c r="L226" i="105"/>
  <c r="L228" i="105" s="1"/>
  <c r="K995" i="105"/>
  <c r="I995" i="105" s="1"/>
  <c r="I256" i="105"/>
  <c r="L251" i="105"/>
  <c r="L253" i="105" s="1"/>
  <c r="L513" i="105"/>
  <c r="I513" i="105" s="1"/>
  <c r="N983" i="105"/>
  <c r="J985" i="105"/>
  <c r="I47" i="105"/>
  <c r="I63" i="105"/>
  <c r="L203" i="105"/>
  <c r="I203" i="105" s="1"/>
  <c r="I201" i="105"/>
  <c r="J994" i="105"/>
  <c r="M994" i="105"/>
  <c r="M996" i="105" s="1"/>
  <c r="K253" i="105"/>
  <c r="L258" i="105"/>
  <c r="I258" i="105" s="1"/>
  <c r="N263" i="105"/>
  <c r="I263" i="105" s="1"/>
  <c r="I261" i="105"/>
  <c r="N251" i="105"/>
  <c r="J984" i="105"/>
  <c r="I296" i="105"/>
  <c r="J298" i="105"/>
  <c r="N391" i="105"/>
  <c r="I391" i="105" s="1"/>
  <c r="I386" i="105"/>
  <c r="K984" i="105"/>
  <c r="L990" i="105"/>
  <c r="I538" i="105"/>
  <c r="L985" i="105"/>
  <c r="L539" i="105"/>
  <c r="L989" i="105"/>
  <c r="L559" i="105"/>
  <c r="I559" i="105" s="1"/>
  <c r="I557" i="105"/>
  <c r="N989" i="105"/>
  <c r="I698" i="105"/>
  <c r="N984" i="105"/>
  <c r="N700" i="105"/>
  <c r="I700" i="105" s="1"/>
  <c r="J983" i="105"/>
  <c r="L984" i="105"/>
  <c r="L986" i="105" s="1"/>
  <c r="N985" i="105"/>
  <c r="J253" i="105"/>
  <c r="K983" i="105"/>
  <c r="M983" i="105"/>
  <c r="M984" i="105"/>
  <c r="K985" i="105"/>
  <c r="M985" i="105"/>
  <c r="M298" i="105"/>
  <c r="I457" i="105"/>
  <c r="L523" i="105"/>
  <c r="I523" i="105" s="1"/>
  <c r="I521" i="105"/>
  <c r="N990" i="105"/>
  <c r="I699" i="105"/>
  <c r="L983" i="105"/>
  <c r="L995" i="105"/>
  <c r="K539" i="105"/>
  <c r="I539" i="105" s="1"/>
  <c r="L118" i="156"/>
  <c r="H118" i="156"/>
  <c r="H123" i="156" s="1"/>
  <c r="L123" i="156"/>
  <c r="K123" i="156"/>
  <c r="I183" i="157"/>
  <c r="I301" i="157" s="1"/>
  <c r="J185" i="157"/>
  <c r="M187" i="157"/>
  <c r="O187" i="157"/>
  <c r="R186" i="157"/>
  <c r="R304" i="157" s="1"/>
  <c r="R310" i="157"/>
  <c r="K58" i="157"/>
  <c r="M58" i="157"/>
  <c r="O58" i="157"/>
  <c r="Q58" i="157"/>
  <c r="P310" i="157"/>
  <c r="P143" i="157"/>
  <c r="J143" i="157" s="1"/>
  <c r="K174" i="157"/>
  <c r="L177" i="157"/>
  <c r="N177" i="157"/>
  <c r="R177" i="157"/>
  <c r="K186" i="157"/>
  <c r="L320" i="157"/>
  <c r="L302" i="157"/>
  <c r="K308" i="157"/>
  <c r="M308" i="157"/>
  <c r="O308" i="157"/>
  <c r="Q308" i="157"/>
  <c r="J56" i="157"/>
  <c r="L309" i="157"/>
  <c r="L311" i="157" s="1"/>
  <c r="N309" i="157"/>
  <c r="N311" i="157" s="1"/>
  <c r="P309" i="157"/>
  <c r="P311" i="157" s="1"/>
  <c r="R309" i="157"/>
  <c r="K310" i="157"/>
  <c r="O310" i="157"/>
  <c r="O311" i="157" s="1"/>
  <c r="Q310" i="157"/>
  <c r="Q311" i="157" s="1"/>
  <c r="L58" i="157"/>
  <c r="N58" i="157"/>
  <c r="P58" i="157"/>
  <c r="R58" i="157"/>
  <c r="H307" i="157"/>
  <c r="M310" i="157"/>
  <c r="M311" i="157" s="1"/>
  <c r="P176" i="157"/>
  <c r="J176" i="157" s="1"/>
  <c r="K177" i="157"/>
  <c r="M177" i="157"/>
  <c r="O177" i="157"/>
  <c r="Q177" i="157"/>
  <c r="L186" i="157"/>
  <c r="L304" i="157" s="1"/>
  <c r="N186" i="157"/>
  <c r="N304" i="157" s="1"/>
  <c r="N305" i="157" s="1"/>
  <c r="Q186" i="157"/>
  <c r="Q304" i="157" s="1"/>
  <c r="J190" i="157"/>
  <c r="K297" i="157"/>
  <c r="O303" i="157"/>
  <c r="O305" i="157" s="1"/>
  <c r="Q303" i="157"/>
  <c r="J322" i="157"/>
  <c r="J317" i="157"/>
  <c r="J298" i="157"/>
  <c r="L300" i="157"/>
  <c r="N300" i="157"/>
  <c r="P300" i="157"/>
  <c r="R300" i="157"/>
  <c r="H301" i="157"/>
  <c r="N302" i="157"/>
  <c r="P302" i="157"/>
  <c r="R302" i="157"/>
  <c r="K303" i="157"/>
  <c r="M303" i="157"/>
  <c r="M305" i="157" s="1"/>
  <c r="P303" i="157"/>
  <c r="R303" i="157"/>
  <c r="R305" i="157" s="1"/>
  <c r="K321" i="157"/>
  <c r="M321" i="157"/>
  <c r="M323" i="157" s="1"/>
  <c r="O321" i="157"/>
  <c r="O323" i="157" s="1"/>
  <c r="Q321" i="157"/>
  <c r="Q323" i="157" s="1"/>
  <c r="J299" i="157"/>
  <c r="O300" i="157"/>
  <c r="Q300" i="157"/>
  <c r="G301" i="157"/>
  <c r="M302" i="157"/>
  <c r="O302" i="157"/>
  <c r="Q302" i="157"/>
  <c r="L303" i="157"/>
  <c r="F30" i="153"/>
  <c r="F32" i="153" s="1"/>
  <c r="O172" i="152"/>
  <c r="F185" i="152"/>
  <c r="O185" i="152" s="1"/>
  <c r="O173" i="152"/>
  <c r="F186" i="152"/>
  <c r="F175" i="152"/>
  <c r="H186" i="152"/>
  <c r="H188" i="152" s="1"/>
  <c r="H175" i="152"/>
  <c r="J186" i="152"/>
  <c r="J188" i="152" s="1"/>
  <c r="J175" i="152"/>
  <c r="L186" i="152"/>
  <c r="L188" i="152" s="1"/>
  <c r="L175" i="152"/>
  <c r="N186" i="152"/>
  <c r="N188" i="152" s="1"/>
  <c r="N175" i="152"/>
  <c r="O174" i="152"/>
  <c r="F187" i="152"/>
  <c r="O187" i="152" s="1"/>
  <c r="G186" i="152"/>
  <c r="G188" i="152" s="1"/>
  <c r="G175" i="152"/>
  <c r="I186" i="152"/>
  <c r="I188" i="152" s="1"/>
  <c r="I175" i="152"/>
  <c r="K186" i="152"/>
  <c r="K188" i="152" s="1"/>
  <c r="K175" i="152"/>
  <c r="M186" i="152"/>
  <c r="M188" i="152" s="1"/>
  <c r="M175" i="152"/>
  <c r="O68" i="152"/>
  <c r="O69" i="152"/>
  <c r="N98" i="152"/>
  <c r="O101" i="152"/>
  <c r="F165" i="152"/>
  <c r="H165" i="152"/>
  <c r="J165" i="152"/>
  <c r="L165" i="152"/>
  <c r="N165" i="152"/>
  <c r="O162" i="152"/>
  <c r="O163" i="152"/>
  <c r="G165" i="152"/>
  <c r="I165" i="152"/>
  <c r="K165" i="152"/>
  <c r="M165" i="152"/>
  <c r="H50" i="113"/>
  <c r="H43" i="115"/>
  <c r="J43" i="115"/>
  <c r="J50" i="113"/>
  <c r="L43" i="115"/>
  <c r="L50" i="113"/>
  <c r="G50" i="113"/>
  <c r="G43" i="115"/>
  <c r="I50" i="113"/>
  <c r="I43" i="115"/>
  <c r="M16" i="115"/>
  <c r="M30" i="115"/>
  <c r="M29" i="115" s="1"/>
  <c r="K17" i="115"/>
  <c r="K15" i="115" s="1"/>
  <c r="K36" i="115" s="1"/>
  <c r="J66" i="113"/>
  <c r="G66" i="113"/>
  <c r="I66" i="113"/>
  <c r="K66" i="113"/>
  <c r="H10" i="113"/>
  <c r="H49" i="113" s="1"/>
  <c r="L10" i="113"/>
  <c r="L49" i="113" s="1"/>
  <c r="M37" i="113"/>
  <c r="M49" i="113" s="1"/>
  <c r="K82" i="148" l="1"/>
  <c r="J300" i="157"/>
  <c r="P177" i="157"/>
  <c r="J177" i="157" s="1"/>
  <c r="P186" i="157"/>
  <c r="P304" i="157" s="1"/>
  <c r="M15" i="115"/>
  <c r="M36" i="115" s="1"/>
  <c r="M43" i="115" s="1"/>
  <c r="G44" i="160"/>
  <c r="V44" i="160"/>
  <c r="L991" i="105"/>
  <c r="I989" i="105"/>
  <c r="I990" i="105"/>
  <c r="I298" i="105"/>
  <c r="I984" i="105"/>
  <c r="J986" i="105"/>
  <c r="L994" i="105"/>
  <c r="L996" i="105" s="1"/>
  <c r="M986" i="105"/>
  <c r="I983" i="105"/>
  <c r="N986" i="105"/>
  <c r="N991" i="105"/>
  <c r="K986" i="105"/>
  <c r="N994" i="105"/>
  <c r="N996" i="105" s="1"/>
  <c r="N253" i="105"/>
  <c r="I253" i="105" s="1"/>
  <c r="J996" i="105"/>
  <c r="I985" i="105"/>
  <c r="I251" i="105"/>
  <c r="K996" i="105"/>
  <c r="I226" i="105"/>
  <c r="K320" i="157"/>
  <c r="J320" i="157" s="1"/>
  <c r="J297" i="157"/>
  <c r="J310" i="157"/>
  <c r="K304" i="157"/>
  <c r="J304" i="157" s="1"/>
  <c r="J186" i="157"/>
  <c r="K311" i="157"/>
  <c r="P187" i="157"/>
  <c r="L187" i="157"/>
  <c r="L305" i="157"/>
  <c r="J321" i="157"/>
  <c r="K323" i="157"/>
  <c r="J323" i="157" s="1"/>
  <c r="P305" i="157"/>
  <c r="J303" i="157"/>
  <c r="Q305" i="157"/>
  <c r="R311" i="157"/>
  <c r="J308" i="157"/>
  <c r="J174" i="157"/>
  <c r="K184" i="157"/>
  <c r="J184" i="157" s="1"/>
  <c r="J58" i="157"/>
  <c r="J309" i="157"/>
  <c r="Q187" i="157"/>
  <c r="K187" i="157"/>
  <c r="R187" i="157"/>
  <c r="N187" i="157"/>
  <c r="O165" i="152"/>
  <c r="O186" i="152"/>
  <c r="F188" i="152"/>
  <c r="O188" i="152" s="1"/>
  <c r="O175" i="152"/>
  <c r="K43" i="115"/>
  <c r="K50" i="113"/>
  <c r="M66" i="113"/>
  <c r="H66" i="113"/>
  <c r="L66" i="113"/>
  <c r="I991" i="105" l="1"/>
  <c r="I994" i="105"/>
  <c r="I996" i="105"/>
  <c r="I986" i="105"/>
  <c r="J311" i="157"/>
  <c r="K302" i="157"/>
  <c r="J302" i="157" s="1"/>
  <c r="J187" i="157"/>
  <c r="K305" i="157"/>
  <c r="J305" i="157" s="1"/>
  <c r="E35" i="150" l="1"/>
  <c r="D35" i="150"/>
  <c r="F32" i="150"/>
  <c r="F31" i="150"/>
  <c r="F30" i="150"/>
  <c r="F29" i="150"/>
  <c r="E28" i="150"/>
  <c r="E33" i="150" s="1"/>
  <c r="D28" i="150"/>
  <c r="D33" i="150" s="1"/>
  <c r="F27" i="150"/>
  <c r="F26" i="150"/>
  <c r="F25" i="150"/>
  <c r="F24" i="150"/>
  <c r="F23" i="150"/>
  <c r="F22" i="150"/>
  <c r="F21" i="150"/>
  <c r="F20" i="150"/>
  <c r="F19" i="150"/>
  <c r="F18" i="150"/>
  <c r="F17" i="150"/>
  <c r="F16" i="150"/>
  <c r="F15" i="150"/>
  <c r="F14" i="150"/>
  <c r="F35" i="150" s="1"/>
  <c r="F13" i="150"/>
  <c r="F12" i="150"/>
  <c r="F11" i="150"/>
  <c r="F10" i="150"/>
  <c r="F9" i="150"/>
  <c r="F8" i="150"/>
  <c r="F28" i="150" l="1"/>
  <c r="F33" i="150" s="1"/>
  <c r="F36" i="114"/>
  <c r="G36" i="114" s="1"/>
  <c r="F35" i="114"/>
  <c r="G35" i="114" s="1"/>
  <c r="F34" i="114"/>
  <c r="G34" i="114" s="1"/>
  <c r="F33" i="114"/>
  <c r="G33" i="114" s="1"/>
  <c r="F32" i="114"/>
  <c r="G32" i="114" s="1"/>
  <c r="F31" i="114"/>
  <c r="G31" i="114" s="1"/>
  <c r="F30" i="114"/>
  <c r="G30" i="114" s="1"/>
  <c r="E30" i="114"/>
  <c r="D30" i="114"/>
  <c r="C30" i="114"/>
  <c r="G29" i="114"/>
  <c r="F29" i="114"/>
  <c r="G28" i="114"/>
  <c r="F28" i="114"/>
  <c r="G27" i="114"/>
  <c r="F27" i="114"/>
  <c r="D26" i="114"/>
  <c r="F26" i="114" s="1"/>
  <c r="F25" i="114"/>
  <c r="G25" i="114" s="1"/>
  <c r="F24" i="114"/>
  <c r="G24" i="114" s="1"/>
  <c r="F23" i="114"/>
  <c r="G23" i="114" s="1"/>
  <c r="F22" i="114"/>
  <c r="G22" i="114" s="1"/>
  <c r="F21" i="114"/>
  <c r="G21" i="114" s="1"/>
  <c r="F20" i="114"/>
  <c r="G20" i="114" s="1"/>
  <c r="F19" i="114"/>
  <c r="G19" i="114" s="1"/>
  <c r="F18" i="114"/>
  <c r="G18" i="114" s="1"/>
  <c r="F17" i="114"/>
  <c r="G17" i="114" s="1"/>
  <c r="E16" i="114"/>
  <c r="D16" i="114"/>
  <c r="C16" i="114"/>
  <c r="F15" i="114"/>
  <c r="G15" i="114" s="1"/>
  <c r="F14" i="114"/>
  <c r="G14" i="114" s="1"/>
  <c r="F13" i="114"/>
  <c r="G13" i="114" s="1"/>
  <c r="F12" i="114"/>
  <c r="G12" i="114" s="1"/>
  <c r="E11" i="114"/>
  <c r="E37" i="114" s="1"/>
  <c r="D11" i="114"/>
  <c r="D37" i="114" s="1"/>
  <c r="C11" i="114"/>
  <c r="C37" i="114" s="1"/>
  <c r="F10" i="114"/>
  <c r="F11" i="114" l="1"/>
  <c r="G26" i="114"/>
  <c r="F16" i="114"/>
  <c r="G16" i="114" s="1"/>
  <c r="G11" i="114"/>
  <c r="F37" i="114" l="1"/>
  <c r="G37" i="114" s="1"/>
  <c r="G86" i="172"/>
  <c r="C20" i="172"/>
  <c r="G82" i="172"/>
  <c r="G75" i="172"/>
  <c r="G85" i="172"/>
  <c r="C82" i="172"/>
  <c r="E80" i="172"/>
  <c r="D80" i="172"/>
  <c r="C80" i="172"/>
  <c r="D76" i="172"/>
  <c r="C76" i="172"/>
  <c r="C75" i="172"/>
  <c r="F73" i="172"/>
  <c r="E73" i="172"/>
  <c r="D73" i="172"/>
  <c r="C73" i="172"/>
  <c r="C69" i="172"/>
  <c r="C55" i="172"/>
  <c r="F54" i="172"/>
  <c r="E54" i="172"/>
  <c r="D54" i="172"/>
  <c r="C54" i="172"/>
  <c r="D50" i="172"/>
  <c r="C50" i="172"/>
  <c r="C31" i="172"/>
  <c r="D23" i="172"/>
  <c r="C23" i="172"/>
  <c r="F21" i="172"/>
  <c r="E21" i="172"/>
  <c r="D21" i="172"/>
  <c r="C21" i="172"/>
  <c r="E85" i="172"/>
  <c r="E86" i="172"/>
  <c r="F85" i="172"/>
  <c r="F86" i="172"/>
  <c r="D85" i="172"/>
  <c r="D86" i="172"/>
  <c r="C85" i="172"/>
  <c r="C86" i="172"/>
  <c r="C13" i="126"/>
  <c r="U17" i="49"/>
  <c r="T17" i="49"/>
  <c r="S17" i="49"/>
  <c r="Q17" i="49"/>
  <c r="P17" i="49"/>
  <c r="O17" i="49"/>
  <c r="L17" i="49"/>
  <c r="K17" i="49"/>
  <c r="J17" i="49"/>
  <c r="I17" i="49"/>
  <c r="H17" i="49"/>
  <c r="M15" i="49"/>
  <c r="R15" i="49"/>
  <c r="M14" i="49"/>
  <c r="R14" i="49"/>
  <c r="M13" i="49"/>
  <c r="R13" i="49"/>
  <c r="M12" i="49"/>
  <c r="R12" i="49"/>
  <c r="M11" i="49"/>
  <c r="R11" i="49"/>
  <c r="M10" i="49"/>
  <c r="M9" i="49"/>
  <c r="R9" i="49"/>
  <c r="R17" i="49"/>
  <c r="N8" i="49"/>
  <c r="N17" i="49"/>
  <c r="M8" i="49"/>
  <c r="M17" i="49"/>
  <c r="D15" i="151"/>
  <c r="D20" i="151"/>
</calcChain>
</file>

<file path=xl/comments1.xml><?xml version="1.0" encoding="utf-8"?>
<comments xmlns="http://schemas.openxmlformats.org/spreadsheetml/2006/main">
  <authors>
    <author>Eckert Szilvia</author>
  </authors>
  <commentList>
    <comment ref="E9" authorId="0">
      <text>
        <r>
          <rPr>
            <b/>
            <sz val="9"/>
            <color indexed="81"/>
            <rFont val="Tahoma"/>
            <family val="2"/>
            <charset val="238"/>
          </rPr>
          <t>Eckert Szilvia:</t>
        </r>
        <r>
          <rPr>
            <sz val="9"/>
            <color indexed="81"/>
            <rFont val="Tahoma"/>
            <family val="2"/>
            <charset val="238"/>
          </rPr>
          <t xml:space="preserve">
Hivatalt és intézményeket is beletegyük?</t>
        </r>
      </text>
    </comment>
  </commentList>
</comments>
</file>

<file path=xl/sharedStrings.xml><?xml version="1.0" encoding="utf-8"?>
<sst xmlns="http://schemas.openxmlformats.org/spreadsheetml/2006/main" count="4080" uniqueCount="1241">
  <si>
    <t>adatok eFt-ban</t>
  </si>
  <si>
    <t>A</t>
  </si>
  <si>
    <t>C</t>
  </si>
  <si>
    <t>B</t>
  </si>
  <si>
    <t>D</t>
  </si>
  <si>
    <t>E</t>
  </si>
  <si>
    <t>Megnevezés</t>
  </si>
  <si>
    <t>Temetők üzemeltetésével kapcsolatos feladatok</t>
  </si>
  <si>
    <t>Parkfenntartás</t>
  </si>
  <si>
    <t>Köztisztasági feladatok</t>
  </si>
  <si>
    <t>Városi kiemelt fesztiválok</t>
  </si>
  <si>
    <t>Városi lap kiadásai</t>
  </si>
  <si>
    <t>Kitüntetések</t>
  </si>
  <si>
    <t>MINDÖSSZESEN:</t>
  </si>
  <si>
    <t>Veszprém Megyei Jogú Város Önkormányzata</t>
  </si>
  <si>
    <t>F</t>
  </si>
  <si>
    <t>G</t>
  </si>
  <si>
    <t>H</t>
  </si>
  <si>
    <t>Cím</t>
  </si>
  <si>
    <t>Alcím</t>
  </si>
  <si>
    <t>Feladatellátás jellege*</t>
  </si>
  <si>
    <t>Teljes költség</t>
  </si>
  <si>
    <t>Önkormányzati felújítási kiadások</t>
  </si>
  <si>
    <t>K</t>
  </si>
  <si>
    <t>NK</t>
  </si>
  <si>
    <t>Eötvös Károly Megyei Könyvtár</t>
  </si>
  <si>
    <t>VMJV Polgármesteri Hivatal</t>
  </si>
  <si>
    <t>* Feladatellátás jellege:</t>
  </si>
  <si>
    <t>K= Magyarország helyi önkormányzatairól szóló 2011. évi CLXXXIX. törvény 13. § (1) bekezdése szerinti kötelező feladatok</t>
  </si>
  <si>
    <t>NK= Önkormányzat által önként vállalt feladatok</t>
  </si>
  <si>
    <t>J</t>
  </si>
  <si>
    <t>Önkormányzati beruházási kiadások</t>
  </si>
  <si>
    <t>Hulladéklerakó rekultiváció</t>
  </si>
  <si>
    <t>Kádártai Közösségi Ház átépítése</t>
  </si>
  <si>
    <t>Laczkó Dezső Múzeum</t>
  </si>
  <si>
    <t>Informatikai kiadások</t>
  </si>
  <si>
    <t>I</t>
  </si>
  <si>
    <t>L</t>
  </si>
  <si>
    <t>M</t>
  </si>
  <si>
    <t>Működési költségvetési kiadások</t>
  </si>
  <si>
    <t>Személyi juttatások</t>
  </si>
  <si>
    <t>Munk.a. terh. jár. és szoc.hj.adó</t>
  </si>
  <si>
    <t>Dologi kiadások</t>
  </si>
  <si>
    <t>Egyéb működési kiadások</t>
  </si>
  <si>
    <t>Nemzeti ünnepek kiadásaira</t>
  </si>
  <si>
    <t>Közművelődési szolgált.</t>
  </si>
  <si>
    <t>Nemzetközi kapcsolatok</t>
  </si>
  <si>
    <t>Marketing tevékenység, marketing stratégia</t>
  </si>
  <si>
    <t>ebből: - Veszprémi Ünnepi Játékok</t>
  </si>
  <si>
    <t xml:space="preserve">          - Gizella Napok</t>
  </si>
  <si>
    <t xml:space="preserve">          - Tánc Fesztivál </t>
  </si>
  <si>
    <t xml:space="preserve">          - Veszprémi Utcazene Fesztivál</t>
  </si>
  <si>
    <t xml:space="preserve">          - Auer Hegedűfesztivál</t>
  </si>
  <si>
    <t>Eseti rendezvények</t>
  </si>
  <si>
    <t>Köztéri szobrok, emléktáblák, lektorátus</t>
  </si>
  <si>
    <t>I. Világháborús Centenáriumi Emlékezés költségei</t>
  </si>
  <si>
    <t>Kiadványok, folyóiratok támogatása</t>
  </si>
  <si>
    <t>Méz Rádió támogatása</t>
  </si>
  <si>
    <t>ebből: - Mendelssohn Kamarazenekar</t>
  </si>
  <si>
    <t xml:space="preserve"> - Veszprém Város Vegyeskara</t>
  </si>
  <si>
    <t xml:space="preserve"> - Veszprémi Táncegyüttesért Alapítvány</t>
  </si>
  <si>
    <t xml:space="preserve"> - Liszt F. Kórus</t>
  </si>
  <si>
    <t>Szaléziánum támogatása</t>
  </si>
  <si>
    <t>Sziveri János Intézet működtetése</t>
  </si>
  <si>
    <t>Filharmónia koncertek támogatás</t>
  </si>
  <si>
    <t>Tanórán kívüli tevékenység támogatása</t>
  </si>
  <si>
    <t>Verseny és élsport</t>
  </si>
  <si>
    <t>Sportpálya fenntartás, ill. fenntartói tám.</t>
  </si>
  <si>
    <t>Sportcélok és feladatok (sportigazgatás)</t>
  </si>
  <si>
    <t>Szabadidő- és diáksport</t>
  </si>
  <si>
    <t>Polgármesteri keret</t>
  </si>
  <si>
    <t>Városi civil keret</t>
  </si>
  <si>
    <t xml:space="preserve"> ebből : - Nyugdíjas szervezetek számára pályázati keret</t>
  </si>
  <si>
    <t xml:space="preserve">            - Pályázati keret</t>
  </si>
  <si>
    <t>Köztemetés</t>
  </si>
  <si>
    <t xml:space="preserve">Közcélú és közhasznú foglalkoztatás </t>
  </si>
  <si>
    <t>Települési szilárdhulladék szállítás ártámogatás</t>
  </si>
  <si>
    <t>Kisgyermekes bérlet</t>
  </si>
  <si>
    <t>Máltai Szeretetszolgálatnak pénzeszköz átadás (ellátási szerződés)</t>
  </si>
  <si>
    <t>Családsegítő és Gyermekjóléti Alapszolgáltatási Intézményfenntartó Társulás</t>
  </si>
  <si>
    <t>Lelkisegély szolgálat</t>
  </si>
  <si>
    <t>Hittudományi Főiskola támogatása</t>
  </si>
  <si>
    <t>Foglalkoztatás eü. szolg.</t>
  </si>
  <si>
    <t>Munkavédelmi feladatok</t>
  </si>
  <si>
    <t>Közbeszerzési eljárások költségei</t>
  </si>
  <si>
    <t xml:space="preserve">Önkormányzat igazgatási tevékenysége </t>
  </si>
  <si>
    <t>Igazgatás - Állam felé befizetési kötelezettség</t>
  </si>
  <si>
    <t>ÁFA befizetés</t>
  </si>
  <si>
    <t>Kamatkiadások</t>
  </si>
  <si>
    <t>Családi ünnepek szervezése</t>
  </si>
  <si>
    <t>Városi Közbiztonság Keret</t>
  </si>
  <si>
    <t>Nem lakáscélú helyiségek üzemeltetési költségei</t>
  </si>
  <si>
    <t>Közüzemi Zrt. jutaléka</t>
  </si>
  <si>
    <t>Városi TV közszolgálati műsorok támogatása</t>
  </si>
  <si>
    <t>Kittenberger K. Növény- és Vadaspark KHT működéséhez hozzájárulás</t>
  </si>
  <si>
    <t>Peres ügyek, Kártérítési díjak kifizetése ingatlantulajdonosok részére</t>
  </si>
  <si>
    <t>Jutasi úti műfüves pálya fenntartása (LUC)</t>
  </si>
  <si>
    <t>Többfunkciós csarnok szolgált. vásárlás</t>
  </si>
  <si>
    <t>TDM Irodától szolgáltatás vásárlása</t>
  </si>
  <si>
    <t>Programiroda szolgáltatás vásárlás</t>
  </si>
  <si>
    <t>Társadalmi tudatformálási kampányok (mobilitási hét, "Te Szedd", kerékpárral munkába)</t>
  </si>
  <si>
    <t>Városépítészeti feladatok</t>
  </si>
  <si>
    <t>Településfejlesztési feladatok</t>
  </si>
  <si>
    <t>Rekultivációt megelőző telephely fenntartási költség</t>
  </si>
  <si>
    <t>Aluljárók csapadékvíz átemelőinek üzemeltetése</t>
  </si>
  <si>
    <t>Szökőkutak, ivókutak szolgáltatási díjai</t>
  </si>
  <si>
    <t>Városgazdálkodási szolg.</t>
  </si>
  <si>
    <t>Közvilágítás</t>
  </si>
  <si>
    <t>Közműalagút működtetése</t>
  </si>
  <si>
    <t>Környezetvédelmi feladat (Városüzemeltetés feladatai)</t>
  </si>
  <si>
    <t>Környezetvédelmi feladat (Közigazgatási Iroda feladatai)</t>
  </si>
  <si>
    <t>Közterület Felügyelet, gyepmesteri telep</t>
  </si>
  <si>
    <t>Veszprém Város Közlekedésfejlesztéséért Közalapítvány támogatása (nyugdíjas bérletek)</t>
  </si>
  <si>
    <t>Nemzetiségi önkormányzatok kiadásai:</t>
  </si>
  <si>
    <t xml:space="preserve"> ebből: - Roma Nemzetiségi Önkormányzat</t>
  </si>
  <si>
    <t>- Német Nemzetiségi Önkormányzat</t>
  </si>
  <si>
    <t>- Örmény Nemzetiségi Önkormányzat</t>
  </si>
  <si>
    <t>- Lengyel Nemzetiségi Önkormányzat</t>
  </si>
  <si>
    <t>- Ukrán Nemzetiségi Önkormányzat</t>
  </si>
  <si>
    <t>Választókerületi keretből civil szervezetek támogatása</t>
  </si>
  <si>
    <t>Ebből: Önkormányzat által ellátott kötelező feladatok összesen:</t>
  </si>
  <si>
    <t>Ebből: Önkormányzat által ellátott önként vállalt feladatok összesen:</t>
  </si>
  <si>
    <t>KIMUTATÁS</t>
  </si>
  <si>
    <t>Módosítás</t>
  </si>
  <si>
    <t>Megjegyzés</t>
  </si>
  <si>
    <t>Göllesz Viktor Fogyatékos Személyek Nappali Intézménye</t>
  </si>
  <si>
    <t>Intézmények összesen:</t>
  </si>
  <si>
    <t>VMJV Önkormányzata</t>
  </si>
  <si>
    <t>ebből:</t>
  </si>
  <si>
    <t>Összesen</t>
  </si>
  <si>
    <t>1.</t>
  </si>
  <si>
    <t>Iparűzési adó</t>
  </si>
  <si>
    <t>Építményadó</t>
  </si>
  <si>
    <t>Telekadó</t>
  </si>
  <si>
    <t>Kommunális adó</t>
  </si>
  <si>
    <t>Idegenforgalmi adó</t>
  </si>
  <si>
    <t>Gépjárműadó</t>
  </si>
  <si>
    <t>2.</t>
  </si>
  <si>
    <t>3.</t>
  </si>
  <si>
    <t>4.</t>
  </si>
  <si>
    <t>5.</t>
  </si>
  <si>
    <t>Összesen:</t>
  </si>
  <si>
    <t>Veszprém Megyei Jogú Város Önkormányzata Intézményei</t>
  </si>
  <si>
    <t>Működési költségvetési bevételek</t>
  </si>
  <si>
    <t>Felhalmozási költségvetési bevételek</t>
  </si>
  <si>
    <t>Irányító szervtől kapott támogatás</t>
  </si>
  <si>
    <t>Működési bevételek</t>
  </si>
  <si>
    <t>Működési célú támogatás Áht-on belülről</t>
  </si>
  <si>
    <t>Működési célú átvett pénzeszköz</t>
  </si>
  <si>
    <t>Felhalmozási bevétel</t>
  </si>
  <si>
    <t>Felhalmozási célú támogatás Áht.-on belülről</t>
  </si>
  <si>
    <t>Felhalmozási célú átvett pénzeszköz</t>
  </si>
  <si>
    <t>Közcélú és közhasznú foglalkoztatás</t>
  </si>
  <si>
    <t>(Ringató Óvoda, Erdei Tagóvoda, Kuckó Tagóvoda)</t>
  </si>
  <si>
    <t>(Egry ltp. Óvoda, Nárcisz Tagóvoda)</t>
  </si>
  <si>
    <t>(Csillag úti Óvoda, Cholnoky ltp. Óvoda)</t>
  </si>
  <si>
    <t>(Kastélykert Óvoda, Ficánka Óvoda)</t>
  </si>
  <si>
    <t>Veszprémi Petőfi Színház</t>
  </si>
  <si>
    <t>INTÉZMÉNYEK ÖSSZESEN:</t>
  </si>
  <si>
    <t>VMJV Polgármesteri Hivatal által ellátott kötelező és önként vállalt feladatok</t>
  </si>
  <si>
    <t>N</t>
  </si>
  <si>
    <t>O</t>
  </si>
  <si>
    <t>P</t>
  </si>
  <si>
    <t>Felhalmozási költségvetési kiadások</t>
  </si>
  <si>
    <t>Egyéb felhalmozási célú kiadások</t>
  </si>
  <si>
    <t>Igazgatási tevékenység</t>
  </si>
  <si>
    <t>Gondnokság</t>
  </si>
  <si>
    <t>ISO 9001 minőségbiztosítás karbantartás</t>
  </si>
  <si>
    <t>Ebből:</t>
  </si>
  <si>
    <t>Önkormányzati kötelező feladatokat ellátó intézmények összesen</t>
  </si>
  <si>
    <t>Önkormányzat által önként vállalt feladatokat ellátó intézmények összesen</t>
  </si>
  <si>
    <t>VMJV Polgármesteri Hivatal által ellátott kötelező és államigazgatási feladatok összesen</t>
  </si>
  <si>
    <t>Veszprém Megyei Jogú Város Önkormányzatának</t>
  </si>
  <si>
    <t>Működési célú támogatások Áht-on belülről</t>
  </si>
  <si>
    <t>Önkormányzatok működési támogatásai</t>
  </si>
  <si>
    <t>Működési célú költségvetési támogatások és kiegészítő támogatások</t>
  </si>
  <si>
    <t>Egyéb működési célú támogatások bevételei</t>
  </si>
  <si>
    <t>ebből: Társadalombizt. Alapból származó támogatás</t>
  </si>
  <si>
    <t>Önkormányzati Intézmények  működési célú támogatások Áht-on belülről</t>
  </si>
  <si>
    <t>Közhatalmi bevételek</t>
  </si>
  <si>
    <t>Adók</t>
  </si>
  <si>
    <t>Egyéb pótlékok, bírságok</t>
  </si>
  <si>
    <t>Egyéb közhatalmi bevételek (bírságok, igazgatási szolgáltatási díjak)</t>
  </si>
  <si>
    <t>Önkormányzati Intézmények működési bevételek</t>
  </si>
  <si>
    <t>Működési célú átvett pénzeszközök</t>
  </si>
  <si>
    <t>Önkormányzati Intézmények működési célú átvett pénzeszközök</t>
  </si>
  <si>
    <t>Felhalmozási célú támogatások Áht-on belülről</t>
  </si>
  <si>
    <t>Felhalmozási célú önkormányzati támogatások</t>
  </si>
  <si>
    <t>Egyéb felhalmozási célú támogatások bevételei</t>
  </si>
  <si>
    <t>Önkormányzati Intézmények felhalmozási célú támogatások Áht-on belülről</t>
  </si>
  <si>
    <t>Felhalmozási bevételek</t>
  </si>
  <si>
    <t>Ingatlanok értékesítése</t>
  </si>
  <si>
    <t>Önkormányzati Intézmények felhalmozási bevételei</t>
  </si>
  <si>
    <t>Felhalmozási célú átvett pénzeszközök</t>
  </si>
  <si>
    <t>Önkormányzati Intézmények felhalmozási célú átvett pénzeszközök</t>
  </si>
  <si>
    <t>Lakásalap</t>
  </si>
  <si>
    <t>Költségvetési bevételek összesen</t>
  </si>
  <si>
    <t>Költségvetési egyenleg összege</t>
  </si>
  <si>
    <t>Finanszírozási bevételek</t>
  </si>
  <si>
    <t>Intézmények</t>
  </si>
  <si>
    <t>VMJV Polgármesteri Hivatala</t>
  </si>
  <si>
    <t>Beruházási hitelfelvétel</t>
  </si>
  <si>
    <t>Előző évi hitelszerződéseken alapuló felvétel</t>
  </si>
  <si>
    <t>Bevételi főösszeg</t>
  </si>
  <si>
    <t xml:space="preserve">Cím  </t>
  </si>
  <si>
    <t>Intézményi költségvetési kiadások</t>
  </si>
  <si>
    <t>Céltartalékok</t>
  </si>
  <si>
    <t xml:space="preserve"> - Felmentési idő, jub.jut., végkielégítés</t>
  </si>
  <si>
    <t xml:space="preserve"> - Előző évi hitelszerződéshez kapcs. feladat</t>
  </si>
  <si>
    <t>Általános tartalék</t>
  </si>
  <si>
    <t>Lakásalap kiadása</t>
  </si>
  <si>
    <t>Költségvetési kiadások összesen</t>
  </si>
  <si>
    <t>Finanszírozási kiadások</t>
  </si>
  <si>
    <t>Működési finanszírozási kiadások</t>
  </si>
  <si>
    <t>Felhalmozási finanszírozási kiadások</t>
  </si>
  <si>
    <t xml:space="preserve"> - Hiteltörlesztés</t>
  </si>
  <si>
    <t xml:space="preserve"> - Lakásalap hiteltörlesztése</t>
  </si>
  <si>
    <t>Kiadási főösszeg</t>
  </si>
  <si>
    <t>VESZPRÉM MEGYEI JOGÚ VÁROS ÖNKORMÁNYZATÁNAK MŰKÖDÉSI ÉS FELHALMOZÁSI</t>
  </si>
  <si>
    <t>MŰKÖDÉSI KÖLTSÉGVETÉSI BEVÉTELEK</t>
  </si>
  <si>
    <t>MŰKÖDÉSI KÖLTSÉGVETÉSI KIADÁSOK</t>
  </si>
  <si>
    <t>Működési célú támogatások államháztartáson belülről</t>
  </si>
  <si>
    <t>Munkaadókat terhelő járulékok és szociális hozzájárulási adó</t>
  </si>
  <si>
    <t>Ellátottak pénzbeli juttatásai</t>
  </si>
  <si>
    <t>Egyéb működési célú kiadások (tartalékok nélkül)</t>
  </si>
  <si>
    <t>6.</t>
  </si>
  <si>
    <t>Működési költségvetési bevételek összesen</t>
  </si>
  <si>
    <t>Működési költségvetési kiadások összesen</t>
  </si>
  <si>
    <t>FELHALMOZÁSI KÖLTSÉGVETÉSI BEVÉTELEK</t>
  </si>
  <si>
    <t>FELHALMOZÁSI KÖLTSÉGVETÉSI KIADÁSOK</t>
  </si>
  <si>
    <t>Felhalmozási célú támogatások államháztartáson belülről</t>
  </si>
  <si>
    <t>Beruházási kiadások</t>
  </si>
  <si>
    <t>Felújítási kiadások</t>
  </si>
  <si>
    <t>Felhalmozási költségvetési bevételek összesen</t>
  </si>
  <si>
    <t>Felhalmozási költségvetési kiadások összesen</t>
  </si>
  <si>
    <t>MŰKÖDÉSI FINANSZÍROZÁSI BEVÉTELEK</t>
  </si>
  <si>
    <t>MŰKÖDÉSI FINANSZÍROZÁSI KIADÁSOK</t>
  </si>
  <si>
    <t>Rövid lejáratú hitel felvétele</t>
  </si>
  <si>
    <t>Rövid lejáratú hitel tőkeösszegének törlesztése</t>
  </si>
  <si>
    <t>FELHALMOZÁSI FINANSZÍROZÁSI BEVÉTELEK</t>
  </si>
  <si>
    <t>FELHALMOZÁSI FINANSZÍROZÁSI KIADÁSOK</t>
  </si>
  <si>
    <t>Hosszú lejáratú hitel felvétele</t>
  </si>
  <si>
    <t>Hosszú lejáratú hitel tőkeösszegének törlesztése</t>
  </si>
  <si>
    <t>Finanszírozási bevételek összesen</t>
  </si>
  <si>
    <t>Finanszírozási kiadások összesen</t>
  </si>
  <si>
    <t>ÖSSZES BEVÉTEL</t>
  </si>
  <si>
    <t>ÖSSZES KIADÁS</t>
  </si>
  <si>
    <t>ebből működési:</t>
  </si>
  <si>
    <t>ebből felhalmozási:</t>
  </si>
  <si>
    <t>Finanszírozási kiadásokkal korrigált hiány összege</t>
  </si>
  <si>
    <t>Működési bevételek aránya %-ban</t>
  </si>
  <si>
    <t>Működési kiadások aránya %-ban</t>
  </si>
  <si>
    <t>Felhalmozási bevételek aránya %-ban</t>
  </si>
  <si>
    <t>Felhalmozási kiadások aránya %-ban</t>
  </si>
  <si>
    <t xml:space="preserve"> </t>
  </si>
  <si>
    <t>Közfoglalkoztatottak létszáma</t>
  </si>
  <si>
    <t>I.</t>
  </si>
  <si>
    <t>Kiemelt művészeti együttesek támogatása</t>
  </si>
  <si>
    <t>Swing-Swing Kft. Szolgáltatás vásárlás</t>
  </si>
  <si>
    <t>Bérleményekkel, haszonbérletekkel kapcsolatos feladatok</t>
  </si>
  <si>
    <t>Csapadékcsatornák üzemeltetési szolgáltatásai</t>
  </si>
  <si>
    <t>Felhalmozási célú átvett pénzeszközök (kölcsönök visszatérülése)</t>
  </si>
  <si>
    <t>Felhalmozási célú költségvetési maradvány igénybevétele</t>
  </si>
  <si>
    <t>Működési célú  költségvetési maradvány igénybevétele</t>
  </si>
  <si>
    <t>Előző évi  költségvetési maradvány</t>
  </si>
  <si>
    <t>Államháztartáson belüli megelőlegezések</t>
  </si>
  <si>
    <t>Államháztartáson belüli megelőlegezések visszafizetése</t>
  </si>
  <si>
    <t>Veszprémi Ringató Körzeti Óvoda</t>
  </si>
  <si>
    <t>Veszprémi Egry úti Körzeti Óvoda</t>
  </si>
  <si>
    <t>Veszprémi Csillag úti Körzeti Óvoda</t>
  </si>
  <si>
    <t>Veszprémi Kastélykert Körzeti Óvoda</t>
  </si>
  <si>
    <t>Veszprémi Intézményi Szolgáltató Szervezet</t>
  </si>
  <si>
    <t>Nyári diákmunka</t>
  </si>
  <si>
    <t>Pannon Várszínház támogatás</t>
  </si>
  <si>
    <t>Beruházáshoz kapcsolódó működési kiadások:</t>
  </si>
  <si>
    <t>Végleges forgalomba helyezéshez szükséges ingatlanrendezés</t>
  </si>
  <si>
    <t>Út,-járda, parkoló építések tervezési munkái</t>
  </si>
  <si>
    <t>Erdész utca csapadékvízcsatorna tervezés, engedélyezés</t>
  </si>
  <si>
    <t>Észak - déli út II. szakasz - tervezési feladatok, kisajátítás, engedélyezés</t>
  </si>
  <si>
    <t>Felújításhoz kapcsolódó működési kiadások:</t>
  </si>
  <si>
    <t>Városi rendezvények</t>
  </si>
  <si>
    <t>SÉD folyóirat költségei</t>
  </si>
  <si>
    <t>M.J.V.SZ. tám. Kárpátalja megsegítésére</t>
  </si>
  <si>
    <t>ebből:  - Lélektér Alapítvány</t>
  </si>
  <si>
    <t xml:space="preserve">           - Tanulmányi ösztöndíj</t>
  </si>
  <si>
    <t xml:space="preserve">           - Fiatalok napja rendezvény</t>
  </si>
  <si>
    <t>Lakbértámogatás</t>
  </si>
  <si>
    <t>Települési támogatások</t>
  </si>
  <si>
    <t>Parkolók üzemeltetési költsége</t>
  </si>
  <si>
    <t>ebből: - Vár Ucca Műhely támogatása</t>
  </si>
  <si>
    <t xml:space="preserve">          - Veszprémi Szemle Várostörténeti Közhasznú Alapítvány Támogatása</t>
  </si>
  <si>
    <t>EÜ. Alapell. Intézm. - Cserhát ltp. 1. védőnői tanácsadó és gyermekorv.rendelő felújítása, kialakítása</t>
  </si>
  <si>
    <t>ebből:  - Rendkívüli támogatás</t>
  </si>
  <si>
    <t>Közfoglalkoztatottak és diákmunkások létszáma</t>
  </si>
  <si>
    <t>Egészségügyi feladatok ellátását szolgáló ingatlanrész bérleti díja és rezsiköltségek</t>
  </si>
  <si>
    <t>Szolgáltatások, közvetített szolgáltatások ellenértéke</t>
  </si>
  <si>
    <t>Tulajdonosi bevételek</t>
  </si>
  <si>
    <t>ÁFA bevételek és visszatérülések</t>
  </si>
  <si>
    <t xml:space="preserve">Egyéb működési  bevételek </t>
  </si>
  <si>
    <t>Helyi önkormányzatok működésének általános  és ágazati feladataihoz kapcsolódó támogatás</t>
  </si>
  <si>
    <t>Költségvetési hiány belső finanszírozására szolgáló bevételek</t>
  </si>
  <si>
    <t>Költségvetési hiány külső finanszírozására szolgáló bevételek</t>
  </si>
  <si>
    <t>Feladatellátás jellege</t>
  </si>
  <si>
    <t>Kőbánya u. útrekonstrukció</t>
  </si>
  <si>
    <t>TOP-6.5.1 Laczkó Dezső Múzeum energetikai megújítása, előkészítő, engedélyezési terv</t>
  </si>
  <si>
    <t>Egyéb városüzemeltetési feladatok</t>
  </si>
  <si>
    <t>VKSZ Zrt. által ellátott városüzemeltetési feladatok</t>
  </si>
  <si>
    <t>VKSZ Zrt. által ellátott intézményüzemeltetési feladatok</t>
  </si>
  <si>
    <t>Intézményi működtetők költsége</t>
  </si>
  <si>
    <t>Szenvedélybetegek ellátásának működési kiadásaihoz támogatás</t>
  </si>
  <si>
    <t>Költségvetési maradvány</t>
  </si>
  <si>
    <t>eredeti előirányzat</t>
  </si>
  <si>
    <t>(Hársfa Tagóvoda, Bóbita Óvoda)</t>
  </si>
  <si>
    <t>Veszprémi Bóbita Körzeti Óvoda</t>
  </si>
  <si>
    <t>Veszprémi Vadvirág Körzeti Óvoda</t>
  </si>
  <si>
    <t>Járásszékhely települési önkormányzatok által fenntartott múzeumok szakmai támogatása</t>
  </si>
  <si>
    <t>Önkormányzati bérlakások felújítása</t>
  </si>
  <si>
    <t>Bérlakások üzemeltetési költségei</t>
  </si>
  <si>
    <t>Veszprém Megyei Jogú Város Önkormányzata által</t>
  </si>
  <si>
    <t>Támogatás összege</t>
  </si>
  <si>
    <t>Veszprémi Ifjúsági Közalapítvány</t>
  </si>
  <si>
    <t>Veszprém Város Vegyeskara</t>
  </si>
  <si>
    <t>17</t>
  </si>
  <si>
    <t>Vagyongazdálkodással és ingatlanhasznosítással összefüggő fel. (Földhivatali eljárások, vagyonértékelés)</t>
  </si>
  <si>
    <t>Alapítvány / egyesület / civil szervezet / társadalmi szervezet megnevezése</t>
  </si>
  <si>
    <t>Gizella Múzeum támogatása</t>
  </si>
  <si>
    <t>Polgármester, Alpolgármesterek</t>
  </si>
  <si>
    <t>Helyi önkormányzatok általános működéséhez és ágazati feladataihoz kapcsolódó támogatások</t>
  </si>
  <si>
    <t>Változás %-a</t>
  </si>
  <si>
    <t>1. Helyi önkormányzatok működésének általános támogatása</t>
  </si>
  <si>
    <t>2. Települési önkormányzatok egyes köznevelési feladatainak támogatása</t>
  </si>
  <si>
    <t>Óvodapedagógusok és az óvodapedagógusok nevelő munkáját közvetlenül segítők bértámogatása</t>
  </si>
  <si>
    <t>Óvodaműködtetési támogatás</t>
  </si>
  <si>
    <t>Kiegészítő támogatás az óvodapedagógusok minősítéséből adódó többletkiadásokhoz</t>
  </si>
  <si>
    <t>Szociális étkeztetés</t>
  </si>
  <si>
    <t>Házi segítségnyújtás</t>
  </si>
  <si>
    <t>Időskorúak nappali intézményi ellátása</t>
  </si>
  <si>
    <t>Családok és hajléktalanok átmeneti elhelyezése</t>
  </si>
  <si>
    <t>Idősek átmeneti és tartós szociális szakosított ellátásának támogatása</t>
  </si>
  <si>
    <t>Gyermekétkeztetés támogatása</t>
  </si>
  <si>
    <t>Rászoruló gyermekek intézményen kívüli szünidei étkeztetése</t>
  </si>
  <si>
    <t>4. Települési önkormányzatok kulturális feladatainak támogatása</t>
  </si>
  <si>
    <t>Megyei hatáskörű városi múzeumok  feladatainak támogatása</t>
  </si>
  <si>
    <t>Megyei könyvtárak feladatainak támogatása</t>
  </si>
  <si>
    <t>Megyeszékhely megyei jogú városok közművelődési támogatása</t>
  </si>
  <si>
    <t>Megyei könyvtár kistelepülési könyvtári célú kiegészítő támogatása</t>
  </si>
  <si>
    <t>Zenekarok támogatása</t>
  </si>
  <si>
    <t>(Csillagvár Waldorf Tagóvoda, Vadvirág Óvoda)</t>
  </si>
  <si>
    <t>tájékoztató jelleggel az Áht. 24.§ (4) bekezdés b) pontja alapján</t>
  </si>
  <si>
    <t>Sorszám</t>
  </si>
  <si>
    <t>Játszóeszközök kopásból, elhasználódásból adódó karbantartása, felújítása</t>
  </si>
  <si>
    <t>Kittenberger K. Növény és Vadaspark Kht. működéséhez hozzájárulás</t>
  </si>
  <si>
    <t>Veszprém TV közszolgálati műsorok támogatása</t>
  </si>
  <si>
    <t>Swing-Swing Kft. (Hangvilla) szolgáltatási szerződés</t>
  </si>
  <si>
    <t>Veszprém Stromfeld A. u. 9/E. szám alatti ingatlanrész rendőrségi körzeti megbízotti iroda működtetése céljára</t>
  </si>
  <si>
    <t>Veszprém Egyetemi és Diák Atlétikai Club</t>
  </si>
  <si>
    <t>Veszprém Kosárlabda Korlátolt Felelősségű Társasággal együttműködési megállapodás (Veszprémi Egyetemi SC kosárlabda szakosztály)</t>
  </si>
  <si>
    <t>Futsal Club Veszprém</t>
  </si>
  <si>
    <t>Cuha Völgye Egyesületi tagdíj (5 Ft/lakos)</t>
  </si>
  <si>
    <t>ÖKOpolisz Klaszter tagdíj</t>
  </si>
  <si>
    <t>Balatoni Szövetség</t>
  </si>
  <si>
    <t>Megyei Jogú Városok Szövetsége tagdíj</t>
  </si>
  <si>
    <t>Máltai Szeretetszolgálat (ellátási szerződés)</t>
  </si>
  <si>
    <t>Központi orvosi ügyelet külső szolgáltatóval történő működtetése, az alapellátási központi orvosi ügyelet további működtetése</t>
  </si>
  <si>
    <t>Önkormányzati kiadások összesen:</t>
  </si>
  <si>
    <t>hiteltörlesztésének, hitelállományának és egyéb kötelezettségeinek alakulásáról</t>
  </si>
  <si>
    <t>Q</t>
  </si>
  <si>
    <t>Hitel megnevezése</t>
  </si>
  <si>
    <t>Hitelt nyújtó pénzintézet</t>
  </si>
  <si>
    <t>Hitelszerződés dátuma</t>
  </si>
  <si>
    <t>Lejárat idő- pontja</t>
  </si>
  <si>
    <t>Hitelkeret</t>
  </si>
  <si>
    <t>OTP Bank</t>
  </si>
  <si>
    <t>Beruházási hitel - SMO 2011.</t>
  </si>
  <si>
    <t>UniCredit Bank</t>
  </si>
  <si>
    <t xml:space="preserve">Beruházási hitel - Célhitel 2013. </t>
  </si>
  <si>
    <t>Beruházási hitel - MFB 2013.</t>
  </si>
  <si>
    <t>Takarékbank</t>
  </si>
  <si>
    <t>7.</t>
  </si>
  <si>
    <t>Pénzintézetekkel szemben fenálló kötelezettségek összesen</t>
  </si>
  <si>
    <t xml:space="preserve">                  </t>
  </si>
  <si>
    <t>tájékoztató jelleggel az Áht. 24. § (4) bekezdés c) pontja alapján</t>
  </si>
  <si>
    <t>Törvények és helyi rendeletek által nyújtott mentességek, kedvezmények</t>
  </si>
  <si>
    <t>Közvetett támogatás  ezer Forintban</t>
  </si>
  <si>
    <t>Adóhivatal:</t>
  </si>
  <si>
    <t>Ellátottak térítési díjának, illetve kártérítésének méltányossági alapon történő elengedésének összege</t>
  </si>
  <si>
    <t>Lakosság részére lakásépítéshez, lakásfelújításhoz nyújtott kölcsönök elengedésének összege</t>
  </si>
  <si>
    <t>Helyiségek, eszközök hasznosításából származó bevételből nyújtott kedvezmény, mentesség összege</t>
  </si>
  <si>
    <t>Egyéb nyújtott kedvezmény, vagy kölcsön elengedésének összege</t>
  </si>
  <si>
    <t>Veszprémi Bölcsődei és Egészségügyi Alapellátási Integrált Intézmény</t>
  </si>
  <si>
    <t xml:space="preserve"> - Gizella Kórus/Dowland Alapítvány</t>
  </si>
  <si>
    <t xml:space="preserve">Központi orvosi ügyelet </t>
  </si>
  <si>
    <t>TOP-6.2.1-15-VP1-2016-00002 Gyulafirátóti óvoda újjáépítése</t>
  </si>
  <si>
    <t>ELENA projekt előkészítési feladatokra konzorciumi hozzájárulás</t>
  </si>
  <si>
    <t>TOP-6.2.1-15-VPI-2016-00003 Egry úti óvoda újjáépítése</t>
  </si>
  <si>
    <t>TOP-6.3.3-15-VPI-2016-00001 Kertváros csapadékelvezető rendszer rekonstrukciója I. ütem</t>
  </si>
  <si>
    <t>TOP-6.2.1-15-VPI-2016-00001 Aprófalvi bölcsőde kapacitásbővítő átalakítása</t>
  </si>
  <si>
    <t xml:space="preserve">           - Veszprémi Ifjúsági Közalapítvány</t>
  </si>
  <si>
    <t>Mendelssohn Kamarazenekar</t>
  </si>
  <si>
    <t xml:space="preserve"> Európai Uniós forrásból finanszírozott támogatással megvalósuló programok, projektek bevételeiről és kiadásairól az Ávr. 24. § (1) bekezdés a.) és bd.) pontjainak megfelelően</t>
  </si>
  <si>
    <t>Program megnevezés</t>
  </si>
  <si>
    <t>Program megvalósításának ideje</t>
  </si>
  <si>
    <t>Saját erő</t>
  </si>
  <si>
    <t>EU támogatás összesen</t>
  </si>
  <si>
    <t>EU támogatás</t>
  </si>
  <si>
    <t>TOP.6.6.1-15-VP2-2016-00001 Egészségház építése</t>
  </si>
  <si>
    <t>TOP-6.6.2-15-VP1-2016-00001 Idős demensek nappali ellátójának kialakítása</t>
  </si>
  <si>
    <t>TOP-6.4-1-15-VP1-2016-00002 Fenntartható Város Mobilitási terv készítése Veszprém Megyei Jogú Város területére (SUMP)</t>
  </si>
  <si>
    <t xml:space="preserve">Család- és gyermekjóléti szolgálat </t>
  </si>
  <si>
    <t>Család- és gyermekjóléti központ</t>
  </si>
  <si>
    <t>Fogyatékos személyek nappali intézményi ellátása</t>
  </si>
  <si>
    <t>Demens személyek nappali intézményi ellátása</t>
  </si>
  <si>
    <t>Bölcsődei, mini bölcsődei ellátás (kedvezményes étk. támog. nélkül)</t>
  </si>
  <si>
    <t>3. Települési önkormányzatok szociális, gyermekjóléti és gyermek-étkeztetési feladatainak támogatása</t>
  </si>
  <si>
    <t>VMJV Önkormányzat</t>
  </si>
  <si>
    <t xml:space="preserve">Veszprémi Bóbita Körzeti Óvoda </t>
  </si>
  <si>
    <r>
      <t>Ebből</t>
    </r>
    <r>
      <rPr>
        <i/>
        <sz val="10"/>
        <rFont val="Palatino Linotype"/>
        <family val="1"/>
        <charset val="238"/>
      </rPr>
      <t>: költségvetési támogatás</t>
    </r>
  </si>
  <si>
    <t>Veszprémi Vadvirág Körzeti Óvoda                                                (Csillagvár Waldorf Tagóvoda, Vadvirág Óvoda)</t>
  </si>
  <si>
    <t>Veszprémi Kastélykert Körzeti Óvoda                                       (Kastélykert Óvoda, Ficánka Óvoda)</t>
  </si>
  <si>
    <t xml:space="preserve">B </t>
  </si>
  <si>
    <t>Projekt forrás összetétel</t>
  </si>
  <si>
    <t>Projekt költség megbontás</t>
  </si>
  <si>
    <t>2016. évi            tény</t>
  </si>
  <si>
    <t>2016. évi                tény</t>
  </si>
  <si>
    <t>1-16</t>
  </si>
  <si>
    <t>Tőke-törlesztés 2020</t>
  </si>
  <si>
    <t>Kamat 2020</t>
  </si>
  <si>
    <t>Rövid lejáratú hitel (1500M Ft)</t>
  </si>
  <si>
    <t>Beruházási hitel  - MFB 2014</t>
  </si>
  <si>
    <t>Beruházási hitel - Célhitel 2014</t>
  </si>
  <si>
    <t>Polgármesteri Hivatal épületeinek takarítási feladatainak ellátása</t>
  </si>
  <si>
    <t>a Veszprém Megyei Jogú Város Önkormányzata Támogatási Szerződéssel rendelkező</t>
  </si>
  <si>
    <t>Erdész u.-i parkoló építés</t>
  </si>
  <si>
    <t>Orgona utca átépítésének kivitelezése</t>
  </si>
  <si>
    <t>Petőfi Sándor utca rekonstrukciója</t>
  </si>
  <si>
    <t>Stromfeld Aurél utca akadálymentesítés</t>
  </si>
  <si>
    <t>Eü. Alapellátás</t>
  </si>
  <si>
    <t>Megyei Könyvtár kistelepülési könyvtári és közművelődési célú kiegészítő állami támogatás</t>
  </si>
  <si>
    <t>Gépkocsi gumiabroncs beszerzés</t>
  </si>
  <si>
    <t>Mihály-napi búcsú</t>
  </si>
  <si>
    <t>Stadion üzemeltetése</t>
  </si>
  <si>
    <t>Városi ifjúsági keret</t>
  </si>
  <si>
    <t>Rendszeres gyermekvédelmi kedvezmény/pénzbeli ellátás</t>
  </si>
  <si>
    <t>Szünidei gyermekétkeztetés</t>
  </si>
  <si>
    <t xml:space="preserve">          - Lakásfenntartási támogatás </t>
  </si>
  <si>
    <t xml:space="preserve">          - Albérleti támogatás</t>
  </si>
  <si>
    <t xml:space="preserve">          - Temetési támogatás</t>
  </si>
  <si>
    <t xml:space="preserve">          - Térítési díj</t>
  </si>
  <si>
    <t xml:space="preserve">          - Gyógyszertámogatás</t>
  </si>
  <si>
    <t xml:space="preserve">         - Adósságcsökkentési támogatás</t>
  </si>
  <si>
    <t xml:space="preserve">         - Szünidei gyermekétkeztetés</t>
  </si>
  <si>
    <t>Nevelési szolgáltatás</t>
  </si>
  <si>
    <t>Német Nemzetiségi Önk. helységének bérleti díja</t>
  </si>
  <si>
    <t>Szolidaritási hozzájárulás</t>
  </si>
  <si>
    <t xml:space="preserve">Észak-Nyugati Közlekedési Központ Zrt. Helyi közösségi közlekedés közszolgáltatás és veszteségkiegyenlítés </t>
  </si>
  <si>
    <t>Önkormányzati tulajdonú ingatlanok művelési ág változásával járó költségek (Földhivatal)</t>
  </si>
  <si>
    <t>Közmű alaptérkép változásvezetés</t>
  </si>
  <si>
    <t>Térinformatikai rendszer adatfeltöltés, fakataszter</t>
  </si>
  <si>
    <t>Óvodai csoportok átmeneti elhelyezését szolgáló konténerek bérleti díja</t>
  </si>
  <si>
    <t>TOP-6.8.2-15-VPI-2016-00001 Helyi foglalkoztatási együttműködések a megyei jogú város területén és várostérségben, foglalkoztatási együttműködés a veszprémi járás területén</t>
  </si>
  <si>
    <t>TOP-6.4.1-15-VP1-2016-00001"Közlekedésbiztonsági és kerékpárosbarát fejlesztések megvalósulása Veszprém város területén"</t>
  </si>
  <si>
    <t>Szentkirályszabadja - Veszprém Reptér tulajdonjogának megszerzéséhez kapcsolódó per- és egyéb költség</t>
  </si>
  <si>
    <t>DAT térképfrissítés, földkönyv, közműnyilvántartás, GPS</t>
  </si>
  <si>
    <t>Rendezési terv felülvizsgálat megjelenítése a térinformatikai rendszerben</t>
  </si>
  <si>
    <t>Hiány finanszírozása belső finanszírozásra szolgáló költségvetési bevétel összegével</t>
  </si>
  <si>
    <t>Hiány finanszírozása külső finanszírozásra szolgáló költségvetési bevétel összegével</t>
  </si>
  <si>
    <t>DTP1-1-311-2.2 Interreg Duna Nemzetközi Program Networld*</t>
  </si>
  <si>
    <t>Országgyűlési képviselők választása 2018.</t>
  </si>
  <si>
    <t>KÖFOP-1.2.1-VEKOP-16-2017-01268, Veszprém Megyei Jogú Város Önkormányzata ASP Központhoz való csatlakozása</t>
  </si>
  <si>
    <t>Csillagvár Waldorf Tagóvoda</t>
  </si>
  <si>
    <t>Hársfa Tagóvoda</t>
  </si>
  <si>
    <t>Nárcisz Tagóvoda</t>
  </si>
  <si>
    <t>Cholnoky Jenő Ltp. Tagóvoda</t>
  </si>
  <si>
    <t>Ficánka Tagóvoda</t>
  </si>
  <si>
    <t>Tárgyi eszközök beszerzésére</t>
  </si>
  <si>
    <t>Hóvirág Bölcsőde</t>
  </si>
  <si>
    <t>Vackor Bölcsőde</t>
  </si>
  <si>
    <t>Aprófalvi Bölcsőde</t>
  </si>
  <si>
    <t>Módszertani Bölcsőde</t>
  </si>
  <si>
    <t>Fogorvosi körzeteknek működési hozzájárulás</t>
  </si>
  <si>
    <t>Fogorvosi körzetek részére pályázati alap</t>
  </si>
  <si>
    <t>Paktum Iroda működéséhez hozzájárulás</t>
  </si>
  <si>
    <t>Magyar-Lengyel Barátság napja</t>
  </si>
  <si>
    <t>Állatmenhelyek támogatása</t>
  </si>
  <si>
    <t>Helikoni Ünnepségek Keszthelyen (diákok nevezési díjai)</t>
  </si>
  <si>
    <t>Hatósági engedélyek beszerzése, hatályban tartása</t>
  </si>
  <si>
    <t>Közlekedési Igazgatóság költségei</t>
  </si>
  <si>
    <t>"Városom Veszprém", "Virágos Magyarországért" és "Entente Florale" verseny szervezési, előkészítési, lebonyolítási költségei</t>
  </si>
  <si>
    <t>Repülőtér üzemeltetése</t>
  </si>
  <si>
    <t>Musica Sacra Alapítvány</t>
  </si>
  <si>
    <t>Veszprémi Deák Ferenc Ált. Iskoláért Közhasznú Alapítvány</t>
  </si>
  <si>
    <t>Fúvós Kultúráért Alapítvány támogatása</t>
  </si>
  <si>
    <t>Balaton Vívóklub</t>
  </si>
  <si>
    <t>DTP1-1-311-2.2 Interreg Duna Nemzetközi Program Netwold</t>
  </si>
  <si>
    <t>TOP 6.1.5-16-VPI-2017-00001 Északi Iparterület Közlekedésfejlesztése</t>
  </si>
  <si>
    <t>MVP Veszprémi Petőfi Színház komplex fejlesztése</t>
  </si>
  <si>
    <t>TOP-6.3.3-15 Csapadékvíz-elvezető rendszer rekonstrukciója I. ütem - Dózsaváros előkészítő, engedélyezési, kiviteli és tender terv</t>
  </si>
  <si>
    <t>Táncsics utcai rendelő felújítása</t>
  </si>
  <si>
    <t>Egészségház közműfejlesztési költségek</t>
  </si>
  <si>
    <t>Védőnői és háziorvosi körzetek költöztetési költsége</t>
  </si>
  <si>
    <t>Állatkert építési engedélyezési tervek</t>
  </si>
  <si>
    <t>Gyulafirátót 10089/4 hrsz-ú ingatlan közműfejlesztési költségei</t>
  </si>
  <si>
    <t>Veszprémi Dózsa György Német Nemzetiségi Nyelvoktató Általános Iskola - nyílászáró csere 2 tanteremben</t>
  </si>
  <si>
    <t>TOP-6.3.3-16-VP1-2017-00001 Dózsaváros, Pápai úti csapadékvíz-elvezető rendszer fejlesztése</t>
  </si>
  <si>
    <t>TOP-6.6.1-16-VP1-2017-00001 Gyulafirátóti rendelő felújítása</t>
  </si>
  <si>
    <t>TOP – 6.3.2 Zöldváros kialakítása (Kulturális negyed - Színházkert, Megyeház tér, Erzsébet liget, Erzsébet sétány – fejlesztése)</t>
  </si>
  <si>
    <t>EFOP-1.9.9-17-2017-00004 Még jobb kezekben - Veszprémben</t>
  </si>
  <si>
    <t>Veszprém, Pápai út 37. szám alatti ingatlanon munkásszállás kialakítása</t>
  </si>
  <si>
    <t>MVP Kittenberger Kálmán Növény- és Vadaspark fejlesztése és bővítése</t>
  </si>
  <si>
    <t>MVP Veszprémi Zeneművészeti Szakgimnázium és Alapfokú Művészeti Iskola intézményegysége, a Csermák Antal Zeneiskola felújításának megvalósítása</t>
  </si>
  <si>
    <t>A Várlift építészeti tervpályázat lebonyolítása</t>
  </si>
  <si>
    <t>Veszprémi Torna Club részére könnyűszerkezetes sportlétesítmény építése</t>
  </si>
  <si>
    <t>Gyulafirátót Németh u. útrekonstrukció I. ütem csapadékvíz elvezetés</t>
  </si>
  <si>
    <t>Veszprém Foci Centrum Utánpótlás SE</t>
  </si>
  <si>
    <t>Veszprémi Egyetemi és Diák Atlétikai Club</t>
  </si>
  <si>
    <t>Török I.u. - Aulich összekötés</t>
  </si>
  <si>
    <t>Máltai Szeretetszolgálat</t>
  </si>
  <si>
    <t>Veszprémi Labdarúgó és Sportszervező Korlátolt Felelősségű Társaság támogatása</t>
  </si>
  <si>
    <t>Fogorvosok működési hozzájárulás</t>
  </si>
  <si>
    <t>Fogorvosi körzet pályázati alap</t>
  </si>
  <si>
    <t>Kulturális kínálat bővítés/ amatőr művészeti csoportok támogatása</t>
  </si>
  <si>
    <t>Tőke-törlesztés 2021</t>
  </si>
  <si>
    <t>Kamat 2021</t>
  </si>
  <si>
    <t>Hiszek Benned Sport Program</t>
  </si>
  <si>
    <t>Veszprémi Kistérségi Társulásnak pénzeszköz átadás (Egyesített Szoc.Int.)</t>
  </si>
  <si>
    <t>Közutak, hidak fenntartása</t>
  </si>
  <si>
    <t>2019. év</t>
  </si>
  <si>
    <t xml:space="preserve"> - Viziközmű fejlesztés</t>
  </si>
  <si>
    <t>Művészetek Háza Veszprém Művelődési Ház és Kiállítóhely</t>
  </si>
  <si>
    <t>Kabóca Bábszínház</t>
  </si>
  <si>
    <r>
      <rPr>
        <b/>
        <sz val="10"/>
        <rFont val="Palatino Linotype"/>
        <family val="1"/>
        <charset val="238"/>
      </rPr>
      <t>EFOP-1.9.9-17-2017-00004</t>
    </r>
    <r>
      <rPr>
        <sz val="10"/>
        <rFont val="Palatino Linotype"/>
        <family val="1"/>
        <charset val="238"/>
      </rPr>
      <t xml:space="preserve"> Még jobb kezekben - Veszprémben</t>
    </r>
  </si>
  <si>
    <r>
      <rPr>
        <b/>
        <sz val="10"/>
        <rFont val="Palatino Linotype"/>
        <family val="1"/>
        <charset val="238"/>
      </rPr>
      <t>EFOP-4.1.9-16-2017-00014</t>
    </r>
    <r>
      <rPr>
        <sz val="10"/>
        <rFont val="Palatino Linotype"/>
        <family val="1"/>
        <charset val="238"/>
      </rPr>
      <t xml:space="preserve"> A múzeumi és levéltári intézményrendszer tanulás segítő infrastrukturális fejlesztései -Laczkó Dezső Múzeumban oktatótermek és kiszolgáló helyiségek kialakítása</t>
    </r>
  </si>
  <si>
    <r>
      <rPr>
        <b/>
        <sz val="10"/>
        <rFont val="Palatino Linotype"/>
        <family val="1"/>
        <charset val="238"/>
      </rPr>
      <t>EFOP-3.3.2-16-2016-00107</t>
    </r>
    <r>
      <rPr>
        <sz val="10"/>
        <rFont val="Palatino Linotype"/>
        <family val="1"/>
        <charset val="238"/>
      </rPr>
      <t xml:space="preserve"> Kulturális intézmények a köznevelés eredményességéért</t>
    </r>
  </si>
  <si>
    <t xml:space="preserve">Kabóca Bábszínház </t>
  </si>
  <si>
    <t>2017. évi tény</t>
  </si>
  <si>
    <t>TOP-6.4.1-16-VP1-17-00001 Kerékpárút építése Alsóörs - Felsőörs irányába</t>
  </si>
  <si>
    <t>TOP-6.5.1-16-VP1-2017-00001 Veszprém Városra vonatkozó fenntartható energia és klíma akcióterv (SECAP) elkészítése</t>
  </si>
  <si>
    <t>EFOP-2.4.2-17-2018-00012 Szociális bérlakások felújítása Veszprémben</t>
  </si>
  <si>
    <t>Időközi helyi önkormányzati képviselő választás 2018.</t>
  </si>
  <si>
    <t>TOP-6.6.1-16-VP1-2017-00002 Kádártai rendelő felújítása</t>
  </si>
  <si>
    <t>601835-CITIZ-1-2018-1-HU-CITIZ-NT Reveal YouropEaN Cultural Heritage/Tárd fel  európai kulturális örökségedet (ENriCH)</t>
  </si>
  <si>
    <t>Mentorprogram pályakezdők részre, együttműködési megállapodás az Életet Segítő Alapítvánnyal az 57/2018. (III.29.) határozat alapján</t>
  </si>
  <si>
    <t>TOP-6.4.1-15-VP1-2016-00001 Közlekedésbiztonsági és kerékpárosbarát fejlesztések megvalósulása Veszprém város területén</t>
  </si>
  <si>
    <t>** Ezen projektek esetében a 2018. évi EU támogatás negatív előirányzata az EU támogatás visszautalását jelenti.</t>
  </si>
  <si>
    <t>Veszprémi Családsegítő és Gyermekjóléti Integrált Intézmény</t>
  </si>
  <si>
    <t>Agóra Veszprém Kulturális Központ</t>
  </si>
  <si>
    <t xml:space="preserve">Agóra Veszprém Kulturális Központ </t>
  </si>
  <si>
    <t>1-17</t>
  </si>
  <si>
    <t>18</t>
  </si>
  <si>
    <t>Nemzetiségi pótlék</t>
  </si>
  <si>
    <t>Óvodai és iskolaiszociális segítő tevékenység támogatása</t>
  </si>
  <si>
    <t>Napsugár Bölcsőde</t>
  </si>
  <si>
    <t>TOP-6.4.1-16-VP1-2018-00002 Kerékpárút építése Márkó-Bánd települések irányába</t>
  </si>
  <si>
    <t xml:space="preserve">          - 10 éves kiadvány</t>
  </si>
  <si>
    <t>Veszprém Város Vegyeskar utánpótlás/Dúdoló Kórus</t>
  </si>
  <si>
    <t>Oktatási intézmények támogatása</t>
  </si>
  <si>
    <t>Téli rezsicsökkentésben nem részesültek egyszeri támogatása</t>
  </si>
  <si>
    <t>V-Busz Kft. Szolgáltatás vásárlás</t>
  </si>
  <si>
    <t>Környezet terhelés vizsgálat K-Ny-i főtengely I. ütem</t>
  </si>
  <si>
    <t>VESZOL - Veszprém, Pápai u. 37. sz. munkásszálló működetési feladatai</t>
  </si>
  <si>
    <t>MVP Veszprémi Zeneművészeti Szakgimnázium és Alapfokú Művészeti Iskola intézményegysége, a Csermák Antal Zeneiskola felújításához tartozó költöztetési feladatok elvégzése</t>
  </si>
  <si>
    <t>TOP orvosi rendelők felújításához tartozó költöztetési munkák</t>
  </si>
  <si>
    <t>Felújításra kerülő bölcsődék költöztetési, eszközszállítási feladatai</t>
  </si>
  <si>
    <t xml:space="preserve">EFOP-1.9.9-17-2017-00004 Még jobb kezekben - Veszprémben </t>
  </si>
  <si>
    <t>V-Busz Kft. Cégalapítás költségei</t>
  </si>
  <si>
    <t>Digitális Kódfejtő Alapítvány támogatása/Talentum Centrum Tehetséggondozó Alapítvány</t>
  </si>
  <si>
    <t>TOP-71.1. Helyi közösségi kezdeményezések (CLLD kulcsprojekt előkészítése)</t>
  </si>
  <si>
    <t>TOP-6.9.2 A helyi identitás és koházió erősítése</t>
  </si>
  <si>
    <t>Erasmus+K3 SporTown</t>
  </si>
  <si>
    <t>Gyulafirátóti rendelő felújítása költöztetés)</t>
  </si>
  <si>
    <t>Kádártai rendelő felújítása - Posta költöztetés</t>
  </si>
  <si>
    <t>9.sz. választókerületi járdaépítések</t>
  </si>
  <si>
    <t>A "Helyi foglalkoztatási együttműködések a megyei jogú város területén és várostérségben, foglalkoztatási együttműködés a veszprémi járás területén" projekt közbeszerzési eljárásával kapcsolatos fizetési kötelezettség</t>
  </si>
  <si>
    <t>Infrastruktúra fejlesztési feladatokhoz kapcsolódó kiadások</t>
  </si>
  <si>
    <t>Belváros komplett gazdasági, szociális, épített örökségvédelmi rehabilitációja és városfejlesztési stratégia elkészítése KDOP-3.1.1/D-2010-0001</t>
  </si>
  <si>
    <t>TOP-6.6.1-16-VP1 Jutasi u. 59. sz. alatti rendelő megújítása</t>
  </si>
  <si>
    <t>Jutasi u. 59. sz. alatti rendelő felújításához - költöztetés</t>
  </si>
  <si>
    <t>TOP 6.5.1-16 Önkormányzati épületek energetikai korszerűsítése</t>
  </si>
  <si>
    <t>MVP "Veszprémi új Városi Jégcsarnok építése"</t>
  </si>
  <si>
    <t>Tornászgyakorló kivitelezéséhez kapcsolódó közbeszerzés</t>
  </si>
  <si>
    <t>Veszprém, Óvári Ferenc u. 1. volt Zeneiskolában kiállításhoz szükséges költségekre</t>
  </si>
  <si>
    <t>Közbeszerzési szakértelem beszerzése (sportmarketing)</t>
  </si>
  <si>
    <t>Tagsági díj Balatoni Szövetség</t>
  </si>
  <si>
    <t>Felsőörs raktárbázis Felsőörs Szabadság tér 14 érintésvédelmi felülvizsgálata hatósági kötelezettség</t>
  </si>
  <si>
    <t>GINOP - 7.1.9-17-2018-00023 Veszprém kulturális turisztikai kínálatának fejlesztése</t>
  </si>
  <si>
    <t>Barátság park sportfejlesztések előkészítése, közmű ellátása</t>
  </si>
  <si>
    <t>Játszótérépítések</t>
  </si>
  <si>
    <t>Boglárka u.-Lóczy u. gyalogátkelő</t>
  </si>
  <si>
    <t>Festő utca rekonstrukciója, tervezés</t>
  </si>
  <si>
    <t>Polgármesteri Hivatal felújítási munkák</t>
  </si>
  <si>
    <t>Magyar Építőipari Múzeum Szent István u. épület fertőtlenítése és felújítása</t>
  </si>
  <si>
    <t>Védett sírok felújítása az Alsóvárosi temetőben</t>
  </si>
  <si>
    <t>Szilágyi Táncegyüttes Alapítvány</t>
  </si>
  <si>
    <t>Cholnoky Jazzbalettért Alapítvány</t>
  </si>
  <si>
    <t>Szent Miklós szeg környezetének fejlesztése, építészeti ötletpályázat</t>
  </si>
  <si>
    <t>Befektetés ösztönzési kiadványök (részvétel a Renexpo ingatlanfejlesztési vásáron, marketingakciók)</t>
  </si>
  <si>
    <t>Egyesített Szoc.Int. - Hóvirág utcai II.sz. Gondozási Központ 3.sz. Idősek Nappali Intézménye (9.vk. támogatása)</t>
  </si>
  <si>
    <t>Brusznyai Árpád Alapítvány támogatása</t>
  </si>
  <si>
    <t>Működési célú tartalékok</t>
  </si>
  <si>
    <t>Felhalmozási célú tartalékok</t>
  </si>
  <si>
    <t>Működési célú céltartalékok</t>
  </si>
  <si>
    <t>Felhalmozási célú céltartalékok</t>
  </si>
  <si>
    <t>I. Adósságot keletkeztető ügyletek összesen</t>
  </si>
  <si>
    <t>R</t>
  </si>
  <si>
    <t>S</t>
  </si>
  <si>
    <t>Tőke-törlesztés 2022</t>
  </si>
  <si>
    <t>Kamat 2022</t>
  </si>
  <si>
    <t>8.</t>
  </si>
  <si>
    <t>TOP-6.2.1-16-VP1-2018-00002 Egry úti óvoda újjáépítése</t>
  </si>
  <si>
    <t xml:space="preserve">TOP 6.5.1-16 Önkormányzati épületek energetikai korszerűsítése </t>
  </si>
  <si>
    <t>URBACT Innova Tor</t>
  </si>
  <si>
    <t>Projekt teljes költség</t>
  </si>
  <si>
    <t>2023. évi előirányzat</t>
  </si>
  <si>
    <t xml:space="preserve">Rekultivációt megelőző telephely fenntartási költség </t>
  </si>
  <si>
    <t>TOP-6.6.1-16-VP1-2018-00006 - Cserhát ltp.1.sz.alatti gyermekorvosi rendelők  felújítása</t>
  </si>
  <si>
    <t>TOP-6.5.1-16-VP1-2018-00005 - Március 15. utcai Sportcsarnok és Uszoda energetikai megújítása</t>
  </si>
  <si>
    <t>TOP-6.5.1-16-VP1-2018-00002 Völgyikút utca 2. szám alatti épület energetikai megújítása</t>
  </si>
  <si>
    <t>TOP-6.2.1-16-VP1-2018-00001  A Veszprémi Bölcsődei és Egészségügyi Alapellátási Integrált Intézmény Módszertani Bölcsődéje megújítása, illetve bölcsődei eszközbeszerzések</t>
  </si>
  <si>
    <t xml:space="preserve"> - Beruházási kiadásokra képzett céltartalék                     </t>
  </si>
  <si>
    <t xml:space="preserve"> - Intézményi beruházáshoz kapcsolódó létszámbővítés</t>
  </si>
  <si>
    <t>Hitel összege 2020. év</t>
  </si>
  <si>
    <t xml:space="preserve">          - Beiskolázási támogatás</t>
  </si>
  <si>
    <t>Magyarország gazdasági stabilitásáról szóló 2011. évi CXCIV. törvény szerint Kormányengedélyhez kötött, adósságot keletkeztető ügylet</t>
  </si>
  <si>
    <t>TOP-6.2.1-16-VP1-2018-00001  A Veszprémi Bölcsődei és Egészségügyi Alapellátási Integrált Intézmény Módszertani Bölcsődéje megújítása, illetve bölcsődei eszközbeszerzések (saját forrás)</t>
  </si>
  <si>
    <t>TOP-6.2.1-16-VP1-2018-00002 Egry úti óvoda újjáépítése (saját forrás)</t>
  </si>
  <si>
    <t>TOP-6.5.1-16-VP1-2018-00002 Völgyikút utca 2. szám alatti épület energetikai megújítása (saját forrás)</t>
  </si>
  <si>
    <t>2020. év</t>
  </si>
  <si>
    <t>2021. év</t>
  </si>
  <si>
    <t>2022. év</t>
  </si>
  <si>
    <t>Több éves kihatással járó döntések számszerűsítése éves bontásban</t>
  </si>
  <si>
    <t>2020. évi költségvetési bevételei</t>
  </si>
  <si>
    <t>2020. évi saját bevételei</t>
  </si>
  <si>
    <t>2018. évi           tény</t>
  </si>
  <si>
    <t>2019. évi eredeti előirányzat</t>
  </si>
  <si>
    <t>2020. évi  előirányzat</t>
  </si>
  <si>
    <t>2020. évi költségvetési kiadásai</t>
  </si>
  <si>
    <t>2018. évi tény</t>
  </si>
  <si>
    <t>2020. évi előirányzat</t>
  </si>
  <si>
    <t>2020. évi kiadási előirányzat</t>
  </si>
  <si>
    <t>2020. évi bevételi előirányzat</t>
  </si>
  <si>
    <t>VMJV Polgármesteri Hivatal összesen:</t>
  </si>
  <si>
    <t>2020. évi felhalmozási költségvetési kiadások előirányzata</t>
  </si>
  <si>
    <t>Önkormányzati feladatok és egyéb kötelezettségek 2020. évi működési költségvetési kiadásai</t>
  </si>
  <si>
    <t>Veszprémi Bóbita Körzeti Óvoda                                                                    (Hársfa Tagóvoda, Bóbita Óvoda)</t>
  </si>
  <si>
    <t>Veszprémi Ringató Körzeti Óvoda                                                              (Ringató Óvoda, Erdei Tagóvoda, Kuckó Tagóvoda)</t>
  </si>
  <si>
    <t>Veszprémi Egry úti Körzeti Óvoda                                                                          (Egry ltp. Óvoda, Nárcisz Tagóvoda)</t>
  </si>
  <si>
    <t>Veszprémi Csillag úti Körzeti Óvoda                                                                   (Csillag úti Óvoda, Cholnoky ltp. Óvoda)</t>
  </si>
  <si>
    <t>Teljesítés                      2018.          12.31.-ig</t>
  </si>
  <si>
    <t>2020. év utáni javaslat</t>
  </si>
  <si>
    <t>Munk.a. terh. Jár. És szoc.hj.adó</t>
  </si>
  <si>
    <t>TOP-6.3.2-16-VP1-2018-00001 Kulturális negyed</t>
  </si>
  <si>
    <t>Egyéb működési célú kiadások</t>
  </si>
  <si>
    <t>Teljes költség*</t>
  </si>
  <si>
    <t>* Az intézményeknél kimutatott adatokat is tartalmazza</t>
  </si>
  <si>
    <t>Működési költségvetési                                                                         kiadások</t>
  </si>
  <si>
    <r>
      <rPr>
        <b/>
        <sz val="10"/>
        <rFont val="Palatino Linotype"/>
        <family val="1"/>
        <charset val="238"/>
      </rPr>
      <t>TOP – 6.9.2 -16-VP1-2018-00001</t>
    </r>
    <r>
      <rPr>
        <sz val="10"/>
        <rFont val="Palatino Linotype"/>
        <family val="1"/>
        <charset val="238"/>
      </rPr>
      <t xml:space="preserve"> Közösségfejlesztés Veszprém város településrészein</t>
    </r>
  </si>
  <si>
    <t>Európa Parlament tagjainak 2019. évi választása</t>
  </si>
  <si>
    <t>Helyi és nemzetiségi önkormányzati képviselők 2019. évi választása</t>
  </si>
  <si>
    <t>Európai Uniós forrásból finanszírozott támogatással megvalósuló programok, projektek 2020. évi költségvetési kiadásainak előirányzata</t>
  </si>
  <si>
    <t>Teljesítés                      2018.          12.31.-ig*</t>
  </si>
  <si>
    <t>2018. évi              tény</t>
  </si>
  <si>
    <t>alakulása 2019. és 2020. évben</t>
  </si>
  <si>
    <t>2020/2019.</t>
  </si>
  <si>
    <t xml:space="preserve"> - Működési kiadásokra képzett céltartalék</t>
  </si>
  <si>
    <t xml:space="preserve"> - Adóbevételekkel szembeni kötelezettség</t>
  </si>
  <si>
    <t>Óvodák összesen:</t>
  </si>
  <si>
    <t>Egészségügyi és szociális intézmények összesen:</t>
  </si>
  <si>
    <t>Kulturális és közművelődési intézmények összesen:</t>
  </si>
  <si>
    <t>TOP-6.6.1-16-VP1-2018-0003 "Jutasi u. 59. sz. alatti orvosi rendelők megújítása"</t>
  </si>
  <si>
    <t xml:space="preserve">Előir. csop. </t>
  </si>
  <si>
    <t>Kie-melt előir.</t>
  </si>
  <si>
    <t xml:space="preserve">Kie-melt előir. </t>
  </si>
  <si>
    <t xml:space="preserve"> Erdei és Kuckó Tagóvoda</t>
  </si>
  <si>
    <t>Önkormányzati működési kiadások</t>
  </si>
  <si>
    <t>2020. évi beruházási és egyéb felhalmozási célú kiadások előirányzata</t>
  </si>
  <si>
    <t>2020. évi felújítási kiadások előirányzata</t>
  </si>
  <si>
    <t>INTÉZMÉNYEK BERUHÁZÁSI KIADÁSAI ÖSSZESEN:</t>
  </si>
  <si>
    <t>VMJV  Polgármesteri Hivatal beruházási kiadásai összesen:</t>
  </si>
  <si>
    <t>alapítványoknak, egyesületeknek, civil szervezeteknek, társadalmi szervezeteknek nyújtott támogatásokról 2020. évben</t>
  </si>
  <si>
    <t>Európa Kulturális Főváros 2020. évi költségvetési kiadásainak előirányzata</t>
  </si>
  <si>
    <t>KÖLTSÉGVETÉSI BEVÉTELEI ÉS KIADÁSAI 2020. ÉVBEN</t>
  </si>
  <si>
    <t>a 2020. évi engedélyezett létszámról</t>
  </si>
  <si>
    <t>2020. évi engedélyezett létszám</t>
  </si>
  <si>
    <t>2020.</t>
  </si>
  <si>
    <t>2021-től</t>
  </si>
  <si>
    <t>a 2020. évi közvetett támogatásokról</t>
  </si>
  <si>
    <t>Erasmus +K3 SporTown</t>
  </si>
  <si>
    <t>TOP-6.5.1-16-VP1-2018-00004 Aprófalvi bölcsőde energetikai korszerűsítése</t>
  </si>
  <si>
    <t>TOP-6.6.1-16-VP1-2017-00002 Kádártai rendelő kialakítása</t>
  </si>
  <si>
    <t>TOP-6.5.1-16-VP1-2018-00006 Módszertani bölcsőde energetikai megújítása</t>
  </si>
  <si>
    <t>TOP-6.6.1-16-VP1-2018-00004 Vilonyai utca 2/B szám alatti orvosi rendelő megújítása</t>
  </si>
  <si>
    <t>TOP-6.6.1-16-VP1-2018-00005 Ördögárok u. 5. szám alatti orvosi rendelő megújítása</t>
  </si>
  <si>
    <t>TOP-6.1.5-16-VP1-2017-00001 Északi Iparterület Közlekedés-fejlesztése</t>
  </si>
  <si>
    <t>TOP-6.4.1-16-VP1-2018-00002 Márkó-Bánd települések irányába kerékpárút építése</t>
  </si>
  <si>
    <t>TOP-6.4.1-16 Kerékpárút és kerékpárforgalmi létesítmények építése Veszprém-Gyulafirátót</t>
  </si>
  <si>
    <t>KEHOP-5.4.1-16-2016-00142 "Veszprém, az energiatudatos város"</t>
  </si>
  <si>
    <t xml:space="preserve">TOP-7.1.1-16-H-ERFA-2019-00078 Szent Miklós-szegi Kálvária domb és környékének infrastrukturális felújítása és funkcióbővítése </t>
  </si>
  <si>
    <t xml:space="preserve">Urbact Innova-tor </t>
  </si>
  <si>
    <t>"Creative Impulses for the Cities" DTP Interreg projekt</t>
  </si>
  <si>
    <t>"Scholl of Participation" - Creative Europe projekt</t>
  </si>
  <si>
    <t>"Ister DTP Interreg Projekt</t>
  </si>
  <si>
    <t>TOP-7.1.1-16-H-ERFA-2019-00372 Barátságparki csalánkert</t>
  </si>
  <si>
    <t>KEHOP-1.2.1-18-2019-00247 Veszprém MJV klímastratégia kidolgozása és klímatudatosságot erősítő, szemléletformáló programok megvalósítása</t>
  </si>
  <si>
    <t>Urban Innovative Actions Európai Uniós közösségi kezdeményezés</t>
  </si>
  <si>
    <t>TOP-6.9 "Közösségfejlesztés Veszprém város településrészein</t>
  </si>
  <si>
    <t>Erasmus+ KA1 " Media of the Future</t>
  </si>
  <si>
    <t>TOP-6.5-1-19 Laczkó Dezső Múzeum energetikai megújítása</t>
  </si>
  <si>
    <t>KEHOP-5.2.2 VSZC Ipari Szakgimnázium energetikai fejlesztése</t>
  </si>
  <si>
    <t>Iparos Park</t>
  </si>
  <si>
    <t>Veszprémi Petőfi Színház komplex fejlesztése</t>
  </si>
  <si>
    <t>Kittenberger Kálmán Növény- és Vadaspark fejlesztése és bővítése</t>
  </si>
  <si>
    <t>Veszprémi Zeneművészeti Szakgimnázium és Alapfokú Művészeti Iskola intézményegysége, a Csermák Antal Zeneiskola felújításának megvalósítása</t>
  </si>
  <si>
    <t>Veszprémi új Városi Jégcsarnok építése</t>
  </si>
  <si>
    <t>MVP feladatok előkészítés költségei</t>
  </si>
  <si>
    <t>Európa Kulturális Fővárosa I. ütem - nem elszámolható költségek</t>
  </si>
  <si>
    <t>Karácsonyi köztéri dekorációk beszerzése</t>
  </si>
  <si>
    <t>Kertészeti felújítások</t>
  </si>
  <si>
    <t>Játszótér építése</t>
  </si>
  <si>
    <t>Csikász u., Egyetem u., Stadion u., Hóvirág u. tömbbelső</t>
  </si>
  <si>
    <t>Hősök kapuja vizesedési gondok</t>
  </si>
  <si>
    <t>Intézményi játszóeszközök</t>
  </si>
  <si>
    <t>Térfigyelő kamerák</t>
  </si>
  <si>
    <t>Agóra parkoló, Halle u.</t>
  </si>
  <si>
    <t>TÁMOP-3.1.3-11/2-2012-0061 "Természettudományos közoktatási laboratórium kialakítása a veszprémi Ipari Szakközépiskola és Gimnáziumban"</t>
  </si>
  <si>
    <t>Kreatív Európa Program "Az együttműködés iskolája" projekt önerő</t>
  </si>
  <si>
    <t>Beruházások közműdíjai</t>
  </si>
  <si>
    <t>Leégett párizsi Notre Dame Katedrális támogatása</t>
  </si>
  <si>
    <t>Illegális hulladéklerakók felszámolása KIEFO/14535/2019-ITM</t>
  </si>
  <si>
    <t>Vörösmarty tér tömbbelső fejlesztés, I. ütem (csapadékvíz elvezés kiépítése) + II. ütem</t>
  </si>
  <si>
    <t>Petőfi Sándor utca rekonstrukciójai-III. ütem</t>
  </si>
  <si>
    <t>Csererdő csapadékvíz -tervezés</t>
  </si>
  <si>
    <t>6.vk. Gyalogátkelőhely tervezése (Ady E. u)</t>
  </si>
  <si>
    <t>Parkoló tervezése a Halle u.-i szám előtti területen</t>
  </si>
  <si>
    <t>Egry úti Óvoda újjáépítése miatt szükséges óvodai felújítások, konténer ovi telepítése</t>
  </si>
  <si>
    <t>Nagyfelületű út- és járdafelújítások</t>
  </si>
  <si>
    <t>Vízrendezési feladatok, árkok felújítása</t>
  </si>
  <si>
    <t>Kertvárosi utcák felújítása víziközmű rekonstrukció után</t>
  </si>
  <si>
    <t>Elkorhadt nyílászárók cseréje II. ütem</t>
  </si>
  <si>
    <t>Árnyékolás két pavilon teraszán</t>
  </si>
  <si>
    <t>Hátsó épület utólagos vízszigetelése, külső terepszint süllyesztése</t>
  </si>
  <si>
    <t>Erdei Tagóvoda</t>
  </si>
  <si>
    <t>Terasz árnyékolás</t>
  </si>
  <si>
    <t>Kuckó Tagóvoda</t>
  </si>
  <si>
    <t>Veszprémi Egry Úti Körzeti Óvoda</t>
  </si>
  <si>
    <t>Ereszcsatorna bővítés, csapadékelvezetés</t>
  </si>
  <si>
    <t>Burkolat cseréje szélfogóban, folyosón</t>
  </si>
  <si>
    <t>Veszprémi Csillag Úti Körzeti Óvoda</t>
  </si>
  <si>
    <t>Cholnoky Jenő Tagóvoda</t>
  </si>
  <si>
    <t>Éjszakai áramkör kialakítása</t>
  </si>
  <si>
    <t>Elektromos hálózat felújítása I. ütem</t>
  </si>
  <si>
    <t>Veszprémi Bölcsődei és Eü.Alapell. Integrált Int.</t>
  </si>
  <si>
    <t>Terasz árnyékolás megoldása 3 pavilonnál</t>
  </si>
  <si>
    <t>Vass-Gyűjtemény</t>
  </si>
  <si>
    <t>Kazán csere</t>
  </si>
  <si>
    <t>Fan-coil fűtési rendszer javítása</t>
  </si>
  <si>
    <t>Európa Kulturális Fővárosa beruházási feladatok (tervezés-előkészítés)</t>
  </si>
  <si>
    <t>Európa Kulturális Fővárosa II. ütem</t>
  </si>
  <si>
    <t>Működési kiadások</t>
  </si>
  <si>
    <t>Felhalmozási kiadások</t>
  </si>
  <si>
    <t>Európa Kulturális Fővárosa I. ütem</t>
  </si>
  <si>
    <t>Petőfi Sándor utca rekonstrukciója I-III. ütem</t>
  </si>
  <si>
    <t>Vörösmarty tér tömbbelső fejlesztés, I. ütem (csapadékvíz elvezetés kiépítése) + II. ütem</t>
  </si>
  <si>
    <t>Kulturális negyed tervezése II. ütem</t>
  </si>
  <si>
    <t>Bolgár Mihály utcai híd áteresz kapacitás bővítés, tervezés, engedélyezés, kivitelezés</t>
  </si>
  <si>
    <t>Egry utcai óvoda új villamos és gáz betáp vezeték tervezése és kiépítése, villamos kapacitásbővítés</t>
  </si>
  <si>
    <t>Gyulafirátóti köztéri játszótér eszközeinek elhelyezése</t>
  </si>
  <si>
    <t>82-es út közlekedésbiztonsági fejlesztése</t>
  </si>
  <si>
    <t xml:space="preserve">Erdőtelepítés és utógondozás (a 241/2009.(IX.15.) Közgyűlési határozat; Erdészeti Hatóság 28.3/1176-7/2010.(V.25.) és VE-G-001/3883-8/2013. sz. határozata; 298/2009.(X.20.) Vfkb és 48/2010.(II.16.) Vfkb </t>
  </si>
  <si>
    <t xml:space="preserve">Utcanévtáblák </t>
  </si>
  <si>
    <t>Kézi hulladékgyűjtők beszerzése</t>
  </si>
  <si>
    <t>Térfigyelő rendszer bővítése 51/2011. (IV.29.) VMJV Önk.</t>
  </si>
  <si>
    <t>Veszprém 0105/1 hrsz.alatti nem veszélyes hulladéklerakó részletes tényfeltárása</t>
  </si>
  <si>
    <t>8.vk. Hulladékgyűjtő elhelyezése a Kalmár térre</t>
  </si>
  <si>
    <t>8.vk. Kutyaürülék gyűjtő elhelyezése a Kalmár téren</t>
  </si>
  <si>
    <t>Hulladéklerakó környezetének vizsgálata és rekultiváció</t>
  </si>
  <si>
    <t>József Attila utca és Takácskert utcai körforgalmi csomópont tervezése</t>
  </si>
  <si>
    <t>Diósi M. u. parkolóépítés tervezés</t>
  </si>
  <si>
    <t>Közvilágítás fejlesztése (Zrínyi Miklós utca és a Káposztáskert utca)</t>
  </si>
  <si>
    <t>Helikopter statikus elhelyezése</t>
  </si>
  <si>
    <t>Közműalagút vészjelző rendszer tervezése és cseréje</t>
  </si>
  <si>
    <t>Vízbázisvédelmi feladatok KDKvTvVF 27063/05. sz. határozat</t>
  </si>
  <si>
    <t>Barátság park sport fejlesztések előkészítése, közmű ellátása</t>
  </si>
  <si>
    <t>CLLD - Városrészi közösségi és kulturális terek infrastrukturális felújítása, átépítése</t>
  </si>
  <si>
    <t>Aradi Vértanúk emlékmű pályázat tervezési díja</t>
  </si>
  <si>
    <t>Elektromos személygépjármű beszerzése 2 db.</t>
  </si>
  <si>
    <t>Völgyikút u. 2. villamos mérőhely kialakítás</t>
  </si>
  <si>
    <t>Járásszékhely múzeumok szakmai támogatása</t>
  </si>
  <si>
    <t>6.vk. Konstruktív dézsa</t>
  </si>
  <si>
    <t>Káposztáskert utcai távközlési kábel áthelyezése és új kiépítése</t>
  </si>
  <si>
    <t>VKSZ Zrt. által ellátott EKF feladatok</t>
  </si>
  <si>
    <t>Infrastrukturális feladatok</t>
  </si>
  <si>
    <t>Magyar Kórusok találkozója</t>
  </si>
  <si>
    <t>Dózsa György u. 34. 726/1 hrsz.-ú ingatlan vásárlás</t>
  </si>
  <si>
    <t>Játszóeszközök felújítása (78/2003 GKM rendelet)</t>
  </si>
  <si>
    <t>Programiroda Kft. törzstőke emelés</t>
  </si>
  <si>
    <t xml:space="preserve">Programiroda Kft. tőketartalékba helyezés </t>
  </si>
  <si>
    <t>Swing-Swing Kft. törzstőke emelés</t>
  </si>
  <si>
    <t>Swing-Swing Kft. tőketartalékba helyezés</t>
  </si>
  <si>
    <t>Veszprém - Balaton 2023 Zrt. törzstőke emelés</t>
  </si>
  <si>
    <t>Veszprém - Balaton 2023 Zrt. tőketartalékba helyezés</t>
  </si>
  <si>
    <t>Padbeszerzés és kihelyezés, avult padok bontása (141/2008(IV.22.) VFKB és 215/2008(VI.20.) VFKB</t>
  </si>
  <si>
    <t>MLSZ TAO pályaépítési program</t>
  </si>
  <si>
    <t xml:space="preserve">207/2019. (IX.26.) Közgy.h. GFT beruházás: Veszprém Séd 3. sz. kút bekötővezeték, Kút bekötése a települési hálózatba </t>
  </si>
  <si>
    <t>207/2019. (IX.26.) Közgy.h. GFT beruházás:  Veszprém Méhes utca, Támfal építéshez kapcsolódó ivóvíz-hálózat bővítés</t>
  </si>
  <si>
    <t xml:space="preserve">207/2019. (IX.26.) Közgy.h. GFT beruházás: Veszprém Reguly A. utca, Barnamezős beruházásokhoz kapcsolódóan ivóvízvezeték kapacitás bővítés </t>
  </si>
  <si>
    <t>Veszprém, Batthyány utca járda és tér rendezése a Görgey Artúr utca és a Batthyány utca közötti szakaszon</t>
  </si>
  <si>
    <t>Ady u. gyalogátkelőhely kialakítás</t>
  </si>
  <si>
    <t>Csillag úti óvoda parkoló építés</t>
  </si>
  <si>
    <t>Agóra VKK -Villámhárító tervezése, kivitelezése (Gyulafirátót)</t>
  </si>
  <si>
    <t>MKSZ Tornacsarnok Felújítási Program</t>
  </si>
  <si>
    <t>V-Busz Kft. - autóbusz vásárlás</t>
  </si>
  <si>
    <t>Modern Városok Program és más hazai finanszírozásból megvalósuló feladatok 2020. évi költségvetési kiadásainak előirányzata</t>
  </si>
  <si>
    <t xml:space="preserve"> - Képviselői keret</t>
  </si>
  <si>
    <t>Bábos raktár nyitott bútorzat befejezése</t>
  </si>
  <si>
    <t>Mosókonyha bejárati ajtó csere</t>
  </si>
  <si>
    <r>
      <t>Tárgyi eszközök beszerzése</t>
    </r>
    <r>
      <rPr>
        <i/>
        <sz val="10"/>
        <rFont val="Palatino Linotype"/>
        <family val="1"/>
        <charset val="238"/>
      </rPr>
      <t xml:space="preserve"> (mosógép)</t>
    </r>
  </si>
  <si>
    <t>20 m2-es faház, játéktárolónak</t>
  </si>
  <si>
    <r>
      <t xml:space="preserve">Tárgyi eszközök beszerzése </t>
    </r>
    <r>
      <rPr>
        <i/>
        <sz val="10"/>
        <rFont val="Palatino Linotype"/>
        <family val="1"/>
        <charset val="238"/>
      </rPr>
      <t>(mosógép, gáztűzhely)</t>
    </r>
  </si>
  <si>
    <r>
      <t xml:space="preserve">Tárgyi eszközök beszerzése </t>
    </r>
    <r>
      <rPr>
        <i/>
        <sz val="10"/>
        <rFont val="Palatino Linotype"/>
        <family val="1"/>
        <charset val="238"/>
      </rPr>
      <t>(öltöző szekrény, varrógép)</t>
    </r>
  </si>
  <si>
    <r>
      <t xml:space="preserve">Tárgyi eszközök beszerzése </t>
    </r>
    <r>
      <rPr>
        <i/>
        <sz val="10"/>
        <rFont val="Palatino Linotype"/>
        <family val="1"/>
        <charset val="238"/>
      </rPr>
      <t>(mosógép, szárítógép, hűtőszekrény)</t>
    </r>
  </si>
  <si>
    <r>
      <t xml:space="preserve">Tárgyi eszközök beszerzése </t>
    </r>
    <r>
      <rPr>
        <i/>
        <sz val="10"/>
        <rFont val="Palatino Linotype"/>
        <family val="1"/>
        <charset val="238"/>
      </rPr>
      <t>(mosógép, hűtőszekrény)</t>
    </r>
  </si>
  <si>
    <t>Gyulafirátóti Bölcsőde</t>
  </si>
  <si>
    <t>Védőnői Szolgálat</t>
  </si>
  <si>
    <t>Oktatási eszközök vásárlása iskolavédőnők részére</t>
  </si>
  <si>
    <r>
      <rPr>
        <b/>
        <sz val="10"/>
        <rFont val="Palatino Linotype"/>
        <family val="1"/>
        <charset val="238"/>
      </rPr>
      <t xml:space="preserve">TOP – 6.9.2 -16-VP1-2018-00001 </t>
    </r>
    <r>
      <rPr>
        <sz val="10"/>
        <rFont val="Palatino Linotype"/>
        <family val="1"/>
        <charset val="238"/>
      </rPr>
      <t>Közösségfejlesztés Veszprém város településrészein</t>
    </r>
  </si>
  <si>
    <t>Műtárgybeszerzés (NKA pályázat)</t>
  </si>
  <si>
    <r>
      <rPr>
        <b/>
        <sz val="10"/>
        <rFont val="Palatino Linotype"/>
        <family val="1"/>
        <charset val="238"/>
      </rPr>
      <t xml:space="preserve">EFOP-4.1.9-16-2017-00014 </t>
    </r>
    <r>
      <rPr>
        <sz val="10"/>
        <rFont val="Palatino Linotype"/>
        <family val="1"/>
        <charset val="238"/>
      </rPr>
      <t>A múzeumi és levéltári intézményrendszer tanulás segítő infrastrukturális fejlesztései -Laczkó Dezső Múzeumban oktatótermek és kiszolgáló helyiségek kialakítása</t>
    </r>
  </si>
  <si>
    <r>
      <rPr>
        <b/>
        <sz val="10"/>
        <rFont val="Palatino Linotype"/>
        <family val="1"/>
        <charset val="238"/>
      </rPr>
      <t xml:space="preserve">EFOP-3.3.2-16-2016-00107 </t>
    </r>
    <r>
      <rPr>
        <sz val="10"/>
        <rFont val="Palatino Linotype"/>
        <family val="1"/>
        <charset val="238"/>
      </rPr>
      <t>Kulturális intézmények a köznevelés eredményességéért</t>
    </r>
  </si>
  <si>
    <t>Személygépjármű vásárlás 1 db</t>
  </si>
  <si>
    <t>Közösség Kádártáért Egyesület</t>
  </si>
  <si>
    <t>Virágzó Veszprém Egyesület</t>
  </si>
  <si>
    <t>Lokálpatrióták a Városért Egyesület</t>
  </si>
  <si>
    <t>Veszprémi Kultúráért Közalapítvány (új kuratórium, könyvvizsgálat költségeire)</t>
  </si>
  <si>
    <t>Gerence Hagyományőrző Néptáncegyüttes támogatása</t>
  </si>
  <si>
    <t xml:space="preserve">            - Civil irodai szolgáltatások, civil ház</t>
  </si>
  <si>
    <t xml:space="preserve">            - Civil nap költségei</t>
  </si>
  <si>
    <t>Pszichiátriai betegek nappali ellátás ("Horgony" Pszichiátriai Betegekért Közhasznú Alapítvány)</t>
  </si>
  <si>
    <t>V-Busz Kft. 2019. évi ellentételezés</t>
  </si>
  <si>
    <t>Intézményi karbantartási költségek</t>
  </si>
  <si>
    <t>Intézményi közüzemi költségek</t>
  </si>
  <si>
    <t>Kolostorok és kertek működtetése</t>
  </si>
  <si>
    <t>Viziközmű vagyonértékelés költségei</t>
  </si>
  <si>
    <t>Köztéri Szobor Alap</t>
  </si>
  <si>
    <t>Endrődi Sándor emlékév programjaira</t>
  </si>
  <si>
    <t>Pszichiátriai betegek nappali ellátása ("Horgony" Pszichiátriai Betegekért Közhasznú Alapítvány)</t>
  </si>
  <si>
    <t>Aszfalt burkolatok, útlapok és makadám burkolatok, földmunkák</t>
  </si>
  <si>
    <t>Kubinyi Ágoston program</t>
  </si>
  <si>
    <t>Dózsa György u. 2sz. Alatti épület felújítása (tervezés-előkészítés)</t>
  </si>
  <si>
    <t>Swing-Swing Kft. üzletrész vásárlás</t>
  </si>
  <si>
    <t>II. ütem összesen</t>
  </si>
  <si>
    <t>Kelet-nyugati gyűjtőút zajvédő létesítmény tervezése</t>
  </si>
  <si>
    <t>I. ütem összesen</t>
  </si>
  <si>
    <t>Hitel-állomány 2019.12.31</t>
  </si>
  <si>
    <t>Hitelfelvétel 2019-es</t>
  </si>
  <si>
    <t>Hitelfelvétel 2020-as</t>
  </si>
  <si>
    <t>Hitel-állomány  2020.12.31</t>
  </si>
  <si>
    <t>Tőke-törlesztés 2023</t>
  </si>
  <si>
    <t>Tőke-törlesztés 2024-tól</t>
  </si>
  <si>
    <t>Kamat 2023</t>
  </si>
  <si>
    <t xml:space="preserve"> 2020.06.01</t>
  </si>
  <si>
    <t>Veszprém Megyei Jogú Város Önkormányzatának 2020. évi</t>
  </si>
  <si>
    <t>Adósságot Keletkeztető Ügyletek fejlesztési célok szerinti besorolása</t>
  </si>
  <si>
    <t>Közutak, hidak építése, felújítása</t>
  </si>
  <si>
    <t>Egyéb, törvény által az önkormányzatok számára előírt feladatok teljesítéséhez szükséges infrastrukturális beruházások</t>
  </si>
  <si>
    <t>TOP-6.9.2-16-VP1-2018-00001 Közösségfejlesztés Veszprém város településrészein</t>
  </si>
  <si>
    <t>2023. év</t>
  </si>
  <si>
    <t>TOP-6.6.1-16-VP1-2018-00005 Ördögárok u. 5. szám alatti orvosi rendelő megújítása (saját forrás)</t>
  </si>
  <si>
    <t>TOP-6.6.1-16-VP1-2018-00004 Vilonyai utca 2/B szám alatti orvosi rendelő megújítása (saját forrás)</t>
  </si>
  <si>
    <t>TOP-6.5.1-16-VP1-2018-00004 Aprófalvi bölcsőde energetikai korszerűsítése (saját forrás)</t>
  </si>
  <si>
    <t>TOP-6.5.1-16-VP1-2018-00006 Módszertani bölcsőde energetikai megújítása (saját forrás)</t>
  </si>
  <si>
    <t xml:space="preserve">Swing-Swing Kft. törzstőke emelés, tőketartalékba helyezés (Hangvilla üzletrész vásárlás) </t>
  </si>
  <si>
    <t xml:space="preserve">Swing-Swing Kft. üzletrész vásárlás </t>
  </si>
  <si>
    <t>Villamos energia beszerzés (Intézmények)</t>
  </si>
  <si>
    <t>Villamos energia beszerzés (Közvilágítás célú)</t>
  </si>
  <si>
    <t>Földgáz energia beszerzés</t>
  </si>
  <si>
    <t>Veszprémi Foci Centrum Utánpótlás SE</t>
  </si>
  <si>
    <t>Signator Audit Könyvvizsgáló Kft-vel kötött megbízási szerződés könyvvizsgálói feladatok ellátására</t>
  </si>
  <si>
    <t>Szenvedélybetegek ellátásának működési kiadásaihoz támogatás (Alkohol-Drogsegély Ambulancia - ellátási szerződés)</t>
  </si>
  <si>
    <t>Polgármesteri Hivatal „Őrzés-védelmi és portaszolgálat feladatainak” ellátása 2 évre</t>
  </si>
  <si>
    <t>Egészségügyi feladatok ellátása - Veszprémi Csolnoky Ferenc Kórházzal kötött használati szerződés</t>
  </si>
  <si>
    <t>Német Nemzetiségi Önk. helyiségének bérleti díja</t>
  </si>
  <si>
    <t>Hitel összege 2019</t>
  </si>
  <si>
    <t>Hitel összege 2020</t>
  </si>
  <si>
    <t>Környezetvédelemhez és természeti katasztrófák elhárításához kapcsolódó beruházási célok (szennyvízelvezetés és szennyvíztisztítás, csapadékvíz-elvezetés, hulladékkezelés, árvíz/belvíz elleni védekezés stb.)</t>
  </si>
  <si>
    <t>Közoktatási célú beruházási célok (óvodák, iskolák, tornaterem, tanuszoda, egyéb köznevelési intézmények építése, felújítása stb.)</t>
  </si>
  <si>
    <t>Szociális, gyermekjóléti és gyermekvédelmi célok (bölcsődék, időskorúak ellátását, gyermekek és családok átmeneti gondozását szolgáló beruházások stb.)</t>
  </si>
  <si>
    <t>TOP-6.5.1-16-VPI-2018-00006 Módszertani Bölcsőde energetikai megújítása</t>
  </si>
  <si>
    <t>TOP-6.2.1-16-VP1-2018-00001 Módszertani Bölcsőde megújítása – eszközbeszerzés</t>
  </si>
  <si>
    <t>TOP-6.5.1 Aprófalvi Bölcsőde energetikai megújítása</t>
  </si>
  <si>
    <t>TOP-6.5.1 Völgyikút utca 2. szám alatti épület energetikai megújítása</t>
  </si>
  <si>
    <t>Egészségügyi szolgáltatások fejlesztése (egészségházak, orvosi, gyermekorvosi, fogorvosi szakrendelők felújítása, eszközbeszerzések stb.)</t>
  </si>
  <si>
    <t>TOP - Vilonyai u. 2/B sz. gyermekorvosi rendelők felújítása</t>
  </si>
  <si>
    <t>TOP - Ördögárok u. 5. sz. gyermekorvosi rendelők felújítása</t>
  </si>
  <si>
    <t>Egyéb feladatokhoz kapcsolódó célok (közutak építése, felújítása, közbiztonság növelése, egyéb önkormányzati tulajdonú létesítmények felújítása, fejlesztése, város és település-rehabilitáció stb.)</t>
  </si>
  <si>
    <t>Petőfi Sándor utca rekonstrukciója III. ütem</t>
  </si>
  <si>
    <t>Török I. u. - Aulich L. u. összekötés</t>
  </si>
  <si>
    <t>Közvilágítás bővítések (tervezés, kivitelezés) 2011. évi CLXXXIX törvény</t>
  </si>
  <si>
    <t>II. Adósságot keletkeztető ügyletek mindösszesen</t>
  </si>
  <si>
    <t xml:space="preserve">A  </t>
  </si>
  <si>
    <t>T</t>
  </si>
  <si>
    <t>2019. évi tény</t>
  </si>
  <si>
    <t>2018-2021</t>
  </si>
  <si>
    <t>2018-2019</t>
  </si>
  <si>
    <t>2019-2020</t>
  </si>
  <si>
    <t>TOP-6.6.1-16-VP1-2018-00003 Jutasi u. 59. szám alatti orvosi rendelő megújítása</t>
  </si>
  <si>
    <t>2016-2021</t>
  </si>
  <si>
    <t>2017-2020</t>
  </si>
  <si>
    <t>2018-2020</t>
  </si>
  <si>
    <t>2016-2019</t>
  </si>
  <si>
    <t>2019-2021</t>
  </si>
  <si>
    <t>2019-2022</t>
  </si>
  <si>
    <t>Urbact Innova-tor *</t>
  </si>
  <si>
    <t>KÖFOP-1.2.1-VEKOP-16-2017-01268 Veszprém Megyei Jogú Város Önkormányzata ASP Központhoz való csatlakozása **</t>
  </si>
  <si>
    <t>2017-2018</t>
  </si>
  <si>
    <t>EFOP-3.3.2-16-2016-00107 Kulturális intézmények a köznevelés eredményességéért***</t>
  </si>
  <si>
    <t>* Az Urbact Innova-tor támogatása a szerződésben €-ban van meghatározva, az átszámítás 316.39 Ft/EUR-val történt</t>
  </si>
  <si>
    <t>ebből: - Európa Kulturális Fővárosa I. ütem</t>
  </si>
  <si>
    <t>ebből: - Európa Kulturális Fővárosa II. ütem</t>
  </si>
  <si>
    <t>Hitelfelvétel 2019.        (előző évek hitelszerződésén alapuló)</t>
  </si>
  <si>
    <t>ebből: - Európa Kulturális Főváros II. ütem</t>
  </si>
  <si>
    <t>Projekthez kapcsolódó működési bevétel (ÁFA)</t>
  </si>
  <si>
    <t>Veszprém Megyei Jogú Város Önkormányzatának 2019. évi</t>
  </si>
  <si>
    <t>új hitelszerződésen alapuló beruházási hitelfelvétele feladatonként</t>
  </si>
  <si>
    <t>Fejlesztési hitel - Célhitel 2017</t>
  </si>
  <si>
    <t>Fejlesztési hitel - Célhitel 2019</t>
  </si>
  <si>
    <t>hitelszerződésen alapuló 2019. és 2020. évre vonatkozó beruházási hitelfelvétele feladatonként *</t>
  </si>
  <si>
    <t>a TOP-6.1.5-16-VP1-2017-00001 Északi Iparterület Közlekedés-fejlesztése elnevezésű projekthez szükséges kiegészítő pénzügyi forrással kapcsolatos pénzügyi kötelezettségvállalás (saját forrás)</t>
  </si>
  <si>
    <t>Az ÉNYKK Északnyugat-magyarországi Közlekedési Központ Zrt. által 2018. évben ellátott helyi menetrend szerinti közösségi közlekedés közszolgáltatás ellentételezése</t>
  </si>
  <si>
    <t>Sport marketing tárgyú több éves szolgáltatásvásárlási szerződés megkötése érdekében pénzügyi kötelezettségvállalás</t>
  </si>
  <si>
    <t>Veszprém Fiatal Sportolóiért Közhasznú Alapítvány támogatása
élsport, versenysport és utánpótlás nevelési feladatokhoz kapcsolódóan</t>
  </si>
  <si>
    <t>A Magyar Kézilabda Szövetség Országos Tornaterem Felújítási Programjához kapcsolódó támogatási igény benyújtása és előzetes kötelezettségvállalás a veszprémi stadion területén található sportcsarnok belső felújítása érdekében</t>
  </si>
  <si>
    <t>Jutasi úti műfüves sportpálya fenntartása és működtetése</t>
  </si>
  <si>
    <t>Foglalkozás egészségügyi szolgáltatás ellátásával kapcsolatos pénzügyi kötelezettségvállalás</t>
  </si>
  <si>
    <t>VMJV Önkormányzatánál, költségvetési szerveinél, valamint a Veszprémi Kistérség Többcélú Társulása Egyesített Szociális Intézménynél foglalkozás-egészségügyi szolgáltatás ellátásával kapcsolatos pénzügyi kötelezettségvállalás</t>
  </si>
  <si>
    <t>A Települési Önkormányzatok Országos Szövetségéhez történő csatlakozás</t>
  </si>
  <si>
    <t>A Klímabarát Települések Szövetségéhez történő csatlakozás</t>
  </si>
  <si>
    <t>Polgármesteri Hivatal használatában lévő nyomatkészítő eszközök tartós üzemeltetése</t>
  </si>
  <si>
    <t>Megállapodás megkötése üzemidő hasznosítás tárgyában  a Veszprémi Programiroda Rendezvényszervező és Kulturális Szolgáltató Kft-vel</t>
  </si>
  <si>
    <t>Az Önkormányzat vagyonbiztosításával kapcsolatos pénzügyi
kötelezettségvállalás</t>
  </si>
  <si>
    <t>Munka- és tűzvédelmi feladatok; 2019.01.01-2020.02.29. és 2020.03.01-2022.02.28.</t>
  </si>
  <si>
    <t>A diákétkeztetésre vonatkozó szolgáltatási díj emelése</t>
  </si>
  <si>
    <t>a Veszprémi Intézményi Szolgáltató Szervezet diákétkeztetési
közfeladatainak ellátásához szükséges étkezési nyilvántartó program beszerzésével kapcsolatos pénzügyi kötelezettségvállalás</t>
  </si>
  <si>
    <t>Veszprémi óvodák gyermekétkeztetési közfeladat ellátása érdekében élelmezési nyilvántartó program beszerzéséhez szükséges pénzügyi kötelezettségvállalás</t>
  </si>
  <si>
    <t>Veszprémi óvodák gyermekétkeztetési közfeladat ellátása érdekében vásárolt élelmezés beszerzéséhez szükséges pénzügyi kötelezettségvállalások</t>
  </si>
  <si>
    <r>
      <t>* Magyarország gazdasági stabilitásáról szóló 2011. évi CXCIV. törvény szerint Kormányengedélyhez kötött, adósságot keletkeztető ügylet jóváhagyása megtörtént az</t>
    </r>
    <r>
      <rPr>
        <b/>
        <sz val="10"/>
        <rFont val="Palatino Linotype"/>
        <family val="1"/>
        <charset val="238"/>
      </rPr>
      <t xml:space="preserve"> önkormányzatok adósságot keletkeztető, valamint kezesség-, illetve garanciavállalásra vonatkozó ügyleteihez történő 2019. áprilisi előzetes kormányzati hozzájárulásról szóló 1356/2019. (VI.14.) Korm. határozatában.</t>
    </r>
  </si>
  <si>
    <t>Adósságot keletkeztető ügyletek összesen</t>
  </si>
  <si>
    <t>Döntés pályázat benyújtásáról az "Urban Innovative Actions" elnevezésű Európai Uniós közösségi kezdeményezés pályázati felhívására</t>
  </si>
  <si>
    <t>Döntés a helyi közösségi közlekedés biztosításához kapcsolódó autóbuszbeszerzési szerződés és előzetes kötelelezettségvállalás jóváhagyásáról</t>
  </si>
  <si>
    <t xml:space="preserve">Döntés az "ELENA" elnevezésű projektfejlesztési támogatásra benyújtott Európai Uniós pályázat konzorciumi szerződés módosítás tárgyában </t>
  </si>
  <si>
    <t>Pályázat benyújtása az Magyar Labdarúgó Szövetség TAO pályaépítési programjához (saját forrás)</t>
  </si>
  <si>
    <t>Újjáépítésre kerülő óvodák költöztetési munkák</t>
  </si>
  <si>
    <t>Veszprémi Stadion gázellátása és villamos kapacitásbővítése</t>
  </si>
  <si>
    <t>Tűzjelző rendszer felújítása</t>
  </si>
  <si>
    <t>Sportterület közmű-, út infrastruktúra fejlesztés</t>
  </si>
  <si>
    <t>EKF programokhoz kapcsolódó infrastruktúra fejlesztési feladatok</t>
  </si>
  <si>
    <t>Szent István utca rekonstrukciója I. ütem (csapadékvíz elvezetés kiépítése) tervezés</t>
  </si>
  <si>
    <t>Séd-völgyi tó faszerkezet cseréje és tótisztítás</t>
  </si>
  <si>
    <t>határozott idejű foglalkozatottak létszáma                 (2020. március 1 - 2021. december 31)</t>
  </si>
  <si>
    <t>Beruházás / felújítás / projekt kötelezettségvállalások összesen</t>
  </si>
  <si>
    <t xml:space="preserve">          - Comitatus Társadalomkutató Egyesület - Comitatus Önkormányzati Szemle</t>
  </si>
  <si>
    <r>
      <rPr>
        <b/>
        <u/>
        <sz val="11"/>
        <rFont val="Palatino Linotype"/>
        <family val="1"/>
        <charset val="238"/>
      </rPr>
      <t xml:space="preserve">VKSZ Zrt. által ellátott városüzemeltetési feladatok </t>
    </r>
    <r>
      <rPr>
        <sz val="11"/>
        <rFont val="Palatino Linotype"/>
        <family val="1"/>
        <charset val="238"/>
      </rPr>
      <t>közszolgáltatási keretmegállapodás alapján:</t>
    </r>
  </si>
  <si>
    <t>Kolostorok és Kertek működtetése</t>
  </si>
  <si>
    <t>V-Busz Kft. szolgáltatás vásárlás</t>
  </si>
  <si>
    <t>**Az intézményeknél kimutatott adatokat is tartalmazza</t>
  </si>
  <si>
    <t>Teljesítés                      2018.          12.31.-ig**</t>
  </si>
  <si>
    <t>** Az intézményeknél kimutatott adatokat is tartalmazza</t>
  </si>
  <si>
    <t>3. melléklet a 5/2020. (II.27.) önkormányzati rendelethez</t>
  </si>
  <si>
    <t>1. melléklet a 5/2020. (II.27.) önkormányzati rendelethez</t>
  </si>
  <si>
    <t>1.A. melléklet a 5/2020. (II.27.) önkormányzati rendelethez</t>
  </si>
  <si>
    <t>2. melléklet a 5/2020. (II.27.) önkormányzati rendelethez</t>
  </si>
  <si>
    <t>3.A. melléklet a 5/2020. (II.27.) önkormányzati rendelethez</t>
  </si>
  <si>
    <t>4. melléklet a 5/2020. (II.27.) önkormányzati rendelethez</t>
  </si>
  <si>
    <t>5. melléklet a 5/2020. (II.27.) önkormányzati rendelethez</t>
  </si>
  <si>
    <t>6. melléklet a 5/2020. (II.27.) önkormányzati rendelethez</t>
  </si>
  <si>
    <t>6.A. melléklet a 5/2020. (II.27.) önkormányzati rendelethez</t>
  </si>
  <si>
    <t>7. melléklet a 5/2020. (II.27.) önkormányzati rendelethez</t>
  </si>
  <si>
    <t>8. melléklet a 5/2020. (II.27.) önkormányzati rendelethez</t>
  </si>
  <si>
    <t>9. melléklet a 5/2020. (II.27.) önkormányzati rendelethez</t>
  </si>
  <si>
    <t>10. melléklet a 5/2020. (II.27.) önkormányzati rendelethez</t>
  </si>
  <si>
    <t>11. melléklet a 5/2020. (II.27.) önkormányzati rendelethez</t>
  </si>
  <si>
    <t>12. melléklet a 5/2020. (II.27.) önkormányzati rendelethez</t>
  </si>
  <si>
    <t>14. melléklet a 5/2020. (II.27.) önkormányzati rendelethez</t>
  </si>
  <si>
    <t>15. melléklet a 5/2020. (II.27.) önkormányzati rendelethez</t>
  </si>
  <si>
    <t>15.A. melléklet a 5/2020 (II.27.) önkormányzati rendelethez</t>
  </si>
  <si>
    <t>15.B. melléklet a 5/2020. (II.27.) önkormányzati rendelethez</t>
  </si>
  <si>
    <t>16. melléklet a 5/2020. (II.27.) önkormányzati rendelethez</t>
  </si>
  <si>
    <t>17. melléklet a 5/2020. (II.27.) önkormányzati rendelethez</t>
  </si>
  <si>
    <t>*** A projekt a támogatási szerződés szerint nettó módon finanszírozott.</t>
  </si>
  <si>
    <t>2020. évi eredeti előirányzat</t>
  </si>
  <si>
    <t>2019. évi              tény*</t>
  </si>
  <si>
    <t>módosítás- átcsoportosítás</t>
  </si>
  <si>
    <t>Kulturális negyed tervezése II. ütem - Pannon Egyetem Campus</t>
  </si>
  <si>
    <t>Vár, Jókai utca 8.</t>
  </si>
  <si>
    <t>Vár FutureLabs, Vár utca 17.</t>
  </si>
  <si>
    <t>Vár, Óváros tér, Vár utca fejlesztései</t>
  </si>
  <si>
    <t>Haszkovó lakótelep fejlesztései</t>
  </si>
  <si>
    <t>SÉD-völgy Kolostorok és kertek I. ütem</t>
  </si>
  <si>
    <t>Buszpályaudvar</t>
  </si>
  <si>
    <t>Átfogó infrastruktúra fejlesztés Megvalósíthatósági Tanulmány</t>
  </si>
  <si>
    <t>módosítás-</t>
  </si>
  <si>
    <t>átcsoportosítás</t>
  </si>
  <si>
    <t>módosítás- hitel</t>
  </si>
  <si>
    <t>módosítás- költségvetési maradvány</t>
  </si>
  <si>
    <t>2019. évi              tény</t>
  </si>
  <si>
    <t>módosítás-hitel</t>
  </si>
  <si>
    <t>8.vk. Síkosságmentesítő-anyag tároló láda Flórián utcába</t>
  </si>
  <si>
    <t>8.vk. Hulladékgyűjtő beszerzése</t>
  </si>
  <si>
    <t>8.vk. Városi Nyilvánosságért Alapítvány - karácsonyi ajándékcsomagok beszerzésére</t>
  </si>
  <si>
    <t xml:space="preserve">         - Ex Symposion Alapítvány</t>
  </si>
  <si>
    <t xml:space="preserve">         - Veszprémi Kaleidoszkóp 1-2 újraindítása</t>
  </si>
  <si>
    <t xml:space="preserve">          - Veszprémi várostörténeti kiadványok előkészítése</t>
  </si>
  <si>
    <t xml:space="preserve">           - Vészhelyzeti támogatás</t>
  </si>
  <si>
    <t xml:space="preserve">módosítás- </t>
  </si>
  <si>
    <t>Pápai u.-Jutasi u. belső krt. mellékkötelezettségek</t>
  </si>
  <si>
    <t>Képviselői keretből civil szervezetek támogatása</t>
  </si>
  <si>
    <t>Koronavírus védekezés költségeire és gazdasági hatásának enyhítésére</t>
  </si>
  <si>
    <t>Vákuumfóliázó (védőmaszkok varrása utáni csomagoláshoz)</t>
  </si>
  <si>
    <t>Asztali számítógép, laptop beszerzése</t>
  </si>
  <si>
    <t>Udvari játékok (Bóbita és Hársfa Tagóvoda)</t>
  </si>
  <si>
    <t xml:space="preserve">Udvari játékok </t>
  </si>
  <si>
    <t>Kézfertőtlenítő adagolók</t>
  </si>
  <si>
    <t>Mobiltelefon törlesztés</t>
  </si>
  <si>
    <t>Szekrény</t>
  </si>
  <si>
    <t>Közművelődési érdekeltségnövelő pályázat</t>
  </si>
  <si>
    <t>Számítógépek</t>
  </si>
  <si>
    <t>Könyvek, egyéb könyvtári dokumentumok</t>
  </si>
  <si>
    <t>Tárgyi eszközök beszerzésére (számítástechnikai beszerzések, kisértékű eszközök cseréje</t>
  </si>
  <si>
    <t>Salgó polcrendszer a Felsőörsi raktárbázisra</t>
  </si>
  <si>
    <t>Nyílászáró cserék a Török I. u. műtárgy-raktárban és műtárgyvédelmi központban</t>
  </si>
  <si>
    <t>Műtárgyvásárlás</t>
  </si>
  <si>
    <r>
      <t xml:space="preserve">Tárgyi eszközök beszerzésére </t>
    </r>
    <r>
      <rPr>
        <i/>
        <sz val="10"/>
        <rFont val="Palatino Linotype"/>
        <family val="1"/>
        <charset val="238"/>
      </rPr>
      <t>(irodai székek,  határfelület mikrofonok, számítógépek frissítése, létra-díszítőtár, biztonsági heveder-díszítőtár, járás lámpa 10 db-világosítótár, vércukorszintmérő, pen-drive (nagy kapacitású), iratmegsemmisítő, stúdió monitor-hangtár, számítógéphez kiegészítők, Informatika eszközök, személyigazolvány-olvasó, pendrive-ok, laptopok, projektorok, iratmegsemmisítő, mosógép, LED-es világítás, állólámpa, ügyelői monitor, lámpák, vércukorszint mérő, vasaló állomás)</t>
    </r>
  </si>
  <si>
    <t>Koronavírus elleni védekezés költségeire - mobiltelefonok</t>
  </si>
  <si>
    <t>Beruházási kiadások mindösszesen:</t>
  </si>
  <si>
    <t>Felújítási kiadások mindösszesen:</t>
  </si>
  <si>
    <t>FELHALMOZÁSI KIADÁSOK MINDÖSSZESEN:</t>
  </si>
  <si>
    <t>Koronavírus elleni védekezés költségeire</t>
  </si>
  <si>
    <t>2020. év összesen</t>
  </si>
  <si>
    <t>ebből: Koronavírus elleni védekezésre adomány</t>
  </si>
  <si>
    <t>A rendelet 1. mellékletét módosította a 17/2020. (IV.30.) Ör. 1. melléklete</t>
  </si>
  <si>
    <t>A rendelet 1.A mellékletét módosította a 17/2020. (IV.30.) Ör. 1.A. melléklete</t>
  </si>
  <si>
    <t>A rendelet 2. mellékletét módosította a 17/2020. (IV.30.) Ör. 2. melléklete</t>
  </si>
  <si>
    <t>A rendelet 3. mellékletét módosította a 17/2020. (IV.30.) Ör. 3. melléklete</t>
  </si>
  <si>
    <t>A rendelet 3.A mellékletét módosította a 17/2020. (IV.30.) Ör. 3.A melléklete</t>
  </si>
  <si>
    <t>A rendelet 4. mellékletét módosította a 17/2020. (IV.30.) Ör. 4. melléklete</t>
  </si>
  <si>
    <t>A rendelet 5. mellékletét módosította a 17/2020. (IV.30.) Ör. 5. melléklete</t>
  </si>
  <si>
    <t>A rendelet 6. mellékletét módosította a 17/2020. (IV.30.) Ör. 6. melléklete</t>
  </si>
  <si>
    <t>A rendelet 6.A mellékletét módosította a 17/2020. (IV.30.) Ör. 6.A melléklete</t>
  </si>
  <si>
    <t>A rendelet 7. mellékletét módosította a 17/2020. (IV.30.) Ör. 7. melléklete</t>
  </si>
  <si>
    <t>A rendelet 8. mellékletét módosította a 17/2020. (IV.30.) Ör. 8. melléklete</t>
  </si>
  <si>
    <t>A rendelet 9. mellékletét módosította a 17/2020. (IV.30.) Ör. 9. melléklete</t>
  </si>
  <si>
    <t>A rendelet 10. mellékletét módosította a 17/2020. (IV.30.) Ör. 10. melléklete</t>
  </si>
  <si>
    <t>A rendelet 11. mellékletét módosította a 17/2020. (IV.30.) Ör. 11. melléklete</t>
  </si>
  <si>
    <t>A rendelet 12. mellékletét módosította a 17/2020. (IV.30.) Ör. 12. melléklete</t>
  </si>
  <si>
    <t>A rendelet 13. mellékletét módosította a 17/2020. (IV.30.) Ör. 13. melléklete</t>
  </si>
  <si>
    <t>A rendelet 16. mellékletét módosította a 17/2020. (IV.30.) Ör. 14. melléklete</t>
  </si>
  <si>
    <t>13. melléklet a 5/2020. (II.27.) önkormányzati rendelethez</t>
  </si>
  <si>
    <t>A rendelet 1. mellékletét módosította a 26/2020. (VI.26.) Ör. 1. melléklete</t>
  </si>
  <si>
    <t xml:space="preserve">2020. évi eredeti előirányzat </t>
  </si>
  <si>
    <t>2020. évi módosított előirányzat 2.</t>
  </si>
  <si>
    <t>A rendelet 1.A mellékletét módosította a 26/2020. (VI.26.) Ör. 1.A. melléklete</t>
  </si>
  <si>
    <t>Színművészeti szervezetek támogatása*</t>
  </si>
  <si>
    <r>
      <rPr>
        <b/>
        <sz val="10"/>
        <rFont val="Palatino Linotype"/>
        <family val="1"/>
        <charset val="238"/>
      </rPr>
      <t>*</t>
    </r>
    <r>
      <rPr>
        <b/>
        <u/>
        <sz val="10"/>
        <rFont val="Palatino Linotype"/>
        <family val="1"/>
        <charset val="238"/>
      </rPr>
      <t xml:space="preserve"> Megjegyzés</t>
    </r>
    <r>
      <rPr>
        <b/>
        <sz val="10"/>
        <rFont val="Palatino Linotype"/>
        <family val="1"/>
        <charset val="238"/>
      </rPr>
      <t xml:space="preserve">: </t>
    </r>
    <r>
      <rPr>
        <sz val="10"/>
        <rFont val="Palatino Linotype"/>
        <family val="1"/>
        <charset val="238"/>
      </rPr>
      <t>A Magyar Államkincstár tájékoztatása szerint a Magyarország 2020. évi központi költségvetéséről szóló 2019. évi LXXI. Törvény 3. melléklet I. 13. e) pontjában szereplő Színházművészeti szervezetek támogatása jogcímen eredeti előirányzatként 0 forintot kell az elemi költségvetésben tervezni.                                                                                       A színművészeti szervezetek finanszírozására  VMJV Önkormányzata és Magyrország Kormány között Társműködtetői megállapodás jött létre.</t>
    </r>
  </si>
  <si>
    <t>A rendelet 2. mellékletét módosította a 26/2020. (VI.26.) Ör. 2. melléklete</t>
  </si>
  <si>
    <t>2019. évi           tény</t>
  </si>
  <si>
    <t>módosított előirányzat 2.</t>
  </si>
  <si>
    <t>A rendelet 3. mellékletét módosította a 26/2020. (VI.26.) Ör. 3. melléklete</t>
  </si>
  <si>
    <t>a rendelet 3.A mellékletét módosította a 26/2020. (VI.26.) Ör. 3.A melléklete</t>
  </si>
  <si>
    <t>A rendelet 4. mellékletét módosította a 26/2020. (VI.26.) Ör. 4. melléklete</t>
  </si>
  <si>
    <t>A rendelet 5. mellékletét módosította a 26/2020. (VI.26.) Ör. 5. melléklete</t>
  </si>
  <si>
    <t xml:space="preserve">2020. évi  eredeti előirányzat </t>
  </si>
  <si>
    <t>Koronavírus-járványügyi vészhelyzettel kapcsolatos beszerzések: érintés nélküli lázmérők, kártyaolvasók, mobiltelefonok, számítógép, szakmai eszközök, Viktória ügyeleti program)</t>
  </si>
  <si>
    <r>
      <t xml:space="preserve">Tárgyi eszközök beszerzése </t>
    </r>
    <r>
      <rPr>
        <b/>
        <sz val="10"/>
        <rFont val="Palatino Linotype"/>
        <family val="1"/>
        <charset val="238"/>
      </rPr>
      <t>Pápai út 37. - CSÁO</t>
    </r>
    <r>
      <rPr>
        <sz val="10"/>
        <rFont val="Palatino Linotype"/>
        <family val="1"/>
        <charset val="238"/>
      </rPr>
      <t xml:space="preserve"> (kézfertőtlenítő állomás, bútor, szőnyeg, függöny, mobiltelefon, mikró, kávéfőző, vízmelegítő, ventilátor/hősugárzó, külső winchester, router, iratmegsemmisítő, porszívó, mérleg, szárítógép)</t>
    </r>
  </si>
  <si>
    <r>
      <t xml:space="preserve">Tárgyi eszközök beszerzése </t>
    </r>
    <r>
      <rPr>
        <b/>
        <sz val="10"/>
        <rFont val="Palatino Linotype"/>
        <family val="1"/>
        <charset val="238"/>
      </rPr>
      <t xml:space="preserve">Rózsa u. 48 </t>
    </r>
    <r>
      <rPr>
        <sz val="10"/>
        <rFont val="Palatino Linotype"/>
        <family val="1"/>
        <charset val="238"/>
      </rPr>
      <t>(kézfertőtlenítő állomás, bútor, szőnyeg, függöny, mobiltelefon, mikró, kávéfőző, vízmelegítő, ventilátor/hősugárzó, külső winchester, router, iratmegsemmisítő, porszívó, mérleg, szárítógép, játék/társasjáték)</t>
    </r>
  </si>
  <si>
    <t>Mosógép vásárlás (kigyulladt lakás károsultjának megsegítésére)</t>
  </si>
  <si>
    <t>Notebook, monitor, programok</t>
  </si>
  <si>
    <t>Készlet és pénztár program</t>
  </si>
  <si>
    <r>
      <rPr>
        <b/>
        <sz val="10"/>
        <rFont val="Palatino Linotype"/>
        <family val="1"/>
        <charset val="238"/>
      </rPr>
      <t>EMMI pályázat</t>
    </r>
    <r>
      <rPr>
        <sz val="10"/>
        <rFont val="Palatino Linotype"/>
        <family val="1"/>
        <charset val="238"/>
      </rPr>
      <t xml:space="preserve"> - Kulturális mobilitást támogató szállítóeszköz beszerzése - VW T6 Kombi gépjármű vásárlás</t>
    </r>
  </si>
  <si>
    <r>
      <rPr>
        <b/>
        <sz val="10"/>
        <rFont val="Palatino Linotype"/>
        <family val="1"/>
        <charset val="238"/>
      </rPr>
      <t>Bóbita Körzeti Óvoda (Hársfa Tagóvoda)</t>
    </r>
    <r>
      <rPr>
        <sz val="10"/>
        <rFont val="Palatino Linotype"/>
        <family val="1"/>
        <charset val="238"/>
      </rPr>
      <t xml:space="preserve"> - Csoportszoba vízszigetelése, vakolás, festés</t>
    </r>
  </si>
  <si>
    <t>A rendelet 6. mellékletét módosította a 26/2020. (VI.26.) Ör. 6. melléklete</t>
  </si>
  <si>
    <t>MINDÖSSZESEN</t>
  </si>
  <si>
    <t>A rendelet 6.A mellékletét módosította a 26/2020. (VI.26.) Ör. 6.A melléklete</t>
  </si>
  <si>
    <t>Kórház Bébi Koraszülött Mentő Alapítványa részére - echocardiograf eszközbeszerzésre</t>
  </si>
  <si>
    <t>Veszprémi Táncegyüttesért Alapítvány</t>
  </si>
  <si>
    <t>Liszt F. Kórus</t>
  </si>
  <si>
    <t>Gizella Kórus/Dowland Alapítvány</t>
  </si>
  <si>
    <t>Közbiztonsági feladatok / Gyulafirátóti Polgárőrség</t>
  </si>
  <si>
    <t>A rendelet 7. mellékletét módosította a 26/2020. (VI.26.) Ör. 7. melléklete</t>
  </si>
  <si>
    <t>Festmény</t>
  </si>
  <si>
    <t>VESZOL - Veszprém, Pápai u. 37. sz. munkásszálló működetési feladatai - tönkrement bútorok pótlása</t>
  </si>
  <si>
    <t>8-as főút felújításának terelőút építéséhez kapcsolódó ingatlanrendezés</t>
  </si>
  <si>
    <t>MLSZ ovifoci program önrész és területelőkészítés</t>
  </si>
  <si>
    <t>Lakossági vízbekötések</t>
  </si>
  <si>
    <t>VSZC Ipari Szakgimnázium energetikai fejlesztésének támogatása</t>
  </si>
  <si>
    <t>A rendelet 8. mellékletét módosította a 26/2020. (VI.26.) Ör. 8. melléklete</t>
  </si>
  <si>
    <t>a rendelet 9. mellékletét módosította a 26/2020. (VI.26.) Ör. 9. melléklete</t>
  </si>
  <si>
    <t>TOP-6.4.1-16-VP1-17-00001 Szabadságpuszta településrész és Felsőörs Község közötti kerékpárút beruházása</t>
  </si>
  <si>
    <t>TOP-6.2.1-16-VP1-2020-00003 A Veszprémi Bölcsődei és Egészségügyi Alapellátási Integrált Intézmény Módszertani Bölcsődéje megújítása, illetve bölcsődei eszközbeszerzések</t>
  </si>
  <si>
    <t>A rendelet 10. mellékletét módosította a 26/2020. (VI.26.) Ör. 10. melléklete</t>
  </si>
  <si>
    <t>Veszprémi Atlétikai Stadion felújítása - I. ütem (BMSK)</t>
  </si>
  <si>
    <t>A rendelet 11. mellékletét módosította a 26/2020. (VI.26.) Ör. 11. melléklete</t>
  </si>
  <si>
    <t>Kossuth utca fejlesztései</t>
  </si>
  <si>
    <t>Vár u. 10. volt piarista gimnázium</t>
  </si>
  <si>
    <t>Jókai utca 8.</t>
  </si>
  <si>
    <t>Acticity - Hóvirág u. 1.</t>
  </si>
  <si>
    <t>Haszkovó lakótelep újjáélesztése</t>
  </si>
  <si>
    <t>Vasútállomás és környezetének fejlesztése</t>
  </si>
  <si>
    <t>A rendelet 13. mellékletét módosította a 26/2020. (VI.26.) Ör. 13. melléklete</t>
  </si>
  <si>
    <t>A rendelet 16. mellékletét módosította a 26/2020. (VI.26.) Ör. 14. melléklete</t>
  </si>
  <si>
    <t>2020-2021</t>
  </si>
  <si>
    <t>A rendelet 12. mellékletét módosította a 26/2020. (VI.26.) Ör. 12. melléklete</t>
  </si>
  <si>
    <t>2020. évi módosított előirányzat 3.</t>
  </si>
  <si>
    <t>2020. évi     módosított előirányzat 2.</t>
  </si>
  <si>
    <t>módosítás- köznevelési feladatok kiegészítő támogatása (min.bér, gar.bérmin. támog)</t>
  </si>
  <si>
    <t>intézményi gyermekétkeztetés kiegészítő bértámogatás (min.bér, gar.bérmin. támog)</t>
  </si>
  <si>
    <t>minősített pedagógusok támogatása</t>
  </si>
  <si>
    <t>Bérkompenzáció (2020. május hó - 2020. július hó)</t>
  </si>
  <si>
    <t>módosított előirányzat 3.</t>
  </si>
  <si>
    <t>módosítás- bölcsődei feladatok kiegészítő bértámogatása (min.bér, gar.bérmin.támog)</t>
  </si>
  <si>
    <t>bölcsődei üzemeltetési támogatás</t>
  </si>
  <si>
    <t>bölcsődei pótlék támogatása</t>
  </si>
  <si>
    <t>Szociális ágazati összevont pótlék (2020. május hó - 2020. július hó)</t>
  </si>
  <si>
    <t>Társadalombiztosítási Alaptól egyszeri rendkívüli  juttatás fedezetére</t>
  </si>
  <si>
    <t>szakképzési hozzájárulás</t>
  </si>
  <si>
    <t>gépjármű értékesítés</t>
  </si>
  <si>
    <t>módosítás- Egyes szociális feladatok kiegészítő támogatása (min.bér, gar.bérmin. támog)</t>
  </si>
  <si>
    <t>módosítás- Család és gyermekjóléti szolgálat és központ kiegészítő támogatása (min.bér, gar.bérmin. támog)</t>
  </si>
  <si>
    <t>Szakosított ellátások kiegészítő támogatása (min.bér, gar.bérmin. támog)</t>
  </si>
  <si>
    <t>módosítás- Kulturális illetmény pótlék (2020. május hó - 2020. július hó)</t>
  </si>
  <si>
    <t>Nyertes NKA pályázatok, MANK támogatás, vállalkozástól kapott támogatás</t>
  </si>
  <si>
    <t>Könyvtári érdekeltségnövelő támogatás</t>
  </si>
  <si>
    <t>Áfa visszatérülés, ODR támogatás</t>
  </si>
  <si>
    <t>NKA pályázati támogatás, gépjármű értékesítés többlete</t>
  </si>
  <si>
    <t>átcsoportosítás, nyertes EMMI és NKA pályázatok</t>
  </si>
  <si>
    <t>módosítás- intézményi gyermekétkeztetés kiegészítő bértámogatás</t>
  </si>
  <si>
    <t>módosítás- Bérkompenzáció (2020. május hó - 2020. július hó)</t>
  </si>
  <si>
    <t>TOP-6.3.2-16-VP1-2018-00001 Kulturális negyed - pályázat visszaadása</t>
  </si>
  <si>
    <t>Bevételi többletből</t>
  </si>
  <si>
    <t>módosítás- Kulturális illetménypótlék (2020. május hó - 2020. július hó)</t>
  </si>
  <si>
    <t xml:space="preserve">   módosított előirányzat 2.</t>
  </si>
  <si>
    <t>MANK, NKA támogatásokból</t>
  </si>
  <si>
    <t>bevételi többletből, átcsoportosításból</t>
  </si>
  <si>
    <t>NKA pályázati forrásból</t>
  </si>
  <si>
    <t>átcsoportosítás EMMI pályázat beruházási kiadásaira</t>
  </si>
  <si>
    <t>módosítás- pályázat visszaadása</t>
  </si>
  <si>
    <t>2020. évi  módosított előirányzat 2.</t>
  </si>
  <si>
    <t>Kisértékű tárgyi eszközök (mosógép, porszívó, mobiltelefon, gyermekszék, gyermekfektető és tartó, függöny, redőny, szúnyogháló, roló, konyhai kisgép)</t>
  </si>
  <si>
    <t>Kisértékű tárgyi eszközök (mosógép, porszívó, mobiltelefon, gyermekszék, szőnyeg, redőny, roló, szúnyogháló, konyhai kisgép)</t>
  </si>
  <si>
    <t>Bútorzat főzőkonyhára</t>
  </si>
  <si>
    <t>Tárgyi eszközök beszerzésére (Mobiltelefon, laptop, irodai székek, mosógép)</t>
  </si>
  <si>
    <t>Fa kerti tároló</t>
  </si>
  <si>
    <t>Kisértékű tárgyi eszközök (Hűtőszekrény főzőkonyhába, irodai székek)</t>
  </si>
  <si>
    <t>Tárgyi eszközök beszerzésére (Katica csoport: polcos szekrény, babakonyha szekrény, tálaló szekrény, foglalkoztató szekrény, játéktároló, ágyazó, tükrök, élősarokpolc, teakonyha polc, ágyazó polc, szőnyegek, konyhai eszközök, étel-ital szállító badellák, botmixer, serpenyő, érintésmentes kézfertőtlenítő)</t>
  </si>
  <si>
    <t>Laptop</t>
  </si>
  <si>
    <t>Gőzállomás, varrógép, széf, érintésmentes kézfertőtlenítő, nyomtató-fénymásoló</t>
  </si>
  <si>
    <t>Tárgyi eszköz beszerzések (szekrény, ventilátorok, klaviatúrák, vízforraló, mobil telefon)</t>
  </si>
  <si>
    <r>
      <t xml:space="preserve">Tárgyi eszközök beszerzése </t>
    </r>
    <r>
      <rPr>
        <b/>
        <sz val="10"/>
        <rFont val="Palatino Linotype"/>
        <family val="1"/>
        <charset val="238"/>
      </rPr>
      <t xml:space="preserve">Mikszáth K.u.13. </t>
    </r>
    <r>
      <rPr>
        <sz val="10"/>
        <rFont val="Palatino Linotype"/>
        <family val="1"/>
        <charset val="238"/>
      </rPr>
      <t>(kézfertőtlenítő állomás, bútor, szőnyeg, függöny, mobiltelefon, mikró, kávéfőző, vízmelegítő, tűzhely, ventilátor/hősugárzó, külső winchester, router, iratmegsemmisítő, porszívó, játék/társasjáték)</t>
    </r>
  </si>
  <si>
    <t>Laptopok szoftverrel</t>
  </si>
  <si>
    <t>Mini keverő (MANK Nonprofit rendezvény)</t>
  </si>
  <si>
    <t>Egyéb tárgyi eszköz beszerzés (plexifal, karbantartáshoz kapcsolható eszköz, telefon, játék)</t>
  </si>
  <si>
    <t>Szoftver beszerzés</t>
  </si>
  <si>
    <t>Könyvtári érdekeltségnövelő támogatásból műszaki, technikai, informatikai eszközök</t>
  </si>
  <si>
    <t>Adattári polcok, lemezszekrények (Levéltárból történő kiköltözéshez)</t>
  </si>
  <si>
    <t>Aggregátor, szivattyú (régészeti feltárásokra)</t>
  </si>
  <si>
    <t>Laptopok</t>
  </si>
  <si>
    <t>Nyilvános WC beléptető rendszer</t>
  </si>
  <si>
    <r>
      <rPr>
        <b/>
        <sz val="10"/>
        <rFont val="Palatino Linotype"/>
        <family val="1"/>
        <charset val="238"/>
      </rPr>
      <t xml:space="preserve">EMT-Te-19-0345 pályázat </t>
    </r>
    <r>
      <rPr>
        <sz val="10"/>
        <rFont val="Palatino Linotype"/>
        <family val="1"/>
        <charset val="238"/>
      </rPr>
      <t>- mikroportok, kézzel varrott bőrcipő, hordozható hangfal, asztal, CAJUN hangszerek, fémből készült díszlet</t>
    </r>
  </si>
  <si>
    <t>Sátrak vásárlása pályázaton belül megvalósított projekthez</t>
  </si>
  <si>
    <t>Hangtechnikai felszerelés vásárlása pályázaton belül megvalósított projekthez</t>
  </si>
  <si>
    <t>Dombormű vásárlása</t>
  </si>
  <si>
    <t>Mikroport rendszer 16 frekvencia, mikroport rendszerhez tárolók</t>
  </si>
  <si>
    <t>Kisértékű tárgyi eszközök (székek, szőnyegek, bútorok, egyéb kisértékű tárgyi eszközök, ventilátor, vasaló, zászlók)</t>
  </si>
  <si>
    <r>
      <rPr>
        <b/>
        <sz val="10"/>
        <rFont val="Palatino Linotype"/>
        <family val="1"/>
        <charset val="238"/>
      </rPr>
      <t>Vadvirág Körzeti Óvoda (Waldorf Tagóvoda)</t>
    </r>
    <r>
      <rPr>
        <sz val="10"/>
        <rFont val="Palatino Linotype"/>
        <family val="1"/>
        <charset val="238"/>
      </rPr>
      <t>- Mosókonyha bejárati ajtó csere</t>
    </r>
  </si>
  <si>
    <t>módosítás- Egyes szociális feladatok és szakosított ellátások kiegészítő támogatása</t>
  </si>
  <si>
    <t>Veszprém és társult önkormányzatok működtetési hozzájárulásának rendezése</t>
  </si>
  <si>
    <t>Egészségügyi kiegészítő pótlék (2020. május hó - 2020. július hó)</t>
  </si>
  <si>
    <t>módosítás- adományszámlára érkezett bevételből</t>
  </si>
  <si>
    <t>Alkohol-Drogsegély Ambulancia/Szenvedélybetegek ellátásnak működési kiadásaihoz támogatás</t>
  </si>
  <si>
    <t>Verseny és élsport - működési támogatások</t>
  </si>
  <si>
    <t>Pannon SE női kézilabda</t>
  </si>
  <si>
    <t>Veszprémi Úszó Klub</t>
  </si>
  <si>
    <t>Balaton Úszó Klub</t>
  </si>
  <si>
    <t>Veszprémi Torna Club</t>
  </si>
  <si>
    <t>VESC női röplabda</t>
  </si>
  <si>
    <t>Szilágyi DSE</t>
  </si>
  <si>
    <t>Dózsavárosi DSE</t>
  </si>
  <si>
    <t>Sportolj Velünk SE</t>
  </si>
  <si>
    <t>Gyulafirátót SE</t>
  </si>
  <si>
    <t>Veszprémi Jégkorong SE</t>
  </si>
  <si>
    <t>Veszprémi Taekwon-do SE</t>
  </si>
  <si>
    <t>Veszprémi Asztalitenisz Sportegyesület</t>
  </si>
  <si>
    <t>Centrum Diák és Szabadidő Egyesület</t>
  </si>
  <si>
    <t>Veszprémi Judo és Szabadidő SE</t>
  </si>
  <si>
    <t>Veszprémi Honvéd SE</t>
  </si>
  <si>
    <t>Veszprémi Dózsa SK-birkózó</t>
  </si>
  <si>
    <t>Veszprémi Sportmászó Egyesület</t>
  </si>
  <si>
    <t>Körmendi Ferenc Veszprémi Thai-Boksz SE</t>
  </si>
  <si>
    <t>Építők Természetbarát SE</t>
  </si>
  <si>
    <t>Veszprémi Spartacus SE</t>
  </si>
  <si>
    <t>K.O. Sport és Szabadidő Egyesület</t>
  </si>
  <si>
    <t>Top-Gym SE</t>
  </si>
  <si>
    <t>Veszprémi Kerékpáros Egyesület</t>
  </si>
  <si>
    <t>Veszprémi Szivárvány Integrált SE</t>
  </si>
  <si>
    <t>Acro Dance</t>
  </si>
  <si>
    <t>Hemo Winner Versenytánc SE</t>
  </si>
  <si>
    <t>Kid Rock and Roll SE</t>
  </si>
  <si>
    <t>Golding Táncsport Egyesület</t>
  </si>
  <si>
    <t>Olimpiai felkészülés céljára támogatás</t>
  </si>
  <si>
    <t>Sportolj Velünk SE (Bartha-Kéri Bianka)</t>
  </si>
  <si>
    <t>VEDAC (Orbán Éva)</t>
  </si>
  <si>
    <t>Veszprémi Sí Egylet (Kónya Ádám)</t>
  </si>
  <si>
    <t>Balaton Úszó Klub (Rasovszky Kristóf)</t>
  </si>
  <si>
    <t>Önkormányzati érdekeket érintő településrendezése eszközök módosítása</t>
  </si>
  <si>
    <r>
      <rPr>
        <b/>
        <sz val="11"/>
        <rFont val="Palatino Linotype"/>
        <family val="1"/>
        <charset val="238"/>
      </rPr>
      <t xml:space="preserve">Koronavírus elleni védekezés adományából </t>
    </r>
    <r>
      <rPr>
        <sz val="11"/>
        <rFont val="Palatino Linotype"/>
        <family val="1"/>
        <charset val="238"/>
      </rPr>
      <t>-</t>
    </r>
    <r>
      <rPr>
        <sz val="10"/>
        <rFont val="Palatino Linotype"/>
        <family val="1"/>
        <charset val="238"/>
      </rPr>
      <t xml:space="preserve"> Egyesített Szociális Intézmény I. sz. Idősek Otthonába laptop vásárlására</t>
    </r>
  </si>
  <si>
    <t>Művészetek Háza - Csikász galéria viharkárban sérült ajtó cseréje</t>
  </si>
  <si>
    <t>Kiskúti Csárda építéstörténeti dokumentációja</t>
  </si>
  <si>
    <t>Toborzó u. 2. - gázkazánok cseréje</t>
  </si>
  <si>
    <t>Veszprém 2030 Kft. törzstőke emelés</t>
  </si>
  <si>
    <t>Veszprém 2030 Kft. tőketartalékba helyezés</t>
  </si>
  <si>
    <t>Komakút tér 1. Fogorvosi rendelők - rendelők leválasztása</t>
  </si>
  <si>
    <t>módosítás-a projekt nem valósul meg</t>
  </si>
  <si>
    <t>módosítás- projekt időtartam eltolódás miatti átcsoportosítás</t>
  </si>
  <si>
    <t>Veszprémi Atlétikai Stadion komplex megújítás (tornász gyakorló csarnok) - I. ütem</t>
  </si>
  <si>
    <t>módosítás- befolyt támogatási összeg szerint</t>
  </si>
  <si>
    <t>SMART Veszprém alapinfrastruktúra I.</t>
  </si>
  <si>
    <t>A rendelet 1. mellékletét módosította a 37/2020. (IX.24.) Ör. 1. melléklete</t>
  </si>
  <si>
    <t>A rendelet 16. mellékletét módosította a 37/2020. (IX.24.) Ör. 13. melléklete</t>
  </si>
  <si>
    <t>A rendelet 12 mellékletét módosította a 37/2020. (IX.24.) Ör. 12. melléklete</t>
  </si>
  <si>
    <t>A rendelet 11. mellékletét módosította a 37/2020. (IX.24.) Ör. 11. melléklete</t>
  </si>
  <si>
    <t>Sportcélok és feladatok</t>
  </si>
  <si>
    <t>Veszprém Megyei Diáksport Egyesület</t>
  </si>
  <si>
    <t>A rendelet 2. mellékletét módosította a 37/2020. (IX.24.) Ör. 2. melléklete</t>
  </si>
  <si>
    <t>A rendelet 3. mellékletét módosította a 37/2020. (IX.24.) Ör. 3. melléklete</t>
  </si>
  <si>
    <t>A rendelet 3.A mellékletét módosította a 37/2020. (IX.24.) Ör. 3.A melléklete</t>
  </si>
  <si>
    <t>A rendelet 4. mellékletét módosította a 37/2020. (IX.24.) Ör. 4. melléklete</t>
  </si>
  <si>
    <t>A rendelet 5. mellékletét módosította a 37/2020. (IX.24.) Ör. 5. melléklete</t>
  </si>
  <si>
    <t>A rendelet 6. mellékletét módosította a 37/2020. (IX.24.) Ör. 6. melléklete</t>
  </si>
  <si>
    <t>A rendelet 6.A mellékletét módosította a 37/2020. (IX.24.) Ör. 6.A melléklete</t>
  </si>
  <si>
    <t>A rendelet 7. mellékletét módosította a 37/2020. (IX.24.) Ör. 7. melléklete</t>
  </si>
  <si>
    <t>A rendelet 8. mellékletét módosította a 37/2020. (IX.24.) Ör. 8. melléklete</t>
  </si>
  <si>
    <t>A rendelet 9. mellékletét módosította a 37/2020. (IX.24.) Ör. 9. melléklete</t>
  </si>
  <si>
    <t>A rendelet 10. mellékletét módosította a 37/2020. (IX.24.) Ör. 10. melléklete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</si>
</sst>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F_t_-;\-* #,##0.00\ _F_t_-;_-* &quot;-&quot;??\ _F_t_-;_-@_-"/>
    <numFmt numFmtId="164" formatCode="0.000"/>
    <numFmt numFmtId="165" formatCode="0.0%"/>
  </numFmts>
  <fonts count="62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name val="Palatino Linotype"/>
      <family val="1"/>
      <charset val="238"/>
    </font>
    <font>
      <sz val="10"/>
      <name val="Arial"/>
      <family val="2"/>
      <charset val="238"/>
    </font>
    <font>
      <b/>
      <sz val="11"/>
      <name val="Palatino Linotype"/>
      <family val="1"/>
      <charset val="238"/>
    </font>
    <font>
      <i/>
      <sz val="11"/>
      <name val="Palatino Linotype"/>
      <family val="1"/>
      <charset val="238"/>
    </font>
    <font>
      <sz val="9"/>
      <name val="Palatino Linotype"/>
      <family val="1"/>
      <charset val="238"/>
    </font>
    <font>
      <sz val="8"/>
      <name val="Arial CE"/>
      <charset val="238"/>
    </font>
    <font>
      <sz val="12"/>
      <name val="Times New Roman"/>
      <family val="1"/>
      <charset val="238"/>
    </font>
    <font>
      <sz val="8"/>
      <name val="Palatino Linotype"/>
      <family val="1"/>
      <charset val="238"/>
    </font>
    <font>
      <sz val="10"/>
      <name val="Palatino Linotype"/>
      <family val="1"/>
      <charset val="238"/>
    </font>
    <font>
      <b/>
      <sz val="9"/>
      <name val="Palatino Linotype"/>
      <family val="1"/>
      <charset val="238"/>
    </font>
    <font>
      <i/>
      <sz val="10"/>
      <name val="Palatino Linotype"/>
      <family val="1"/>
      <charset val="238"/>
    </font>
    <font>
      <b/>
      <sz val="10"/>
      <name val="Palatino Linotype"/>
      <family val="1"/>
      <charset val="238"/>
    </font>
    <font>
      <sz val="9"/>
      <name val="Arial CE"/>
      <charset val="238"/>
    </font>
    <font>
      <i/>
      <u/>
      <sz val="10"/>
      <name val="Palatino Linotype"/>
      <family val="1"/>
      <charset val="238"/>
    </font>
    <font>
      <b/>
      <i/>
      <sz val="10"/>
      <name val="Palatino Linotype"/>
      <family val="1"/>
      <charset val="238"/>
    </font>
    <font>
      <b/>
      <i/>
      <sz val="11"/>
      <name val="Palatino Linotype"/>
      <family val="1"/>
      <charset val="238"/>
    </font>
    <font>
      <sz val="7"/>
      <name val="Palatino Linotype"/>
      <family val="1"/>
      <charset val="238"/>
    </font>
    <font>
      <b/>
      <sz val="8"/>
      <name val="Palatino Linotype"/>
      <family val="1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b/>
      <u val="double"/>
      <sz val="10"/>
      <name val="Palatino Linotype"/>
      <family val="1"/>
      <charset val="238"/>
    </font>
    <font>
      <sz val="11"/>
      <name val="Arial CE"/>
      <charset val="238"/>
    </font>
    <font>
      <sz val="10"/>
      <name val="Times New Roman"/>
      <family val="1"/>
      <charset val="238"/>
    </font>
    <font>
      <b/>
      <u/>
      <sz val="10"/>
      <name val="Palatino Linotype"/>
      <family val="1"/>
      <charset val="238"/>
    </font>
    <font>
      <b/>
      <u/>
      <sz val="11"/>
      <name val="Palatino Linotype"/>
      <family val="1"/>
      <charset val="238"/>
    </font>
    <font>
      <u/>
      <sz val="11"/>
      <name val="Palatino Linotype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rgb="FFFF0000"/>
      <name val="Palatino Linotype"/>
      <family val="1"/>
      <charset val="238"/>
    </font>
    <font>
      <sz val="11"/>
      <color theme="1"/>
      <name val="Palatino Linotype"/>
      <family val="1"/>
      <charset val="238"/>
    </font>
    <font>
      <b/>
      <sz val="10"/>
      <color theme="5" tint="-0.499984740745262"/>
      <name val="Palatino Linotype"/>
      <family val="1"/>
      <charset val="238"/>
    </font>
    <font>
      <b/>
      <i/>
      <sz val="10"/>
      <color theme="5" tint="-0.499984740745262"/>
      <name val="Palatino Linotype"/>
      <family val="1"/>
      <charset val="238"/>
    </font>
    <font>
      <b/>
      <sz val="10"/>
      <color theme="5" tint="-0.499984740745262"/>
      <name val="Arial CE"/>
      <charset val="238"/>
    </font>
    <font>
      <b/>
      <i/>
      <sz val="10"/>
      <color theme="5" tint="-0.499984740745262"/>
      <name val="Arial CE"/>
      <charset val="238"/>
    </font>
    <font>
      <b/>
      <sz val="11"/>
      <color theme="5" tint="-0.499984740745262"/>
      <name val="Palatino Linotype"/>
      <family val="1"/>
      <charset val="238"/>
    </font>
    <font>
      <sz val="11"/>
      <color theme="5" tint="-0.499984740745262"/>
      <name val="Palatino Linotype"/>
      <family val="1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u/>
      <sz val="12"/>
      <name val="Palatino Linotype"/>
      <family val="1"/>
      <charset val="238"/>
    </font>
    <font>
      <u/>
      <sz val="10"/>
      <name val="Palatino Linotype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Palatino Linotype"/>
      <family val="1"/>
      <charset val="238"/>
    </font>
    <font>
      <sz val="11"/>
      <color rgb="FF000000"/>
      <name val="Palatino Linotype"/>
      <family val="1"/>
      <charset val="238"/>
    </font>
    <font>
      <b/>
      <i/>
      <sz val="11"/>
      <color theme="5" tint="-0.499984740745262"/>
      <name val="Palatino Linotype"/>
      <family val="1"/>
      <charset val="238"/>
    </font>
    <font>
      <b/>
      <sz val="9"/>
      <color theme="5" tint="-0.499984740745262"/>
      <name val="Palatino Linotype"/>
      <family val="1"/>
      <charset val="238"/>
    </font>
    <font>
      <b/>
      <sz val="12"/>
      <name val="Palatino Linotype"/>
      <family val="1"/>
      <charset val="238"/>
    </font>
    <font>
      <i/>
      <sz val="10"/>
      <color theme="1"/>
      <name val="Palatino Linotype"/>
      <family val="1"/>
      <charset val="238"/>
    </font>
    <font>
      <b/>
      <sz val="10"/>
      <color theme="1"/>
      <name val="Palatino Linotype"/>
      <family val="1"/>
      <charset val="238"/>
    </font>
    <font>
      <b/>
      <i/>
      <sz val="12"/>
      <name val="Palatino Linotype"/>
      <family val="1"/>
      <charset val="238"/>
    </font>
    <font>
      <b/>
      <sz val="10"/>
      <color rgb="FF0070C0"/>
      <name val="Palatino Linotype"/>
      <family val="1"/>
      <charset val="238"/>
    </font>
    <font>
      <b/>
      <i/>
      <sz val="10"/>
      <color rgb="FF0070C0"/>
      <name val="Palatino Linotype"/>
      <family val="1"/>
      <charset val="238"/>
    </font>
    <font>
      <b/>
      <sz val="10"/>
      <color rgb="FFFF0000"/>
      <name val="Palatino Linotype"/>
      <family val="1"/>
      <charset val="238"/>
    </font>
    <font>
      <i/>
      <sz val="10"/>
      <color rgb="FFFF0000"/>
      <name val="Palatino Linotype"/>
      <family val="1"/>
      <charset val="238"/>
    </font>
    <font>
      <i/>
      <sz val="14"/>
      <name val="Garamond"/>
      <family val="1"/>
      <charset val="238"/>
    </font>
    <font>
      <i/>
      <sz val="11"/>
      <color rgb="FFFF0000"/>
      <name val="Palatino Linotype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</fills>
  <borders count="2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</borders>
  <cellStyleXfs count="60">
    <xf numFmtId="0" fontId="0" fillId="0" borderId="0"/>
    <xf numFmtId="43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3" fillId="0" borderId="0"/>
    <xf numFmtId="0" fontId="14" fillId="0" borderId="0"/>
    <xf numFmtId="0" fontId="1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7" fillId="0" borderId="0"/>
    <xf numFmtId="0" fontId="34" fillId="0" borderId="0"/>
    <xf numFmtId="0" fontId="34" fillId="0" borderId="0"/>
    <xf numFmtId="0" fontId="34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7" fillId="0" borderId="0"/>
    <xf numFmtId="0" fontId="7" fillId="0" borderId="0"/>
    <xf numFmtId="0" fontId="13" fillId="0" borderId="0"/>
    <xf numFmtId="0" fontId="9" fillId="0" borderId="0"/>
    <xf numFmtId="0" fontId="9" fillId="0" borderId="0"/>
    <xf numFmtId="0" fontId="9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6" fillId="0" borderId="0"/>
    <xf numFmtId="0" fontId="5" fillId="0" borderId="0"/>
    <xf numFmtId="43" fontId="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9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" fillId="0" borderId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96">
    <xf numFmtId="0" fontId="0" fillId="0" borderId="0" xfId="0"/>
    <xf numFmtId="0" fontId="8" fillId="0" borderId="0" xfId="0" applyFont="1" applyFill="1" applyBorder="1" applyAlignment="1">
      <alignment vertical="center"/>
    </xf>
    <xf numFmtId="3" fontId="8" fillId="0" borderId="0" xfId="0" applyNumberFormat="1" applyFont="1" applyFill="1" applyBorder="1"/>
    <xf numFmtId="3" fontId="8" fillId="0" borderId="0" xfId="18" applyNumberFormat="1" applyFont="1" applyFill="1" applyAlignment="1">
      <alignment horizontal="center"/>
    </xf>
    <xf numFmtId="3" fontId="8" fillId="0" borderId="0" xfId="18" applyNumberFormat="1" applyFont="1" applyFill="1"/>
    <xf numFmtId="3" fontId="8" fillId="0" borderId="0" xfId="18" applyNumberFormat="1" applyFont="1" applyFill="1" applyAlignment="1">
      <alignment vertical="center"/>
    </xf>
    <xf numFmtId="3" fontId="8" fillId="0" borderId="0" xfId="18" applyNumberFormat="1" applyFont="1" applyFill="1" applyAlignment="1">
      <alignment horizontal="center" vertical="top"/>
    </xf>
    <xf numFmtId="3" fontId="8" fillId="0" borderId="0" xfId="18" applyNumberFormat="1" applyFont="1" applyFill="1" applyAlignment="1">
      <alignment horizontal="center" vertical="center"/>
    </xf>
    <xf numFmtId="3" fontId="11" fillId="0" borderId="0" xfId="18" applyNumberFormat="1" applyFont="1" applyFill="1" applyAlignment="1">
      <alignment horizontal="center" vertical="center"/>
    </xf>
    <xf numFmtId="3" fontId="10" fillId="0" borderId="0" xfId="18" applyNumberFormat="1" applyFont="1" applyFill="1" applyBorder="1"/>
    <xf numFmtId="3" fontId="8" fillId="0" borderId="0" xfId="18" applyNumberFormat="1" applyFont="1" applyFill="1" applyAlignment="1">
      <alignment vertical="top" wrapText="1"/>
    </xf>
    <xf numFmtId="0" fontId="8" fillId="0" borderId="0" xfId="0" applyFont="1" applyFill="1" applyAlignment="1">
      <alignment horizontal="center" vertical="center"/>
    </xf>
    <xf numFmtId="4" fontId="8" fillId="0" borderId="0" xfId="0" applyNumberFormat="1" applyFont="1" applyFill="1" applyBorder="1" applyAlignment="1">
      <alignment horizontal="left" vertical="center"/>
    </xf>
    <xf numFmtId="4" fontId="8" fillId="0" borderId="0" xfId="0" applyNumberFormat="1" applyFont="1" applyFill="1" applyAlignment="1">
      <alignment vertical="center"/>
    </xf>
    <xf numFmtId="4" fontId="12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4" fontId="8" fillId="0" borderId="0" xfId="0" applyNumberFormat="1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vertical="center" wrapText="1"/>
    </xf>
    <xf numFmtId="4" fontId="10" fillId="0" borderId="0" xfId="0" applyNumberFormat="1" applyFont="1" applyFill="1" applyAlignment="1">
      <alignment vertical="center"/>
    </xf>
    <xf numFmtId="4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vertical="center" wrapText="1"/>
    </xf>
    <xf numFmtId="3" fontId="8" fillId="0" borderId="0" xfId="0" applyNumberFormat="1" applyFont="1"/>
    <xf numFmtId="0" fontId="8" fillId="0" borderId="0" xfId="0" applyFont="1"/>
    <xf numFmtId="0" fontId="8" fillId="0" borderId="0" xfId="0" applyFont="1" applyAlignment="1">
      <alignment vertical="center"/>
    </xf>
    <xf numFmtId="0" fontId="8" fillId="0" borderId="4" xfId="0" applyFont="1" applyBorder="1" applyAlignment="1">
      <alignment horizontal="center"/>
    </xf>
    <xf numFmtId="0" fontId="8" fillId="0" borderId="0" xfId="0" applyFont="1" applyAlignment="1"/>
    <xf numFmtId="0" fontId="8" fillId="0" borderId="4" xfId="0" applyFont="1" applyBorder="1" applyAlignment="1">
      <alignment horizontal="center" vertical="top"/>
    </xf>
    <xf numFmtId="0" fontId="8" fillId="0" borderId="4" xfId="0" applyFont="1" applyBorder="1" applyAlignment="1">
      <alignment horizontal="center" vertical="center"/>
    </xf>
    <xf numFmtId="3" fontId="8" fillId="0" borderId="0" xfId="0" applyNumberFormat="1" applyFont="1" applyBorder="1"/>
    <xf numFmtId="3" fontId="16" fillId="0" borderId="0" xfId="0" applyNumberFormat="1" applyFont="1" applyFill="1" applyAlignment="1">
      <alignment vertical="center"/>
    </xf>
    <xf numFmtId="3" fontId="18" fillId="0" borderId="0" xfId="0" applyNumberFormat="1" applyFont="1" applyFill="1" applyAlignment="1">
      <alignment vertical="center"/>
    </xf>
    <xf numFmtId="3" fontId="16" fillId="0" borderId="0" xfId="0" applyNumberFormat="1" applyFont="1" applyFill="1" applyAlignment="1">
      <alignment horizontal="center" vertical="center"/>
    </xf>
    <xf numFmtId="3" fontId="16" fillId="0" borderId="0" xfId="0" applyNumberFormat="1" applyFont="1" applyFill="1" applyBorder="1" applyAlignment="1">
      <alignment vertical="center"/>
    </xf>
    <xf numFmtId="3" fontId="16" fillId="0" borderId="0" xfId="0" applyNumberFormat="1" applyFont="1" applyFill="1" applyAlignment="1"/>
    <xf numFmtId="3" fontId="16" fillId="0" borderId="0" xfId="0" applyNumberFormat="1" applyFont="1" applyFill="1" applyBorder="1" applyAlignment="1"/>
    <xf numFmtId="3" fontId="18" fillId="0" borderId="0" xfId="0" applyNumberFormat="1" applyFont="1" applyFill="1" applyBorder="1" applyAlignment="1">
      <alignment vertical="center"/>
    </xf>
    <xf numFmtId="3" fontId="16" fillId="0" borderId="0" xfId="0" applyNumberFormat="1" applyFont="1" applyFill="1" applyAlignment="1">
      <alignment vertical="top"/>
    </xf>
    <xf numFmtId="3" fontId="19" fillId="0" borderId="0" xfId="0" applyNumberFormat="1" applyFont="1" applyFill="1" applyAlignment="1">
      <alignment vertical="center"/>
    </xf>
    <xf numFmtId="3" fontId="19" fillId="0" borderId="0" xfId="0" applyNumberFormat="1" applyFont="1" applyFill="1" applyBorder="1" applyAlignment="1">
      <alignment vertical="center"/>
    </xf>
    <xf numFmtId="3" fontId="22" fillId="0" borderId="0" xfId="0" applyNumberFormat="1" applyFont="1" applyFill="1" applyBorder="1" applyAlignment="1">
      <alignment vertical="center"/>
    </xf>
    <xf numFmtId="3" fontId="16" fillId="0" borderId="0" xfId="0" applyNumberFormat="1" applyFont="1" applyFill="1" applyBorder="1" applyAlignment="1">
      <alignment horizontal="right" vertical="center"/>
    </xf>
    <xf numFmtId="3" fontId="12" fillId="0" borderId="0" xfId="0" applyNumberFormat="1" applyFont="1" applyFill="1" applyAlignment="1">
      <alignment horizontal="center" vertical="center"/>
    </xf>
    <xf numFmtId="3" fontId="16" fillId="0" borderId="0" xfId="0" applyNumberFormat="1" applyFont="1" applyFill="1" applyAlignment="1">
      <alignment horizontal="center" vertical="top"/>
    </xf>
    <xf numFmtId="3" fontId="8" fillId="0" borderId="0" xfId="0" applyNumberFormat="1" applyFont="1" applyFill="1"/>
    <xf numFmtId="3" fontId="8" fillId="0" borderId="0" xfId="17" applyNumberFormat="1" applyFont="1" applyFill="1"/>
    <xf numFmtId="3" fontId="8" fillId="0" borderId="0" xfId="17" applyNumberFormat="1" applyFont="1" applyFill="1" applyAlignment="1">
      <alignment horizontal="right"/>
    </xf>
    <xf numFmtId="3" fontId="8" fillId="0" borderId="0" xfId="17" applyNumberFormat="1" applyFont="1" applyFill="1" applyAlignment="1"/>
    <xf numFmtId="3" fontId="8" fillId="0" borderId="0" xfId="17" applyNumberFormat="1" applyFont="1" applyFill="1" applyAlignment="1">
      <alignment vertical="center"/>
    </xf>
    <xf numFmtId="3" fontId="8" fillId="0" borderId="0" xfId="17" applyNumberFormat="1" applyFont="1" applyFill="1" applyAlignment="1">
      <alignment horizontal="center" vertical="center"/>
    </xf>
    <xf numFmtId="3" fontId="10" fillId="0" borderId="0" xfId="17" applyNumberFormat="1" applyFont="1" applyFill="1"/>
    <xf numFmtId="3" fontId="8" fillId="0" borderId="0" xfId="17" applyNumberFormat="1" applyFont="1" applyFill="1" applyBorder="1" applyAlignment="1">
      <alignment horizontal="center"/>
    </xf>
    <xf numFmtId="3" fontId="8" fillId="0" borderId="0" xfId="17" applyNumberFormat="1" applyFont="1" applyFill="1" applyBorder="1"/>
    <xf numFmtId="3" fontId="10" fillId="0" borderId="0" xfId="17" applyNumberFormat="1" applyFont="1" applyFill="1" applyBorder="1" applyAlignment="1">
      <alignment horizontal="center"/>
    </xf>
    <xf numFmtId="3" fontId="10" fillId="0" borderId="0" xfId="17" applyNumberFormat="1" applyFont="1" applyFill="1" applyBorder="1"/>
    <xf numFmtId="3" fontId="11" fillId="0" borderId="0" xfId="17" applyNumberFormat="1" applyFont="1" applyFill="1"/>
    <xf numFmtId="3" fontId="10" fillId="0" borderId="0" xfId="17" applyNumberFormat="1" applyFont="1" applyFill="1" applyBorder="1" applyAlignment="1">
      <alignment vertical="center"/>
    </xf>
    <xf numFmtId="3" fontId="8" fillId="0" borderId="0" xfId="17" applyNumberFormat="1" applyFont="1" applyFill="1" applyBorder="1" applyAlignment="1">
      <alignment horizontal="left"/>
    </xf>
    <xf numFmtId="3" fontId="8" fillId="0" borderId="0" xfId="17" applyNumberFormat="1" applyFont="1" applyFill="1" applyAlignment="1">
      <alignment vertical="top"/>
    </xf>
    <xf numFmtId="49" fontId="8" fillId="0" borderId="0" xfId="17" applyNumberFormat="1" applyFont="1" applyFill="1" applyAlignment="1">
      <alignment horizontal="center"/>
    </xf>
    <xf numFmtId="3" fontId="10" fillId="0" borderId="0" xfId="17" applyNumberFormat="1" applyFont="1" applyFill="1" applyAlignment="1">
      <alignment horizontal="center"/>
    </xf>
    <xf numFmtId="3" fontId="8" fillId="0" borderId="0" xfId="17" applyNumberFormat="1" applyFont="1" applyFill="1" applyAlignment="1">
      <alignment horizontal="center"/>
    </xf>
    <xf numFmtId="3" fontId="16" fillId="0" borderId="0" xfId="0" applyNumberFormat="1" applyFont="1" applyFill="1" applyBorder="1" applyAlignment="1">
      <alignment horizontal="right"/>
    </xf>
    <xf numFmtId="3" fontId="12" fillId="0" borderId="0" xfId="18" applyNumberFormat="1" applyFont="1" applyFill="1" applyAlignment="1">
      <alignment horizontal="center" vertical="center"/>
    </xf>
    <xf numFmtId="0" fontId="8" fillId="0" borderId="0" xfId="0" applyFont="1" applyFill="1" applyAlignment="1"/>
    <xf numFmtId="0" fontId="8" fillId="0" borderId="0" xfId="0" applyFont="1" applyFill="1" applyAlignment="1">
      <alignment vertical="top"/>
    </xf>
    <xf numFmtId="0" fontId="12" fillId="0" borderId="0" xfId="0" applyFont="1" applyAlignment="1">
      <alignment horizontal="center"/>
    </xf>
    <xf numFmtId="0" fontId="12" fillId="0" borderId="0" xfId="0" applyFont="1" applyFill="1" applyAlignment="1">
      <alignment horizontal="center"/>
    </xf>
    <xf numFmtId="0" fontId="12" fillId="0" borderId="0" xfId="0" applyFont="1" applyFill="1" applyAlignment="1">
      <alignment vertical="center"/>
    </xf>
    <xf numFmtId="4" fontId="17" fillId="0" borderId="0" xfId="0" applyNumberFormat="1" applyFont="1" applyFill="1" applyAlignment="1">
      <alignment horizontal="center" vertical="center"/>
    </xf>
    <xf numFmtId="0" fontId="20" fillId="0" borderId="0" xfId="0" applyFont="1" applyFill="1"/>
    <xf numFmtId="0" fontId="8" fillId="0" borderId="0" xfId="0" applyFont="1" applyFill="1" applyBorder="1" applyAlignment="1">
      <alignment horizontal="center"/>
    </xf>
    <xf numFmtId="0" fontId="8" fillId="0" borderId="0" xfId="0" applyFont="1" applyFill="1"/>
    <xf numFmtId="0" fontId="8" fillId="0" borderId="0" xfId="0" applyFont="1" applyFill="1" applyBorder="1"/>
    <xf numFmtId="0" fontId="10" fillId="0" borderId="0" xfId="0" applyFont="1" applyFill="1" applyAlignment="1"/>
    <xf numFmtId="3" fontId="19" fillId="0" borderId="0" xfId="0" applyNumberFormat="1" applyFont="1" applyFill="1" applyBorder="1" applyAlignment="1">
      <alignment vertical="top"/>
    </xf>
    <xf numFmtId="3" fontId="19" fillId="0" borderId="0" xfId="0" applyNumberFormat="1" applyFont="1" applyFill="1" applyAlignment="1">
      <alignment vertical="top"/>
    </xf>
    <xf numFmtId="3" fontId="18" fillId="0" borderId="0" xfId="0" applyNumberFormat="1" applyFont="1" applyFill="1" applyAlignment="1">
      <alignment vertical="top"/>
    </xf>
    <xf numFmtId="3" fontId="19" fillId="0" borderId="0" xfId="0" applyNumberFormat="1" applyFont="1" applyFill="1" applyAlignment="1"/>
    <xf numFmtId="3" fontId="18" fillId="0" borderId="0" xfId="0" applyNumberFormat="1" applyFont="1" applyFill="1" applyBorder="1" applyAlignment="1">
      <alignment horizontal="right" vertical="center"/>
    </xf>
    <xf numFmtId="3" fontId="19" fillId="0" borderId="0" xfId="0" applyNumberFormat="1" applyFont="1" applyFill="1" applyAlignment="1">
      <alignment horizontal="right"/>
    </xf>
    <xf numFmtId="3" fontId="23" fillId="0" borderId="0" xfId="18" applyNumberFormat="1" applyFont="1" applyFill="1" applyAlignment="1">
      <alignment horizontal="center" vertical="center"/>
    </xf>
    <xf numFmtId="3" fontId="23" fillId="0" borderId="0" xfId="18" applyNumberFormat="1" applyFont="1" applyFill="1" applyAlignment="1">
      <alignment horizontal="center"/>
    </xf>
    <xf numFmtId="3" fontId="22" fillId="0" borderId="0" xfId="0" applyNumberFormat="1" applyFont="1" applyFill="1" applyBorder="1" applyAlignment="1">
      <alignment vertical="top"/>
    </xf>
    <xf numFmtId="0" fontId="12" fillId="0" borderId="0" xfId="20" applyFont="1" applyAlignment="1">
      <alignment horizontal="center" vertical="center"/>
    </xf>
    <xf numFmtId="0" fontId="8" fillId="0" borderId="0" xfId="20" applyFont="1" applyAlignment="1">
      <alignment vertical="center"/>
    </xf>
    <xf numFmtId="0" fontId="12" fillId="0" borderId="0" xfId="20" applyFont="1" applyAlignment="1">
      <alignment horizontal="center"/>
    </xf>
    <xf numFmtId="0" fontId="8" fillId="0" borderId="0" xfId="20" applyFont="1" applyAlignment="1"/>
    <xf numFmtId="0" fontId="10" fillId="0" borderId="0" xfId="20" applyFont="1" applyAlignment="1">
      <alignment vertical="center"/>
    </xf>
    <xf numFmtId="0" fontId="8" fillId="0" borderId="0" xfId="20" applyFont="1" applyAlignment="1">
      <alignment wrapText="1"/>
    </xf>
    <xf numFmtId="3" fontId="8" fillId="0" borderId="0" xfId="20" applyNumberFormat="1" applyFont="1"/>
    <xf numFmtId="0" fontId="8" fillId="0" borderId="0" xfId="20" applyFont="1"/>
    <xf numFmtId="3" fontId="16" fillId="0" borderId="0" xfId="0" applyNumberFormat="1" applyFont="1" applyFill="1" applyAlignment="1">
      <alignment horizontal="right" vertical="center"/>
    </xf>
    <xf numFmtId="0" fontId="8" fillId="0" borderId="0" xfId="0" applyFont="1" applyAlignment="1">
      <alignment vertical="top"/>
    </xf>
    <xf numFmtId="3" fontId="10" fillId="0" borderId="33" xfId="0" applyNumberFormat="1" applyFont="1" applyBorder="1" applyAlignment="1">
      <alignment horizontal="center" vertical="center" wrapText="1"/>
    </xf>
    <xf numFmtId="0" fontId="8" fillId="0" borderId="0" xfId="0" applyFont="1" applyBorder="1" applyAlignment="1"/>
    <xf numFmtId="3" fontId="8" fillId="0" borderId="19" xfId="0" applyNumberFormat="1" applyFont="1" applyBorder="1" applyAlignment="1"/>
    <xf numFmtId="0" fontId="8" fillId="0" borderId="0" xfId="0" applyFont="1" applyBorder="1" applyAlignment="1">
      <alignment horizontal="left" indent="2"/>
    </xf>
    <xf numFmtId="0" fontId="8" fillId="0" borderId="0" xfId="0" applyFont="1" applyBorder="1" applyAlignment="1">
      <alignment vertical="top"/>
    </xf>
    <xf numFmtId="3" fontId="11" fillId="0" borderId="19" xfId="0" applyNumberFormat="1" applyFont="1" applyBorder="1" applyAlignment="1">
      <alignment vertical="top"/>
    </xf>
    <xf numFmtId="0" fontId="8" fillId="0" borderId="0" xfId="0" applyFont="1" applyBorder="1" applyAlignment="1">
      <alignment vertical="center" wrapText="1"/>
    </xf>
    <xf numFmtId="3" fontId="11" fillId="0" borderId="19" xfId="0" applyNumberFormat="1" applyFont="1" applyBorder="1" applyAlignment="1">
      <alignment vertical="center"/>
    </xf>
    <xf numFmtId="3" fontId="10" fillId="0" borderId="32" xfId="0" applyNumberFormat="1" applyFont="1" applyBorder="1" applyAlignment="1">
      <alignment vertical="center"/>
    </xf>
    <xf numFmtId="0" fontId="8" fillId="0" borderId="0" xfId="0" applyFont="1" applyAlignment="1">
      <alignment horizontal="center" vertical="top"/>
    </xf>
    <xf numFmtId="0" fontId="8" fillId="0" borderId="0" xfId="0" applyFont="1" applyBorder="1"/>
    <xf numFmtId="0" fontId="8" fillId="0" borderId="0" xfId="0" applyFont="1" applyFill="1" applyBorder="1" applyAlignment="1">
      <alignment horizontal="center" vertical="center"/>
    </xf>
    <xf numFmtId="3" fontId="10" fillId="0" borderId="0" xfId="17" applyNumberFormat="1" applyFont="1" applyFill="1" applyBorder="1" applyAlignment="1">
      <alignment horizontal="left"/>
    </xf>
    <xf numFmtId="3" fontId="10" fillId="0" borderId="0" xfId="17" applyNumberFormat="1" applyFont="1" applyFill="1" applyAlignment="1">
      <alignment horizontal="left"/>
    </xf>
    <xf numFmtId="0" fontId="10" fillId="0" borderId="0" xfId="0" applyFont="1" applyFill="1"/>
    <xf numFmtId="0" fontId="8" fillId="0" borderId="0" xfId="0" applyFont="1" applyFill="1" applyAlignment="1">
      <alignment horizontal="center"/>
    </xf>
    <xf numFmtId="0" fontId="0" fillId="0" borderId="0" xfId="0" applyFont="1" applyFill="1"/>
    <xf numFmtId="0" fontId="27" fillId="0" borderId="0" xfId="0" applyFont="1" applyFill="1"/>
    <xf numFmtId="0" fontId="26" fillId="0" borderId="0" xfId="0" applyFont="1" applyFill="1"/>
    <xf numFmtId="0" fontId="0" fillId="0" borderId="0" xfId="0" applyFont="1" applyFill="1" applyAlignment="1"/>
    <xf numFmtId="3" fontId="12" fillId="0" borderId="0" xfId="0" applyNumberFormat="1" applyFont="1" applyFill="1" applyAlignment="1">
      <alignment horizontal="left" vertical="center"/>
    </xf>
    <xf numFmtId="3" fontId="19" fillId="0" borderId="0" xfId="0" applyNumberFormat="1" applyFont="1" applyFill="1" applyAlignment="1">
      <alignment horizontal="right" vertical="center"/>
    </xf>
    <xf numFmtId="3" fontId="16" fillId="0" borderId="0" xfId="0" applyNumberFormat="1" applyFont="1" applyFill="1" applyAlignment="1">
      <alignment horizontal="center"/>
    </xf>
    <xf numFmtId="3" fontId="16" fillId="0" borderId="0" xfId="0" applyNumberFormat="1" applyFont="1" applyFill="1" applyAlignment="1">
      <alignment horizontal="right"/>
    </xf>
    <xf numFmtId="3" fontId="16" fillId="0" borderId="0" xfId="0" applyNumberFormat="1" applyFont="1" applyFill="1"/>
    <xf numFmtId="3" fontId="19" fillId="0" borderId="0" xfId="0" applyNumberFormat="1" applyFont="1" applyFill="1" applyBorder="1" applyAlignment="1">
      <alignment horizontal="right" vertical="center"/>
    </xf>
    <xf numFmtId="3" fontId="16" fillId="0" borderId="0" xfId="0" applyNumberFormat="1" applyFont="1" applyFill="1" applyAlignment="1">
      <alignment horizontal="right" vertical="top"/>
    </xf>
    <xf numFmtId="3" fontId="18" fillId="0" borderId="0" xfId="0" applyNumberFormat="1" applyFont="1" applyFill="1" applyBorder="1" applyAlignment="1">
      <alignment horizontal="right"/>
    </xf>
    <xf numFmtId="3" fontId="19" fillId="0" borderId="0" xfId="0" applyNumberFormat="1" applyFont="1" applyFill="1" applyBorder="1" applyAlignment="1">
      <alignment horizontal="right" vertical="top"/>
    </xf>
    <xf numFmtId="0" fontId="29" fillId="0" borderId="0" xfId="0" applyFont="1" applyFill="1"/>
    <xf numFmtId="0" fontId="29" fillId="0" borderId="0" xfId="0" applyFont="1" applyFill="1" applyAlignment="1">
      <alignment vertical="center"/>
    </xf>
    <xf numFmtId="0" fontId="29" fillId="0" borderId="0" xfId="0" applyFont="1" applyFill="1" applyBorder="1" applyAlignment="1">
      <alignment vertical="center"/>
    </xf>
    <xf numFmtId="3" fontId="8" fillId="0" borderId="0" xfId="18" applyNumberFormat="1" applyFont="1" applyFill="1" applyBorder="1" applyAlignment="1">
      <alignment vertical="center" wrapText="1"/>
    </xf>
    <xf numFmtId="3" fontId="8" fillId="0" borderId="0" xfId="22" applyNumberFormat="1" applyFont="1"/>
    <xf numFmtId="3" fontId="8" fillId="0" borderId="0" xfId="22" applyNumberFormat="1" applyFont="1" applyAlignment="1">
      <alignment horizontal="center"/>
    </xf>
    <xf numFmtId="14" fontId="8" fillId="0" borderId="0" xfId="22" applyNumberFormat="1" applyFont="1" applyAlignment="1">
      <alignment horizontal="center"/>
    </xf>
    <xf numFmtId="0" fontId="8" fillId="0" borderId="0" xfId="0" applyFont="1" applyFill="1" applyAlignment="1">
      <alignment horizontal="right"/>
    </xf>
    <xf numFmtId="3" fontId="8" fillId="0" borderId="0" xfId="0" applyNumberFormat="1" applyFont="1" applyFill="1" applyAlignment="1">
      <alignment horizontal="right"/>
    </xf>
    <xf numFmtId="3" fontId="22" fillId="0" borderId="0" xfId="0" applyNumberFormat="1" applyFont="1" applyFill="1" applyAlignment="1">
      <alignment vertical="center"/>
    </xf>
    <xf numFmtId="3" fontId="22" fillId="0" borderId="0" xfId="0" applyNumberFormat="1" applyFont="1" applyFill="1" applyBorder="1" applyAlignment="1">
      <alignment horizontal="right" vertical="center"/>
    </xf>
    <xf numFmtId="3" fontId="22" fillId="0" borderId="0" xfId="0" applyNumberFormat="1" applyFont="1" applyFill="1" applyBorder="1" applyAlignment="1">
      <alignment horizontal="right" vertical="top"/>
    </xf>
    <xf numFmtId="0" fontId="17" fillId="0" borderId="0" xfId="0" applyFont="1" applyFill="1" applyAlignment="1">
      <alignment horizontal="center"/>
    </xf>
    <xf numFmtId="3" fontId="16" fillId="0" borderId="0" xfId="18" applyNumberFormat="1" applyFont="1" applyFill="1"/>
    <xf numFmtId="3" fontId="8" fillId="0" borderId="0" xfId="18" applyNumberFormat="1" applyFont="1" applyFill="1" applyBorder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74" xfId="24" applyFont="1" applyFill="1" applyBorder="1" applyAlignment="1">
      <alignment horizontal="center" vertical="center" wrapText="1"/>
    </xf>
    <xf numFmtId="0" fontId="8" fillId="0" borderId="24" xfId="27" applyFont="1" applyFill="1" applyBorder="1" applyAlignment="1">
      <alignment vertical="center" wrapText="1"/>
    </xf>
    <xf numFmtId="14" fontId="8" fillId="0" borderId="24" xfId="27" applyNumberFormat="1" applyFont="1" applyFill="1" applyBorder="1" applyAlignment="1">
      <alignment horizontal="center" vertical="center"/>
    </xf>
    <xf numFmtId="3" fontId="8" fillId="0" borderId="24" xfId="26" applyNumberFormat="1" applyFont="1" applyFill="1" applyBorder="1" applyAlignment="1">
      <alignment horizontal="right" vertical="center"/>
    </xf>
    <xf numFmtId="0" fontId="8" fillId="0" borderId="17" xfId="27" applyFont="1" applyFill="1" applyBorder="1" applyAlignment="1">
      <alignment horizontal="center" vertical="center" wrapText="1"/>
    </xf>
    <xf numFmtId="0" fontId="8" fillId="0" borderId="46" xfId="27" applyFont="1" applyFill="1" applyBorder="1" applyAlignment="1">
      <alignment horizontal="center" vertical="center" wrapText="1"/>
    </xf>
    <xf numFmtId="0" fontId="8" fillId="0" borderId="0" xfId="31" applyFont="1" applyFill="1" applyBorder="1"/>
    <xf numFmtId="0" fontId="8" fillId="0" borderId="0" xfId="31" applyFont="1" applyFill="1" applyBorder="1" applyAlignment="1">
      <alignment horizontal="center" vertical="center"/>
    </xf>
    <xf numFmtId="0" fontId="8" fillId="0" borderId="0" xfId="31" applyFont="1" applyFill="1" applyBorder="1" applyAlignment="1"/>
    <xf numFmtId="0" fontId="8" fillId="0" borderId="16" xfId="31" applyFont="1" applyFill="1" applyBorder="1" applyAlignment="1">
      <alignment horizontal="center" vertical="center"/>
    </xf>
    <xf numFmtId="0" fontId="8" fillId="0" borderId="17" xfId="21" applyFont="1" applyFill="1" applyBorder="1" applyAlignment="1">
      <alignment wrapText="1"/>
    </xf>
    <xf numFmtId="0" fontId="8" fillId="0" borderId="0" xfId="31" applyFont="1" applyFill="1" applyBorder="1" applyAlignment="1">
      <alignment vertical="center"/>
    </xf>
    <xf numFmtId="0" fontId="8" fillId="0" borderId="17" xfId="31" applyFont="1" applyFill="1" applyBorder="1" applyAlignment="1">
      <alignment vertical="center" wrapText="1"/>
    </xf>
    <xf numFmtId="0" fontId="10" fillId="0" borderId="0" xfId="31" applyFont="1" applyFill="1" applyBorder="1" applyAlignment="1">
      <alignment vertical="center"/>
    </xf>
    <xf numFmtId="0" fontId="8" fillId="0" borderId="0" xfId="0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 vertical="center"/>
    </xf>
    <xf numFmtId="3" fontId="10" fillId="0" borderId="0" xfId="0" applyNumberFormat="1" applyFont="1" applyFill="1" applyAlignment="1">
      <alignment horizontal="right" vertical="center"/>
    </xf>
    <xf numFmtId="0" fontId="29" fillId="0" borderId="0" xfId="0" applyFont="1" applyFill="1" applyAlignment="1">
      <alignment vertical="top"/>
    </xf>
    <xf numFmtId="3" fontId="8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horizontal="right" vertical="center"/>
    </xf>
    <xf numFmtId="3" fontId="29" fillId="0" borderId="0" xfId="0" applyNumberFormat="1" applyFont="1" applyFill="1" applyBorder="1" applyAlignment="1">
      <alignment vertical="center"/>
    </xf>
    <xf numFmtId="14" fontId="8" fillId="0" borderId="24" xfId="27" applyNumberFormat="1" applyFont="1" applyFill="1" applyBorder="1" applyAlignment="1">
      <alignment horizontal="center" vertical="center" wrapText="1"/>
    </xf>
    <xf numFmtId="0" fontId="8" fillId="0" borderId="0" xfId="27" applyFont="1" applyFill="1" applyAlignment="1">
      <alignment horizontal="center" vertical="center"/>
    </xf>
    <xf numFmtId="0" fontId="8" fillId="0" borderId="0" xfId="24" applyFont="1" applyFill="1" applyAlignment="1">
      <alignment horizontal="center"/>
    </xf>
    <xf numFmtId="0" fontId="8" fillId="0" borderId="0" xfId="27" applyFont="1" applyFill="1"/>
    <xf numFmtId="0" fontId="8" fillId="0" borderId="0" xfId="27" applyFont="1" applyFill="1" applyAlignment="1">
      <alignment vertical="center"/>
    </xf>
    <xf numFmtId="0" fontId="8" fillId="0" borderId="0" xfId="24" applyFont="1" applyFill="1" applyAlignment="1">
      <alignment horizontal="center" vertical="center"/>
    </xf>
    <xf numFmtId="0" fontId="8" fillId="0" borderId="0" xfId="25" applyFont="1" applyFill="1" applyAlignment="1">
      <alignment horizontal="center"/>
    </xf>
    <xf numFmtId="0" fontId="8" fillId="0" borderId="0" xfId="27" applyFont="1" applyFill="1" applyAlignment="1">
      <alignment horizontal="center"/>
    </xf>
    <xf numFmtId="0" fontId="8" fillId="0" borderId="27" xfId="27" applyFont="1" applyFill="1" applyBorder="1" applyAlignment="1">
      <alignment horizontal="center" vertical="top"/>
    </xf>
    <xf numFmtId="0" fontId="8" fillId="0" borderId="24" xfId="27" applyFont="1" applyFill="1" applyBorder="1" applyAlignment="1">
      <alignment horizontal="center" vertical="center" wrapText="1"/>
    </xf>
    <xf numFmtId="0" fontId="8" fillId="0" borderId="16" xfId="27" applyFont="1" applyFill="1" applyBorder="1" applyAlignment="1">
      <alignment horizontal="center" vertical="top"/>
    </xf>
    <xf numFmtId="0" fontId="8" fillId="0" borderId="17" xfId="27" applyFont="1" applyFill="1" applyBorder="1" applyAlignment="1">
      <alignment vertical="center" wrapText="1"/>
    </xf>
    <xf numFmtId="14" fontId="8" fillId="0" borderId="17" xfId="27" applyNumberFormat="1" applyFont="1" applyFill="1" applyBorder="1" applyAlignment="1">
      <alignment horizontal="center" vertical="center"/>
    </xf>
    <xf numFmtId="0" fontId="8" fillId="0" borderId="51" xfId="27" applyFont="1" applyFill="1" applyBorder="1" applyAlignment="1">
      <alignment horizontal="center" vertical="top"/>
    </xf>
    <xf numFmtId="0" fontId="8" fillId="0" borderId="46" xfId="27" applyFont="1" applyFill="1" applyBorder="1" applyAlignment="1">
      <alignment vertical="center" wrapText="1"/>
    </xf>
    <xf numFmtId="14" fontId="8" fillId="0" borderId="46" xfId="27" applyNumberFormat="1" applyFont="1" applyFill="1" applyBorder="1" applyAlignment="1">
      <alignment horizontal="center" vertical="center"/>
    </xf>
    <xf numFmtId="0" fontId="8" fillId="0" borderId="109" xfId="27" applyFont="1" applyFill="1" applyBorder="1" applyAlignment="1">
      <alignment horizontal="center" vertical="top"/>
    </xf>
    <xf numFmtId="0" fontId="8" fillId="0" borderId="110" xfId="27" applyFont="1" applyFill="1" applyBorder="1" applyAlignment="1">
      <alignment vertical="center" wrapText="1"/>
    </xf>
    <xf numFmtId="0" fontId="10" fillId="0" borderId="77" xfId="24" applyFont="1" applyFill="1" applyBorder="1" applyAlignment="1">
      <alignment horizontal="center" vertical="center"/>
    </xf>
    <xf numFmtId="3" fontId="10" fillId="0" borderId="76" xfId="27" applyNumberFormat="1" applyFont="1" applyFill="1" applyBorder="1" applyAlignment="1">
      <alignment vertical="center"/>
    </xf>
    <xf numFmtId="0" fontId="8" fillId="0" borderId="0" xfId="24" applyFont="1" applyFill="1"/>
    <xf numFmtId="0" fontId="10" fillId="0" borderId="0" xfId="20" applyFont="1" applyFill="1" applyAlignment="1">
      <alignment vertical="center"/>
    </xf>
    <xf numFmtId="0" fontId="8" fillId="0" borderId="0" xfId="20" applyFont="1" applyFill="1" applyAlignment="1">
      <alignment vertical="center"/>
    </xf>
    <xf numFmtId="1" fontId="24" fillId="0" borderId="0" xfId="18" applyNumberFormat="1" applyFont="1" applyFill="1" applyBorder="1" applyAlignment="1">
      <alignment horizontal="center" vertical="center"/>
    </xf>
    <xf numFmtId="3" fontId="8" fillId="0" borderId="0" xfId="31" applyNumberFormat="1" applyFont="1" applyFill="1" applyBorder="1" applyAlignment="1">
      <alignment vertical="center"/>
    </xf>
    <xf numFmtId="0" fontId="11" fillId="0" borderId="0" xfId="31" applyFont="1" applyFill="1" applyBorder="1" applyAlignment="1">
      <alignment horizontal="right" vertical="center"/>
    </xf>
    <xf numFmtId="0" fontId="8" fillId="0" borderId="6" xfId="31" applyFont="1" applyFill="1" applyBorder="1" applyAlignment="1">
      <alignment horizontal="center" vertical="center"/>
    </xf>
    <xf numFmtId="0" fontId="8" fillId="0" borderId="0" xfId="19" applyFont="1" applyFill="1" applyBorder="1" applyAlignment="1">
      <alignment vertical="center"/>
    </xf>
    <xf numFmtId="0" fontId="8" fillId="0" borderId="44" xfId="31" applyFont="1" applyFill="1" applyBorder="1" applyAlignment="1">
      <alignment horizontal="left" vertical="center" wrapText="1"/>
    </xf>
    <xf numFmtId="0" fontId="8" fillId="0" borderId="0" xfId="30" applyFont="1" applyFill="1" applyBorder="1" applyAlignment="1">
      <alignment vertical="center"/>
    </xf>
    <xf numFmtId="0" fontId="8" fillId="0" borderId="17" xfId="31" applyFont="1" applyFill="1" applyBorder="1" applyAlignment="1">
      <alignment horizontal="left" vertical="center" wrapText="1"/>
    </xf>
    <xf numFmtId="3" fontId="8" fillId="0" borderId="17" xfId="30" applyNumberFormat="1" applyFont="1" applyFill="1" applyBorder="1" applyAlignment="1">
      <alignment vertical="center"/>
    </xf>
    <xf numFmtId="3" fontId="8" fillId="0" borderId="17" xfId="31" applyNumberFormat="1" applyFont="1" applyFill="1" applyBorder="1" applyAlignment="1">
      <alignment vertical="center"/>
    </xf>
    <xf numFmtId="3" fontId="8" fillId="0" borderId="17" xfId="31" applyNumberFormat="1" applyFont="1" applyFill="1" applyBorder="1" applyAlignment="1">
      <alignment horizontal="right" vertical="center" wrapText="1"/>
    </xf>
    <xf numFmtId="3" fontId="10" fillId="0" borderId="120" xfId="31" applyNumberFormat="1" applyFont="1" applyFill="1" applyBorder="1" applyAlignment="1">
      <alignment horizontal="right" vertical="center" wrapText="1"/>
    </xf>
    <xf numFmtId="3" fontId="10" fillId="0" borderId="54" xfId="31" applyNumberFormat="1" applyFont="1" applyFill="1" applyBorder="1" applyAlignment="1">
      <alignment horizontal="right" vertical="center" wrapText="1"/>
    </xf>
    <xf numFmtId="0" fontId="8" fillId="0" borderId="0" xfId="31" applyFont="1" applyFill="1" applyBorder="1" applyAlignment="1">
      <alignment vertical="center" wrapText="1"/>
    </xf>
    <xf numFmtId="0" fontId="8" fillId="0" borderId="0" xfId="23" applyFont="1" applyFill="1" applyBorder="1" applyAlignment="1">
      <alignment horizontal="center" vertical="top"/>
    </xf>
    <xf numFmtId="0" fontId="10" fillId="0" borderId="0" xfId="23" applyFont="1" applyFill="1" applyBorder="1" applyAlignment="1">
      <alignment vertical="top"/>
    </xf>
    <xf numFmtId="0" fontId="8" fillId="0" borderId="0" xfId="23" applyFont="1" applyFill="1" applyBorder="1" applyAlignment="1">
      <alignment vertical="top"/>
    </xf>
    <xf numFmtId="0" fontId="8" fillId="0" borderId="0" xfId="23" applyFont="1" applyFill="1" applyBorder="1" applyAlignment="1"/>
    <xf numFmtId="0" fontId="8" fillId="0" borderId="0" xfId="23" applyFont="1" applyFill="1" applyBorder="1" applyAlignment="1">
      <alignment vertical="center"/>
    </xf>
    <xf numFmtId="0" fontId="8" fillId="0" borderId="0" xfId="23" applyFont="1" applyFill="1" applyBorder="1" applyAlignment="1">
      <alignment horizontal="center" vertical="center"/>
    </xf>
    <xf numFmtId="0" fontId="10" fillId="0" borderId="0" xfId="23" applyFont="1" applyFill="1" applyBorder="1" applyAlignment="1">
      <alignment horizontal="right" vertical="center"/>
    </xf>
    <xf numFmtId="0" fontId="10" fillId="0" borderId="0" xfId="23" applyFont="1" applyFill="1" applyBorder="1" applyAlignment="1">
      <alignment vertical="center"/>
    </xf>
    <xf numFmtId="3" fontId="8" fillId="0" borderId="0" xfId="23" applyNumberFormat="1" applyFont="1" applyFill="1" applyBorder="1" applyAlignment="1">
      <alignment horizontal="center"/>
    </xf>
    <xf numFmtId="3" fontId="18" fillId="0" borderId="0" xfId="18" applyNumberFormat="1" applyFont="1" applyFill="1" applyAlignment="1">
      <alignment horizontal="center" vertical="center"/>
    </xf>
    <xf numFmtId="3" fontId="16" fillId="0" borderId="0" xfId="18" applyNumberFormat="1" applyFont="1" applyFill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0" fillId="0" borderId="0" xfId="23" applyFont="1" applyFill="1" applyBorder="1" applyAlignment="1">
      <alignment horizontal="center" vertical="center"/>
    </xf>
    <xf numFmtId="0" fontId="8" fillId="0" borderId="0" xfId="23" applyFont="1" applyFill="1" applyBorder="1" applyAlignment="1">
      <alignment horizontal="center"/>
    </xf>
    <xf numFmtId="0" fontId="8" fillId="0" borderId="0" xfId="23" applyFont="1" applyFill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8" fillId="0" borderId="110" xfId="27" applyFont="1" applyFill="1" applyBorder="1" applyAlignment="1">
      <alignment horizontal="center" vertical="center" wrapText="1"/>
    </xf>
    <xf numFmtId="3" fontId="8" fillId="0" borderId="23" xfId="31" applyNumberFormat="1" applyFont="1" applyFill="1" applyBorder="1" applyAlignment="1">
      <alignment vertical="center"/>
    </xf>
    <xf numFmtId="3" fontId="8" fillId="0" borderId="0" xfId="12" applyNumberFormat="1" applyFont="1" applyFill="1" applyBorder="1" applyAlignment="1">
      <alignment horizontal="center" vertical="center"/>
    </xf>
    <xf numFmtId="3" fontId="8" fillId="0" borderId="0" xfId="12" applyNumberFormat="1" applyFont="1" applyFill="1" applyBorder="1" applyAlignment="1">
      <alignment horizontal="right"/>
    </xf>
    <xf numFmtId="0" fontId="8" fillId="0" borderId="0" xfId="12" applyFont="1" applyFill="1" applyBorder="1"/>
    <xf numFmtId="0" fontId="8" fillId="0" borderId="36" xfId="21" applyFont="1" applyFill="1" applyBorder="1" applyAlignment="1">
      <alignment wrapText="1"/>
    </xf>
    <xf numFmtId="3" fontId="8" fillId="0" borderId="44" xfId="30" applyNumberFormat="1" applyFont="1" applyFill="1" applyBorder="1" applyAlignment="1">
      <alignment vertical="center" wrapText="1"/>
    </xf>
    <xf numFmtId="3" fontId="8" fillId="0" borderId="120" xfId="30" applyNumberFormat="1" applyFont="1" applyFill="1" applyBorder="1" applyAlignment="1">
      <alignment vertical="center"/>
    </xf>
    <xf numFmtId="3" fontId="8" fillId="0" borderId="82" xfId="30" applyNumberFormat="1" applyFont="1" applyFill="1" applyBorder="1" applyAlignment="1">
      <alignment vertical="center"/>
    </xf>
    <xf numFmtId="3" fontId="8" fillId="0" borderId="23" xfId="30" applyNumberFormat="1" applyFont="1" applyFill="1" applyBorder="1" applyAlignment="1">
      <alignment vertical="center"/>
    </xf>
    <xf numFmtId="3" fontId="8" fillId="0" borderId="17" xfId="30" applyNumberFormat="1" applyFont="1" applyFill="1" applyBorder="1" applyAlignment="1">
      <alignment vertical="center" wrapText="1"/>
    </xf>
    <xf numFmtId="3" fontId="8" fillId="0" borderId="23" xfId="31" applyNumberFormat="1" applyFont="1" applyFill="1" applyBorder="1" applyAlignment="1">
      <alignment horizontal="right" vertical="center" wrapText="1"/>
    </xf>
    <xf numFmtId="0" fontId="8" fillId="0" borderId="46" xfId="31" applyFont="1" applyFill="1" applyBorder="1" applyAlignment="1">
      <alignment vertical="center" wrapText="1"/>
    </xf>
    <xf numFmtId="3" fontId="8" fillId="0" borderId="46" xfId="31" applyNumberFormat="1" applyFont="1" applyFill="1" applyBorder="1" applyAlignment="1">
      <alignment horizontal="right" vertical="center" wrapText="1"/>
    </xf>
    <xf numFmtId="0" fontId="8" fillId="0" borderId="17" xfId="31" applyFont="1" applyFill="1" applyBorder="1" applyAlignment="1">
      <alignment horizontal="left" vertical="top" wrapText="1"/>
    </xf>
    <xf numFmtId="3" fontId="8" fillId="0" borderId="130" xfId="30" applyNumberFormat="1" applyFont="1" applyFill="1" applyBorder="1" applyAlignment="1">
      <alignment vertical="center"/>
    </xf>
    <xf numFmtId="3" fontId="8" fillId="0" borderId="116" xfId="30" applyNumberFormat="1" applyFont="1" applyFill="1" applyBorder="1" applyAlignment="1">
      <alignment vertical="center"/>
    </xf>
    <xf numFmtId="3" fontId="8" fillId="0" borderId="116" xfId="31" applyNumberFormat="1" applyFont="1" applyFill="1" applyBorder="1" applyAlignment="1">
      <alignment vertical="center"/>
    </xf>
    <xf numFmtId="3" fontId="8" fillId="0" borderId="116" xfId="31" applyNumberFormat="1" applyFont="1" applyFill="1" applyBorder="1" applyAlignment="1">
      <alignment horizontal="right" vertical="center" wrapText="1"/>
    </xf>
    <xf numFmtId="3" fontId="8" fillId="0" borderId="131" xfId="31" applyNumberFormat="1" applyFont="1" applyFill="1" applyBorder="1" applyAlignment="1">
      <alignment horizontal="right" vertical="center" wrapText="1"/>
    </xf>
    <xf numFmtId="3" fontId="10" fillId="0" borderId="132" xfId="31" applyNumberFormat="1" applyFont="1" applyFill="1" applyBorder="1" applyAlignment="1">
      <alignment horizontal="right" vertical="center" wrapText="1"/>
    </xf>
    <xf numFmtId="3" fontId="10" fillId="0" borderId="133" xfId="31" applyNumberFormat="1" applyFont="1" applyFill="1" applyBorder="1" applyAlignment="1">
      <alignment horizontal="right" vertical="center" wrapText="1"/>
    </xf>
    <xf numFmtId="3" fontId="8" fillId="0" borderId="45" xfId="30" applyNumberFormat="1" applyFont="1" applyFill="1" applyBorder="1" applyAlignment="1">
      <alignment vertical="center"/>
    </xf>
    <xf numFmtId="3" fontId="8" fillId="0" borderId="18" xfId="30" applyNumberFormat="1" applyFont="1" applyFill="1" applyBorder="1" applyAlignment="1">
      <alignment vertical="center"/>
    </xf>
    <xf numFmtId="3" fontId="8" fillId="0" borderId="18" xfId="31" applyNumberFormat="1" applyFont="1" applyFill="1" applyBorder="1" applyAlignment="1">
      <alignment vertical="center"/>
    </xf>
    <xf numFmtId="3" fontId="8" fillId="0" borderId="18" xfId="31" applyNumberFormat="1" applyFont="1" applyFill="1" applyBorder="1" applyAlignment="1">
      <alignment horizontal="right" vertical="center" wrapText="1"/>
    </xf>
    <xf numFmtId="3" fontId="11" fillId="0" borderId="0" xfId="18" applyNumberFormat="1" applyFont="1" applyFill="1" applyAlignment="1">
      <alignment horizontal="center"/>
    </xf>
    <xf numFmtId="0" fontId="13" fillId="0" borderId="0" xfId="0" applyFont="1" applyFill="1" applyAlignment="1">
      <alignment vertical="center"/>
    </xf>
    <xf numFmtId="0" fontId="11" fillId="0" borderId="0" xfId="23" applyFont="1" applyFill="1" applyBorder="1" applyAlignment="1">
      <alignment horizontal="right" vertical="center" wrapText="1"/>
    </xf>
    <xf numFmtId="0" fontId="8" fillId="0" borderId="6" xfId="23" applyFont="1" applyFill="1" applyBorder="1" applyAlignment="1">
      <alignment horizontal="center"/>
    </xf>
    <xf numFmtId="2" fontId="10" fillId="0" borderId="12" xfId="23" applyNumberFormat="1" applyFont="1" applyFill="1" applyBorder="1" applyAlignment="1">
      <alignment horizontal="center" vertical="center" wrapText="1"/>
    </xf>
    <xf numFmtId="0" fontId="8" fillId="0" borderId="137" xfId="24" applyFont="1" applyFill="1" applyBorder="1" applyAlignment="1">
      <alignment horizontal="center" vertical="center" wrapText="1"/>
    </xf>
    <xf numFmtId="3" fontId="8" fillId="0" borderId="25" xfId="26" applyNumberFormat="1" applyFont="1" applyFill="1" applyBorder="1" applyAlignment="1">
      <alignment horizontal="right" vertical="center"/>
    </xf>
    <xf numFmtId="3" fontId="10" fillId="0" borderId="139" xfId="27" applyNumberFormat="1" applyFont="1" applyFill="1" applyBorder="1" applyAlignment="1">
      <alignment vertical="center"/>
    </xf>
    <xf numFmtId="0" fontId="10" fillId="0" borderId="0" xfId="31" applyFont="1" applyFill="1" applyBorder="1" applyAlignment="1">
      <alignment vertical="center" wrapText="1"/>
    </xf>
    <xf numFmtId="3" fontId="8" fillId="0" borderId="36" xfId="22" applyNumberFormat="1" applyFont="1" applyFill="1" applyBorder="1" applyAlignment="1">
      <alignment horizontal="left" vertical="center" wrapText="1"/>
    </xf>
    <xf numFmtId="3" fontId="8" fillId="0" borderId="0" xfId="0" applyNumberFormat="1" applyFont="1" applyFill="1" applyAlignment="1">
      <alignment vertical="center"/>
    </xf>
    <xf numFmtId="3" fontId="11" fillId="0" borderId="0" xfId="0" applyNumberFormat="1" applyFont="1" applyFill="1" applyAlignment="1">
      <alignment vertical="center"/>
    </xf>
    <xf numFmtId="3" fontId="10" fillId="0" borderId="0" xfId="0" applyNumberFormat="1" applyFont="1" applyFill="1" applyAlignment="1">
      <alignment vertical="center"/>
    </xf>
    <xf numFmtId="0" fontId="20" fillId="0" borderId="0" xfId="0" applyFont="1" applyFill="1" applyAlignment="1">
      <alignment horizontal="center" vertical="center"/>
    </xf>
    <xf numFmtId="3" fontId="16" fillId="0" borderId="0" xfId="31" applyNumberFormat="1" applyFont="1" applyFill="1" applyBorder="1" applyAlignment="1">
      <alignment horizontal="right"/>
    </xf>
    <xf numFmtId="0" fontId="16" fillId="0" borderId="0" xfId="31" applyFont="1" applyFill="1" applyBorder="1"/>
    <xf numFmtId="0" fontId="16" fillId="0" borderId="0" xfId="31" applyFont="1" applyFill="1" applyBorder="1" applyAlignment="1">
      <alignment horizontal="center" vertical="center"/>
    </xf>
    <xf numFmtId="0" fontId="16" fillId="0" borderId="0" xfId="31" applyFont="1" applyFill="1" applyBorder="1" applyAlignment="1">
      <alignment horizontal="center" vertical="top"/>
    </xf>
    <xf numFmtId="0" fontId="16" fillId="0" borderId="0" xfId="31" applyFont="1" applyFill="1" applyBorder="1" applyAlignment="1">
      <alignment wrapText="1"/>
    </xf>
    <xf numFmtId="3" fontId="16" fillId="0" borderId="0" xfId="31" applyNumberFormat="1" applyFont="1" applyFill="1" applyBorder="1" applyAlignment="1">
      <alignment horizontal="center" vertical="center" wrapText="1"/>
    </xf>
    <xf numFmtId="3" fontId="18" fillId="0" borderId="0" xfId="31" applyNumberFormat="1" applyFont="1" applyFill="1" applyBorder="1" applyAlignment="1">
      <alignment horizontal="right"/>
    </xf>
    <xf numFmtId="3" fontId="16" fillId="0" borderId="0" xfId="31" applyNumberFormat="1" applyFont="1" applyFill="1" applyBorder="1" applyAlignment="1">
      <alignment horizontal="right" vertical="center"/>
    </xf>
    <xf numFmtId="0" fontId="12" fillId="0" borderId="0" xfId="12" applyFont="1" applyFill="1" applyBorder="1" applyAlignment="1">
      <alignment horizontal="center" vertical="center"/>
    </xf>
    <xf numFmtId="0" fontId="12" fillId="0" borderId="0" xfId="31" applyFont="1" applyFill="1" applyBorder="1" applyAlignment="1">
      <alignment horizontal="center" vertical="center"/>
    </xf>
    <xf numFmtId="0" fontId="16" fillId="0" borderId="0" xfId="31" applyFont="1" applyFill="1" applyBorder="1" applyAlignment="1">
      <alignment vertical="center"/>
    </xf>
    <xf numFmtId="3" fontId="16" fillId="0" borderId="123" xfId="22" applyNumberFormat="1" applyFont="1" applyBorder="1" applyAlignment="1">
      <alignment horizontal="left" vertical="center" wrapText="1"/>
    </xf>
    <xf numFmtId="0" fontId="16" fillId="2" borderId="0" xfId="31" applyFont="1" applyFill="1" applyBorder="1" applyAlignment="1">
      <alignment vertical="center"/>
    </xf>
    <xf numFmtId="3" fontId="16" fillId="0" borderId="0" xfId="31" applyNumberFormat="1" applyFont="1" applyFill="1" applyBorder="1" applyAlignment="1">
      <alignment vertical="center"/>
    </xf>
    <xf numFmtId="0" fontId="16" fillId="0" borderId="0" xfId="31" applyFont="1" applyFill="1" applyBorder="1" applyAlignment="1">
      <alignment horizontal="center"/>
    </xf>
    <xf numFmtId="3" fontId="8" fillId="0" borderId="0" xfId="12" applyNumberFormat="1" applyFont="1" applyFill="1" applyBorder="1" applyAlignment="1">
      <alignment horizontal="center"/>
    </xf>
    <xf numFmtId="0" fontId="8" fillId="0" borderId="0" xfId="12" applyFont="1" applyFill="1" applyBorder="1" applyAlignment="1"/>
    <xf numFmtId="3" fontId="8" fillId="0" borderId="0" xfId="31" applyNumberFormat="1" applyFont="1" applyFill="1" applyBorder="1" applyAlignment="1">
      <alignment horizontal="center" wrapText="1"/>
    </xf>
    <xf numFmtId="0" fontId="10" fillId="0" borderId="0" xfId="31" applyFont="1" applyFill="1" applyBorder="1" applyAlignment="1"/>
    <xf numFmtId="3" fontId="10" fillId="0" borderId="0" xfId="31" applyNumberFormat="1" applyFont="1" applyFill="1" applyBorder="1" applyAlignment="1">
      <alignment horizontal="right"/>
    </xf>
    <xf numFmtId="3" fontId="8" fillId="0" borderId="0" xfId="20" applyNumberFormat="1" applyFont="1" applyAlignment="1">
      <alignment horizontal="right" vertical="center"/>
    </xf>
    <xf numFmtId="0" fontId="16" fillId="0" borderId="0" xfId="0" applyFont="1" applyFill="1"/>
    <xf numFmtId="0" fontId="12" fillId="0" borderId="0" xfId="0" applyFont="1" applyFill="1"/>
    <xf numFmtId="0" fontId="16" fillId="0" borderId="0" xfId="0" applyFont="1" applyAlignment="1">
      <alignment wrapText="1"/>
    </xf>
    <xf numFmtId="3" fontId="16" fillId="0" borderId="0" xfId="0" applyNumberFormat="1" applyFont="1"/>
    <xf numFmtId="3" fontId="18" fillId="0" borderId="0" xfId="0" applyNumberFormat="1" applyFont="1" applyAlignment="1">
      <alignment horizontal="right"/>
    </xf>
    <xf numFmtId="3" fontId="16" fillId="0" borderId="0" xfId="0" applyNumberFormat="1" applyFont="1" applyAlignment="1">
      <alignment horizontal="right"/>
    </xf>
    <xf numFmtId="0" fontId="16" fillId="0" borderId="0" xfId="0" applyFont="1"/>
    <xf numFmtId="3" fontId="37" fillId="0" borderId="0" xfId="0" applyNumberFormat="1" applyFont="1" applyFill="1" applyAlignment="1">
      <alignment vertical="center"/>
    </xf>
    <xf numFmtId="0" fontId="39" fillId="0" borderId="0" xfId="0" applyFont="1" applyFill="1"/>
    <xf numFmtId="3" fontId="37" fillId="0" borderId="0" xfId="0" applyNumberFormat="1" applyFont="1" applyFill="1" applyAlignment="1">
      <alignment vertical="top"/>
    </xf>
    <xf numFmtId="3" fontId="37" fillId="0" borderId="0" xfId="0" applyNumberFormat="1" applyFont="1" applyFill="1" applyAlignment="1"/>
    <xf numFmtId="3" fontId="38" fillId="0" borderId="0" xfId="0" applyNumberFormat="1" applyFont="1" applyFill="1" applyAlignment="1">
      <alignment vertical="top"/>
    </xf>
    <xf numFmtId="3" fontId="38" fillId="0" borderId="0" xfId="0" applyNumberFormat="1" applyFont="1" applyFill="1" applyAlignment="1">
      <alignment vertical="center"/>
    </xf>
    <xf numFmtId="0" fontId="40" fillId="0" borderId="0" xfId="0" applyFont="1" applyFill="1"/>
    <xf numFmtId="3" fontId="37" fillId="0" borderId="0" xfId="0" applyNumberFormat="1" applyFont="1" applyFill="1" applyBorder="1" applyAlignment="1">
      <alignment horizontal="right" vertical="center"/>
    </xf>
    <xf numFmtId="3" fontId="37" fillId="0" borderId="0" xfId="0" applyNumberFormat="1" applyFont="1" applyFill="1" applyBorder="1" applyAlignment="1">
      <alignment vertical="center"/>
    </xf>
    <xf numFmtId="3" fontId="37" fillId="0" borderId="0" xfId="0" applyNumberFormat="1" applyFont="1" applyFill="1" applyBorder="1" applyAlignment="1">
      <alignment horizontal="right"/>
    </xf>
    <xf numFmtId="3" fontId="37" fillId="0" borderId="0" xfId="0" applyNumberFormat="1" applyFont="1" applyFill="1" applyBorder="1" applyAlignment="1"/>
    <xf numFmtId="3" fontId="37" fillId="0" borderId="0" xfId="0" applyNumberFormat="1" applyFont="1" applyFill="1" applyAlignment="1">
      <alignment horizontal="right"/>
    </xf>
    <xf numFmtId="3" fontId="38" fillId="0" borderId="0" xfId="0" applyNumberFormat="1" applyFont="1" applyFill="1" applyBorder="1" applyAlignment="1">
      <alignment horizontal="right" vertical="center"/>
    </xf>
    <xf numFmtId="3" fontId="38" fillId="0" borderId="0" xfId="0" applyNumberFormat="1" applyFont="1" applyFill="1" applyBorder="1" applyAlignment="1">
      <alignment vertical="center"/>
    </xf>
    <xf numFmtId="3" fontId="37" fillId="0" borderId="0" xfId="0" applyNumberFormat="1" applyFont="1" applyFill="1" applyAlignment="1">
      <alignment horizontal="right" vertical="center"/>
    </xf>
    <xf numFmtId="3" fontId="12" fillId="0" borderId="0" xfId="17" applyNumberFormat="1" applyFont="1" applyFill="1" applyAlignment="1">
      <alignment horizontal="center" vertical="center"/>
    </xf>
    <xf numFmtId="3" fontId="16" fillId="0" borderId="0" xfId="18" applyNumberFormat="1" applyFont="1" applyFill="1" applyAlignment="1">
      <alignment horizontal="right"/>
    </xf>
    <xf numFmtId="3" fontId="8" fillId="0" borderId="0" xfId="31" applyNumberFormat="1" applyFont="1" applyFill="1" applyBorder="1" applyAlignment="1">
      <alignment horizontal="right"/>
    </xf>
    <xf numFmtId="0" fontId="8" fillId="0" borderId="0" xfId="31" applyFont="1" applyFill="1" applyBorder="1" applyAlignment="1">
      <alignment horizontal="center"/>
    </xf>
    <xf numFmtId="3" fontId="8" fillId="0" borderId="0" xfId="31" applyNumberFormat="1" applyFont="1" applyFill="1" applyBorder="1" applyAlignment="1" applyProtection="1">
      <alignment horizontal="right"/>
      <protection locked="0"/>
    </xf>
    <xf numFmtId="0" fontId="8" fillId="0" borderId="0" xfId="31" applyFont="1" applyFill="1" applyBorder="1" applyProtection="1">
      <protection locked="0"/>
    </xf>
    <xf numFmtId="0" fontId="8" fillId="0" borderId="0" xfId="31" applyFont="1" applyFill="1" applyBorder="1" applyAlignment="1" applyProtection="1">
      <alignment horizontal="center" vertical="center"/>
      <protection locked="0"/>
    </xf>
    <xf numFmtId="0" fontId="16" fillId="0" borderId="0" xfId="31" applyFont="1" applyFill="1" applyBorder="1" applyAlignment="1" applyProtection="1">
      <alignment horizontal="center" vertical="center"/>
      <protection locked="0"/>
    </xf>
    <xf numFmtId="0" fontId="16" fillId="0" borderId="0" xfId="31" applyFont="1" applyFill="1" applyBorder="1" applyAlignment="1" applyProtection="1">
      <alignment horizontal="center" vertical="top"/>
      <protection locked="0"/>
    </xf>
    <xf numFmtId="0" fontId="16" fillId="0" borderId="0" xfId="31" applyFont="1" applyFill="1" applyBorder="1" applyAlignment="1" applyProtection="1">
      <alignment wrapText="1"/>
      <protection locked="0"/>
    </xf>
    <xf numFmtId="3" fontId="16" fillId="0" borderId="0" xfId="31" applyNumberFormat="1" applyFont="1" applyFill="1" applyBorder="1" applyAlignment="1" applyProtection="1">
      <alignment horizontal="center" vertical="center" wrapText="1"/>
      <protection locked="0"/>
    </xf>
    <xf numFmtId="3" fontId="16" fillId="0" borderId="0" xfId="31" applyNumberFormat="1" applyFont="1" applyFill="1" applyBorder="1" applyAlignment="1" applyProtection="1">
      <alignment horizontal="right"/>
      <protection locked="0"/>
    </xf>
    <xf numFmtId="0" fontId="16" fillId="0" borderId="0" xfId="31" applyFont="1" applyFill="1" applyBorder="1" applyProtection="1">
      <protection locked="0"/>
    </xf>
    <xf numFmtId="0" fontId="12" fillId="0" borderId="0" xfId="31" applyFont="1" applyFill="1" applyBorder="1" applyAlignment="1" applyProtection="1">
      <alignment horizontal="center"/>
      <protection locked="0"/>
    </xf>
    <xf numFmtId="0" fontId="12" fillId="0" borderId="0" xfId="0" applyFont="1" applyFill="1" applyAlignment="1" applyProtection="1">
      <protection locked="0"/>
    </xf>
    <xf numFmtId="0" fontId="12" fillId="0" borderId="0" xfId="31" applyFont="1" applyFill="1" applyBorder="1" applyAlignment="1" applyProtection="1">
      <alignment horizontal="center" vertical="center"/>
      <protection locked="0"/>
    </xf>
    <xf numFmtId="0" fontId="16" fillId="0" borderId="0" xfId="31" applyFont="1" applyFill="1" applyBorder="1" applyAlignment="1" applyProtection="1">
      <alignment horizontal="left"/>
      <protection locked="0"/>
    </xf>
    <xf numFmtId="0" fontId="16" fillId="0" borderId="0" xfId="31" applyFont="1" applyFill="1" applyBorder="1" applyAlignment="1" applyProtection="1">
      <protection locked="0"/>
    </xf>
    <xf numFmtId="0" fontId="19" fillId="0" borderId="0" xfId="31" applyFont="1" applyFill="1" applyBorder="1" applyAlignment="1" applyProtection="1">
      <alignment horizontal="left" vertical="center"/>
      <protection locked="0"/>
    </xf>
    <xf numFmtId="3" fontId="16" fillId="0" borderId="0" xfId="31" applyNumberFormat="1" applyFont="1" applyFill="1" applyBorder="1" applyAlignment="1" applyProtection="1">
      <alignment horizontal="right" vertical="center"/>
      <protection locked="0"/>
    </xf>
    <xf numFmtId="1" fontId="16" fillId="0" borderId="0" xfId="18" applyNumberFormat="1" applyFont="1" applyFill="1" applyBorder="1" applyAlignment="1">
      <alignment horizontal="center" vertical="center"/>
    </xf>
    <xf numFmtId="1" fontId="8" fillId="0" borderId="0" xfId="18" applyNumberFormat="1" applyFont="1" applyFill="1" applyBorder="1" applyAlignment="1">
      <alignment horizontal="center" vertical="center"/>
    </xf>
    <xf numFmtId="3" fontId="8" fillId="0" borderId="0" xfId="18" applyNumberFormat="1" applyFont="1" applyFill="1" applyAlignment="1">
      <alignment horizontal="right"/>
    </xf>
    <xf numFmtId="3" fontId="16" fillId="0" borderId="0" xfId="18" applyNumberFormat="1" applyFont="1" applyFill="1" applyAlignment="1">
      <alignment horizontal="center"/>
    </xf>
    <xf numFmtId="3" fontId="16" fillId="0" borderId="0" xfId="18" applyNumberFormat="1" applyFont="1" applyFill="1" applyAlignment="1">
      <alignment horizontal="center" vertical="top"/>
    </xf>
    <xf numFmtId="0" fontId="19" fillId="0" borderId="0" xfId="18" applyFont="1" applyFill="1" applyBorder="1" applyAlignment="1">
      <alignment vertical="top" wrapText="1"/>
    </xf>
    <xf numFmtId="3" fontId="16" fillId="0" borderId="0" xfId="18" applyNumberFormat="1" applyFont="1" applyFill="1" applyAlignment="1"/>
    <xf numFmtId="0" fontId="16" fillId="0" borderId="0" xfId="18" applyFont="1" applyFill="1" applyBorder="1" applyAlignment="1">
      <alignment horizontal="center"/>
    </xf>
    <xf numFmtId="3" fontId="19" fillId="0" borderId="0" xfId="18" applyNumberFormat="1" applyFont="1" applyFill="1" applyAlignment="1"/>
    <xf numFmtId="3" fontId="16" fillId="0" borderId="0" xfId="31" applyNumberFormat="1" applyFont="1" applyFill="1" applyBorder="1" applyAlignment="1" applyProtection="1">
      <protection locked="0"/>
    </xf>
    <xf numFmtId="0" fontId="16" fillId="0" borderId="0" xfId="18" applyNumberFormat="1" applyFont="1" applyFill="1" applyBorder="1" applyAlignment="1">
      <alignment horizontal="center" vertical="center"/>
    </xf>
    <xf numFmtId="0" fontId="8" fillId="0" borderId="0" xfId="18" applyNumberFormat="1" applyFont="1" applyFill="1" applyBorder="1" applyAlignment="1">
      <alignment horizontal="center" vertical="center"/>
    </xf>
    <xf numFmtId="3" fontId="8" fillId="0" borderId="0" xfId="18" applyNumberFormat="1" applyFont="1" applyFill="1" applyAlignment="1">
      <alignment vertical="top"/>
    </xf>
    <xf numFmtId="3" fontId="8" fillId="0" borderId="0" xfId="18" applyNumberFormat="1" applyFont="1" applyFill="1" applyAlignment="1">
      <alignment horizontal="right" vertical="top"/>
    </xf>
    <xf numFmtId="0" fontId="7" fillId="0" borderId="0" xfId="0" applyFont="1" applyFill="1" applyAlignment="1"/>
    <xf numFmtId="0" fontId="16" fillId="0" borderId="0" xfId="31" applyFont="1" applyFill="1" applyBorder="1" applyAlignment="1"/>
    <xf numFmtId="3" fontId="16" fillId="0" borderId="0" xfId="31" applyNumberFormat="1" applyFont="1" applyFill="1" applyBorder="1" applyAlignment="1">
      <alignment horizontal="center" wrapText="1"/>
    </xf>
    <xf numFmtId="3" fontId="19" fillId="0" borderId="0" xfId="31" applyNumberFormat="1" applyFont="1" applyFill="1" applyBorder="1" applyAlignment="1">
      <alignment horizontal="right"/>
    </xf>
    <xf numFmtId="0" fontId="12" fillId="0" borderId="0" xfId="31" applyFont="1" applyFill="1" applyBorder="1" applyAlignment="1">
      <alignment horizontal="center"/>
    </xf>
    <xf numFmtId="0" fontId="12" fillId="0" borderId="0" xfId="0" applyFont="1" applyFill="1" applyAlignment="1"/>
    <xf numFmtId="0" fontId="41" fillId="0" borderId="0" xfId="31" applyFont="1" applyFill="1" applyBorder="1" applyAlignment="1"/>
    <xf numFmtId="0" fontId="12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4" fontId="8" fillId="0" borderId="0" xfId="0" applyNumberFormat="1" applyFont="1" applyFill="1" applyAlignment="1">
      <alignment horizontal="center" vertical="center"/>
    </xf>
    <xf numFmtId="3" fontId="16" fillId="0" borderId="0" xfId="22" applyNumberFormat="1" applyFont="1"/>
    <xf numFmtId="3" fontId="16" fillId="0" borderId="0" xfId="22" applyNumberFormat="1" applyFont="1" applyAlignment="1">
      <alignment horizontal="center"/>
    </xf>
    <xf numFmtId="3" fontId="16" fillId="0" borderId="0" xfId="22" applyNumberFormat="1" applyFont="1" applyAlignment="1">
      <alignment horizontal="left" wrapText="1"/>
    </xf>
    <xf numFmtId="14" fontId="16" fillId="0" borderId="0" xfId="22" applyNumberFormat="1" applyFont="1" applyAlignment="1">
      <alignment horizontal="center"/>
    </xf>
    <xf numFmtId="3" fontId="12" fillId="0" borderId="6" xfId="0" applyNumberFormat="1" applyFont="1" applyBorder="1" applyAlignment="1">
      <alignment horizontal="center"/>
    </xf>
    <xf numFmtId="0" fontId="12" fillId="0" borderId="0" xfId="0" applyFont="1" applyAlignment="1"/>
    <xf numFmtId="0" fontId="42" fillId="0" borderId="0" xfId="31" applyFont="1" applyFill="1" applyBorder="1" applyAlignment="1"/>
    <xf numFmtId="3" fontId="8" fillId="0" borderId="0" xfId="31" applyNumberFormat="1" applyFont="1" applyFill="1" applyBorder="1" applyAlignment="1">
      <alignment horizontal="right"/>
    </xf>
    <xf numFmtId="0" fontId="10" fillId="0" borderId="0" xfId="0" applyFont="1" applyFill="1" applyAlignment="1">
      <alignment horizontal="center" vertical="center"/>
    </xf>
    <xf numFmtId="0" fontId="8" fillId="0" borderId="0" xfId="0" applyFont="1" applyAlignment="1">
      <alignment horizontal="left" vertical="top"/>
    </xf>
    <xf numFmtId="3" fontId="8" fillId="0" borderId="19" xfId="0" applyNumberFormat="1" applyFont="1" applyBorder="1"/>
    <xf numFmtId="3" fontId="8" fillId="0" borderId="63" xfId="0" applyNumberFormat="1" applyFont="1" applyBorder="1"/>
    <xf numFmtId="3" fontId="11" fillId="0" borderId="19" xfId="0" applyNumberFormat="1" applyFont="1" applyFill="1" applyBorder="1" applyAlignment="1">
      <alignment vertical="center"/>
    </xf>
    <xf numFmtId="0" fontId="16" fillId="0" borderId="0" xfId="31" applyFont="1" applyFill="1" applyBorder="1" applyAlignment="1" applyProtection="1">
      <alignment vertical="top"/>
      <protection locked="0"/>
    </xf>
    <xf numFmtId="0" fontId="8" fillId="0" borderId="0" xfId="38" applyFont="1" applyFill="1" applyBorder="1" applyAlignment="1" applyProtection="1">
      <alignment horizontal="center" vertical="center"/>
      <protection locked="0"/>
    </xf>
    <xf numFmtId="3" fontId="8" fillId="0" borderId="0" xfId="38" applyNumberFormat="1" applyFont="1" applyFill="1" applyBorder="1" applyAlignment="1" applyProtection="1">
      <alignment horizontal="center" vertical="center"/>
      <protection locked="0"/>
    </xf>
    <xf numFmtId="3" fontId="8" fillId="0" borderId="0" xfId="38" applyNumberFormat="1" applyFont="1" applyFill="1" applyBorder="1" applyAlignment="1" applyProtection="1">
      <protection locked="0"/>
    </xf>
    <xf numFmtId="3" fontId="8" fillId="0" borderId="0" xfId="38" applyNumberFormat="1" applyFont="1" applyFill="1" applyBorder="1" applyAlignment="1" applyProtection="1">
      <alignment horizontal="right"/>
      <protection locked="0"/>
    </xf>
    <xf numFmtId="0" fontId="8" fillId="0" borderId="0" xfId="38" applyFont="1" applyFill="1" applyBorder="1" applyProtection="1">
      <protection locked="0"/>
    </xf>
    <xf numFmtId="3" fontId="8" fillId="0" borderId="17" xfId="39" applyNumberFormat="1" applyFont="1" applyFill="1" applyBorder="1" applyAlignment="1">
      <alignment horizontal="right" vertical="center"/>
    </xf>
    <xf numFmtId="3" fontId="8" fillId="0" borderId="18" xfId="39" applyNumberFormat="1" applyFont="1" applyFill="1" applyBorder="1" applyAlignment="1">
      <alignment horizontal="right" vertical="center"/>
    </xf>
    <xf numFmtId="3" fontId="8" fillId="0" borderId="46" xfId="39" applyNumberFormat="1" applyFont="1" applyFill="1" applyBorder="1" applyAlignment="1">
      <alignment horizontal="right" vertical="center"/>
    </xf>
    <xf numFmtId="3" fontId="8" fillId="0" borderId="47" xfId="39" applyNumberFormat="1" applyFont="1" applyFill="1" applyBorder="1" applyAlignment="1">
      <alignment horizontal="right" vertical="center"/>
    </xf>
    <xf numFmtId="14" fontId="8" fillId="0" borderId="110" xfId="27" applyNumberFormat="1" applyFont="1" applyFill="1" applyBorder="1" applyAlignment="1">
      <alignment horizontal="center" vertical="center"/>
    </xf>
    <xf numFmtId="3" fontId="8" fillId="0" borderId="110" xfId="39" applyNumberFormat="1" applyFont="1" applyFill="1" applyBorder="1" applyAlignment="1">
      <alignment horizontal="right" vertical="center"/>
    </xf>
    <xf numFmtId="3" fontId="8" fillId="0" borderId="138" xfId="39" applyNumberFormat="1" applyFont="1" applyFill="1" applyBorder="1" applyAlignment="1">
      <alignment horizontal="right" vertical="center"/>
    </xf>
    <xf numFmtId="0" fontId="10" fillId="0" borderId="0" xfId="23" applyFont="1" applyFill="1" applyBorder="1" applyAlignment="1">
      <alignment horizontal="center" vertical="center"/>
    </xf>
    <xf numFmtId="3" fontId="8" fillId="0" borderId="0" xfId="22" applyNumberFormat="1" applyFont="1" applyAlignment="1">
      <alignment horizontal="left" wrapText="1"/>
    </xf>
    <xf numFmtId="0" fontId="8" fillId="0" borderId="0" xfId="0" applyFont="1" applyFill="1" applyBorder="1" applyAlignment="1">
      <alignment horizontal="left" vertical="top"/>
    </xf>
    <xf numFmtId="0" fontId="35" fillId="0" borderId="0" xfId="30" applyFont="1" applyFill="1" applyBorder="1" applyAlignment="1">
      <alignment vertical="center"/>
    </xf>
    <xf numFmtId="3" fontId="10" fillId="0" borderId="17" xfId="30" applyNumberFormat="1" applyFont="1" applyFill="1" applyBorder="1" applyAlignment="1">
      <alignment vertical="center" wrapText="1"/>
    </xf>
    <xf numFmtId="0" fontId="8" fillId="0" borderId="0" xfId="42" applyFont="1" applyFill="1" applyBorder="1" applyAlignment="1">
      <alignment horizontal="left" vertical="center"/>
    </xf>
    <xf numFmtId="0" fontId="36" fillId="0" borderId="0" xfId="0" applyFont="1" applyAlignment="1">
      <alignment horizontal="center" vertical="center"/>
    </xf>
    <xf numFmtId="0" fontId="48" fillId="0" borderId="32" xfId="0" applyFont="1" applyBorder="1" applyAlignment="1">
      <alignment horizontal="center" vertical="center" wrapText="1"/>
    </xf>
    <xf numFmtId="0" fontId="36" fillId="0" borderId="5" xfId="0" applyFont="1" applyBorder="1" applyAlignment="1">
      <alignment horizontal="left" vertical="center" wrapText="1"/>
    </xf>
    <xf numFmtId="0" fontId="36" fillId="0" borderId="20" xfId="0" applyFont="1" applyBorder="1" applyAlignment="1">
      <alignment horizontal="left" vertical="center" wrapText="1"/>
    </xf>
    <xf numFmtId="0" fontId="36" fillId="0" borderId="4" xfId="0" applyFont="1" applyBorder="1" applyAlignment="1">
      <alignment horizontal="left" vertical="center" wrapText="1"/>
    </xf>
    <xf numFmtId="0" fontId="36" fillId="0" borderId="19" xfId="0" applyFont="1" applyBorder="1" applyAlignment="1">
      <alignment horizontal="left" vertical="center" wrapText="1"/>
    </xf>
    <xf numFmtId="0" fontId="49" fillId="0" borderId="4" xfId="0" applyFont="1" applyBorder="1" applyAlignment="1">
      <alignment horizontal="left" vertical="center" wrapText="1"/>
    </xf>
    <xf numFmtId="0" fontId="49" fillId="0" borderId="19" xfId="0" applyFont="1" applyBorder="1" applyAlignment="1">
      <alignment horizontal="left" vertical="center" wrapText="1"/>
    </xf>
    <xf numFmtId="0" fontId="49" fillId="0" borderId="5" xfId="0" applyFont="1" applyBorder="1" applyAlignment="1">
      <alignment horizontal="left" vertical="center" wrapText="1"/>
    </xf>
    <xf numFmtId="0" fontId="49" fillId="0" borderId="20" xfId="0" applyFont="1" applyBorder="1" applyAlignment="1">
      <alignment horizontal="left" vertical="center" wrapText="1"/>
    </xf>
    <xf numFmtId="3" fontId="48" fillId="0" borderId="20" xfId="0" applyNumberFormat="1" applyFont="1" applyBorder="1" applyAlignment="1">
      <alignment horizontal="right" vertical="center" wrapText="1"/>
    </xf>
    <xf numFmtId="3" fontId="48" fillId="0" borderId="20" xfId="0" applyNumberFormat="1" applyFont="1" applyBorder="1" applyAlignment="1">
      <alignment horizontal="right" vertical="center"/>
    </xf>
    <xf numFmtId="3" fontId="16" fillId="0" borderId="0" xfId="22" applyNumberFormat="1" applyFont="1" applyAlignment="1">
      <alignment horizontal="center" wrapText="1"/>
    </xf>
    <xf numFmtId="3" fontId="16" fillId="0" borderId="19" xfId="22" applyNumberFormat="1" applyFont="1" applyBorder="1" applyAlignment="1">
      <alignment horizontal="center" vertical="center" wrapText="1"/>
    </xf>
    <xf numFmtId="3" fontId="8" fillId="0" borderId="218" xfId="22" applyNumberFormat="1" applyFont="1" applyBorder="1" applyAlignment="1">
      <alignment horizontal="center" vertical="center" wrapText="1"/>
    </xf>
    <xf numFmtId="3" fontId="8" fillId="0" borderId="127" xfId="22" applyNumberFormat="1" applyFont="1" applyBorder="1" applyAlignment="1">
      <alignment horizontal="center" vertical="center" wrapText="1"/>
    </xf>
    <xf numFmtId="3" fontId="8" fillId="0" borderId="4" xfId="22" applyNumberFormat="1" applyFont="1" applyBorder="1" applyAlignment="1">
      <alignment horizontal="center" wrapText="1"/>
    </xf>
    <xf numFmtId="3" fontId="32" fillId="0" borderId="80" xfId="22" applyNumberFormat="1" applyFont="1" applyBorder="1" applyAlignment="1">
      <alignment horizontal="left"/>
    </xf>
    <xf numFmtId="3" fontId="8" fillId="0" borderId="52" xfId="22" applyNumberFormat="1" applyFont="1" applyBorder="1" applyAlignment="1">
      <alignment horizontal="center" wrapText="1"/>
    </xf>
    <xf numFmtId="14" fontId="8" fillId="0" borderId="182" xfId="22" applyNumberFormat="1" applyFont="1" applyBorder="1" applyAlignment="1">
      <alignment horizontal="center" vertical="center" wrapText="1"/>
    </xf>
    <xf numFmtId="3" fontId="8" fillId="0" borderId="221" xfId="22" applyNumberFormat="1" applyFont="1" applyBorder="1" applyAlignment="1">
      <alignment horizontal="center" vertical="center" wrapText="1"/>
    </xf>
    <xf numFmtId="3" fontId="8" fillId="0" borderId="132" xfId="22" applyNumberFormat="1" applyFont="1" applyBorder="1" applyAlignment="1">
      <alignment horizontal="center" vertical="center" wrapText="1"/>
    </xf>
    <xf numFmtId="3" fontId="8" fillId="0" borderId="191" xfId="22" applyNumberFormat="1" applyFont="1" applyBorder="1" applyAlignment="1">
      <alignment horizontal="center" vertical="center" wrapText="1"/>
    </xf>
    <xf numFmtId="3" fontId="8" fillId="0" borderId="120" xfId="22" applyNumberFormat="1" applyFont="1" applyBorder="1" applyAlignment="1">
      <alignment horizontal="center" vertical="center" wrapText="1"/>
    </xf>
    <xf numFmtId="3" fontId="8" fillId="0" borderId="140" xfId="22" applyNumberFormat="1" applyFont="1" applyBorder="1" applyAlignment="1">
      <alignment horizontal="center" vertical="center" wrapText="1"/>
    </xf>
    <xf numFmtId="3" fontId="16" fillId="0" borderId="0" xfId="22" applyNumberFormat="1" applyFont="1" applyAlignment="1">
      <alignment horizontal="center" vertical="center" wrapText="1"/>
    </xf>
    <xf numFmtId="3" fontId="8" fillId="0" borderId="16" xfId="22" applyNumberFormat="1" applyFont="1" applyBorder="1" applyAlignment="1">
      <alignment horizontal="center" vertical="center" wrapText="1"/>
    </xf>
    <xf numFmtId="3" fontId="8" fillId="0" borderId="24" xfId="22" applyNumberFormat="1" applyFont="1" applyBorder="1" applyAlignment="1">
      <alignment horizontal="center" vertical="top" wrapText="1"/>
    </xf>
    <xf numFmtId="3" fontId="8" fillId="0" borderId="17" xfId="22" applyNumberFormat="1" applyFont="1" applyBorder="1" applyAlignment="1">
      <alignment horizontal="left" vertical="center" wrapText="1"/>
    </xf>
    <xf numFmtId="14" fontId="8" fillId="0" borderId="190" xfId="22" applyNumberFormat="1" applyFont="1" applyBorder="1" applyAlignment="1">
      <alignment horizontal="center" vertical="center" wrapText="1"/>
    </xf>
    <xf numFmtId="3" fontId="8" fillId="0" borderId="58" xfId="22" applyNumberFormat="1" applyFont="1" applyBorder="1" applyAlignment="1">
      <alignment horizontal="right" vertical="center" wrapText="1"/>
    </xf>
    <xf numFmtId="3" fontId="8" fillId="0" borderId="116" xfId="22" applyNumberFormat="1" applyFont="1" applyBorder="1" applyAlignment="1">
      <alignment horizontal="right" vertical="center" wrapText="1"/>
    </xf>
    <xf numFmtId="3" fontId="8" fillId="0" borderId="17" xfId="22" applyNumberFormat="1" applyFont="1" applyBorder="1" applyAlignment="1">
      <alignment horizontal="right" vertical="center" wrapText="1"/>
    </xf>
    <xf numFmtId="3" fontId="8" fillId="0" borderId="190" xfId="22" applyNumberFormat="1" applyFont="1" applyBorder="1" applyAlignment="1">
      <alignment horizontal="right" vertical="center" wrapText="1"/>
    </xf>
    <xf numFmtId="3" fontId="8" fillId="0" borderId="17" xfId="22" applyNumberFormat="1" applyFont="1" applyBorder="1" applyAlignment="1">
      <alignment horizontal="center" vertical="top" wrapText="1"/>
    </xf>
    <xf numFmtId="3" fontId="8" fillId="0" borderId="79" xfId="22" applyNumberFormat="1" applyFont="1" applyBorder="1" applyAlignment="1">
      <alignment horizontal="right" vertical="center" wrapText="1"/>
    </xf>
    <xf numFmtId="3" fontId="8" fillId="0" borderId="81" xfId="22" applyNumberFormat="1" applyFont="1" applyBorder="1" applyAlignment="1">
      <alignment horizontal="right" vertical="center" wrapText="1"/>
    </xf>
    <xf numFmtId="3" fontId="8" fillId="0" borderId="17" xfId="22" applyNumberFormat="1" applyFont="1" applyBorder="1" applyAlignment="1">
      <alignment horizontal="center" vertical="center" wrapText="1"/>
    </xf>
    <xf numFmtId="3" fontId="8" fillId="0" borderId="80" xfId="22" applyNumberFormat="1" applyFont="1" applyBorder="1" applyAlignment="1">
      <alignment horizontal="center" vertical="center" wrapText="1"/>
    </xf>
    <xf numFmtId="3" fontId="8" fillId="0" borderId="222" xfId="22" applyNumberFormat="1" applyFont="1" applyBorder="1" applyAlignment="1">
      <alignment horizontal="center" vertical="center" wrapText="1"/>
    </xf>
    <xf numFmtId="3" fontId="8" fillId="0" borderId="223" xfId="22" applyNumberFormat="1" applyFont="1" applyBorder="1" applyAlignment="1">
      <alignment horizontal="center" vertical="center" wrapText="1"/>
    </xf>
    <xf numFmtId="3" fontId="8" fillId="0" borderId="52" xfId="22" applyNumberFormat="1" applyFont="1" applyBorder="1" applyAlignment="1">
      <alignment horizontal="center" vertical="center" wrapText="1"/>
    </xf>
    <xf numFmtId="3" fontId="8" fillId="0" borderId="49" xfId="22" applyNumberFormat="1" applyFont="1" applyBorder="1" applyAlignment="1">
      <alignment horizontal="center" vertical="top" wrapText="1"/>
    </xf>
    <xf numFmtId="3" fontId="8" fillId="0" borderId="49" xfId="22" applyNumberFormat="1" applyFont="1" applyBorder="1" applyAlignment="1">
      <alignment horizontal="left" vertical="center" wrapText="1"/>
    </xf>
    <xf numFmtId="14" fontId="8" fillId="0" borderId="224" xfId="22" applyNumberFormat="1" applyFont="1" applyBorder="1" applyAlignment="1">
      <alignment horizontal="center" vertical="center" wrapText="1"/>
    </xf>
    <xf numFmtId="3" fontId="8" fillId="0" borderId="62" xfId="22" applyNumberFormat="1" applyFont="1" applyBorder="1" applyAlignment="1">
      <alignment horizontal="right" vertical="center" wrapText="1"/>
    </xf>
    <xf numFmtId="3" fontId="8" fillId="0" borderId="117" xfId="22" applyNumberFormat="1" applyFont="1" applyBorder="1" applyAlignment="1">
      <alignment horizontal="right" vertical="center" wrapText="1"/>
    </xf>
    <xf numFmtId="3" fontId="8" fillId="0" borderId="18" xfId="22" applyNumberFormat="1" applyFont="1" applyBorder="1" applyAlignment="1">
      <alignment horizontal="right" vertical="center" wrapText="1"/>
    </xf>
    <xf numFmtId="3" fontId="10" fillId="0" borderId="180" xfId="22" applyNumberFormat="1" applyFont="1" applyBorder="1" applyAlignment="1">
      <alignment horizontal="right" vertical="center"/>
    </xf>
    <xf numFmtId="3" fontId="10" fillId="0" borderId="133" xfId="22" applyNumberFormat="1" applyFont="1" applyBorder="1" applyAlignment="1">
      <alignment horizontal="right" vertical="center"/>
    </xf>
    <xf numFmtId="3" fontId="10" fillId="0" borderId="54" xfId="22" applyNumberFormat="1" applyFont="1" applyBorder="1" applyAlignment="1">
      <alignment horizontal="right" vertical="center"/>
    </xf>
    <xf numFmtId="3" fontId="10" fillId="0" borderId="192" xfId="22" applyNumberFormat="1" applyFont="1" applyBorder="1" applyAlignment="1">
      <alignment horizontal="right" vertical="center"/>
    </xf>
    <xf numFmtId="3" fontId="10" fillId="0" borderId="29" xfId="22" applyNumberFormat="1" applyFont="1" applyBorder="1" applyAlignment="1">
      <alignment horizontal="right" vertical="center"/>
    </xf>
    <xf numFmtId="3" fontId="22" fillId="0" borderId="0" xfId="0" applyNumberFormat="1" applyFont="1" applyFill="1" applyAlignment="1">
      <alignment horizontal="right"/>
    </xf>
    <xf numFmtId="3" fontId="22" fillId="0" borderId="0" xfId="0" applyNumberFormat="1" applyFont="1" applyFill="1" applyAlignment="1"/>
    <xf numFmtId="3" fontId="38" fillId="0" borderId="0" xfId="0" applyNumberFormat="1" applyFont="1" applyFill="1" applyAlignment="1">
      <alignment horizontal="right"/>
    </xf>
    <xf numFmtId="3" fontId="38" fillId="0" borderId="0" xfId="0" applyNumberFormat="1" applyFont="1" applyFill="1" applyAlignment="1"/>
    <xf numFmtId="3" fontId="41" fillId="0" borderId="0" xfId="18" applyNumberFormat="1" applyFont="1" applyFill="1" applyAlignment="1">
      <alignment horizontal="center" vertical="center"/>
    </xf>
    <xf numFmtId="3" fontId="41" fillId="0" borderId="0" xfId="18" applyNumberFormat="1" applyFont="1" applyFill="1" applyAlignment="1">
      <alignment horizontal="center"/>
    </xf>
    <xf numFmtId="3" fontId="50" fillId="0" borderId="0" xfId="18" applyNumberFormat="1" applyFont="1" applyFill="1" applyAlignment="1">
      <alignment horizontal="center" vertical="center"/>
    </xf>
    <xf numFmtId="3" fontId="38" fillId="0" borderId="0" xfId="18" applyNumberFormat="1" applyFont="1" applyFill="1" applyAlignment="1">
      <alignment horizontal="center" vertical="center"/>
    </xf>
    <xf numFmtId="3" fontId="37" fillId="0" borderId="0" xfId="18" applyNumberFormat="1" applyFont="1" applyFill="1" applyAlignment="1">
      <alignment horizontal="center" vertical="center"/>
    </xf>
    <xf numFmtId="3" fontId="41" fillId="0" borderId="0" xfId="18" applyNumberFormat="1" applyFont="1" applyFill="1" applyAlignment="1"/>
    <xf numFmtId="3" fontId="51" fillId="0" borderId="0" xfId="18" applyNumberFormat="1" applyFont="1" applyFill="1" applyAlignment="1">
      <alignment horizontal="center" vertical="center"/>
    </xf>
    <xf numFmtId="3" fontId="51" fillId="0" borderId="0" xfId="18" applyNumberFormat="1" applyFont="1" applyFill="1" applyBorder="1"/>
    <xf numFmtId="16" fontId="8" fillId="0" borderId="43" xfId="23" applyNumberFormat="1" applyFont="1" applyFill="1" applyBorder="1" applyAlignment="1">
      <alignment vertical="center"/>
    </xf>
    <xf numFmtId="0" fontId="8" fillId="0" borderId="51" xfId="23" applyFont="1" applyFill="1" applyBorder="1" applyAlignment="1">
      <alignment vertical="center" wrapText="1"/>
    </xf>
    <xf numFmtId="0" fontId="10" fillId="0" borderId="0" xfId="31" applyFont="1" applyFill="1" applyBorder="1" applyAlignment="1">
      <alignment horizontal="center" vertical="center"/>
    </xf>
    <xf numFmtId="0" fontId="11" fillId="0" borderId="0" xfId="31" applyFont="1" applyFill="1" applyBorder="1" applyAlignment="1">
      <alignment horizontal="center" vertical="center"/>
    </xf>
    <xf numFmtId="0" fontId="8" fillId="0" borderId="0" xfId="46" applyFont="1" applyFill="1" applyBorder="1" applyAlignment="1">
      <alignment horizontal="center"/>
    </xf>
    <xf numFmtId="0" fontId="8" fillId="0" borderId="0" xfId="46" applyFont="1" applyFill="1" applyBorder="1" applyAlignment="1"/>
    <xf numFmtId="0" fontId="10" fillId="0" borderId="0" xfId="23" applyFont="1" applyFill="1" applyBorder="1" applyAlignment="1">
      <alignment horizontal="center" vertical="center"/>
    </xf>
    <xf numFmtId="0" fontId="8" fillId="0" borderId="0" xfId="23" applyFont="1" applyFill="1" applyBorder="1" applyAlignment="1">
      <alignment horizontal="center" vertical="center" wrapText="1"/>
    </xf>
    <xf numFmtId="0" fontId="10" fillId="0" borderId="12" xfId="23" applyFont="1" applyFill="1" applyBorder="1" applyAlignment="1">
      <alignment horizontal="center" vertical="center" wrapText="1"/>
    </xf>
    <xf numFmtId="3" fontId="8" fillId="0" borderId="45" xfId="0" applyNumberFormat="1" applyFont="1" applyBorder="1" applyAlignment="1">
      <alignment horizontal="right" vertical="center" wrapText="1"/>
    </xf>
    <xf numFmtId="3" fontId="8" fillId="0" borderId="47" xfId="0" applyNumberFormat="1" applyFont="1" applyBorder="1" applyAlignment="1">
      <alignment horizontal="right" vertical="center" wrapText="1"/>
    </xf>
    <xf numFmtId="3" fontId="10" fillId="0" borderId="29" xfId="23" applyNumberFormat="1" applyFont="1" applyFill="1" applyBorder="1" applyAlignment="1">
      <alignment horizontal="right" vertical="center"/>
    </xf>
    <xf numFmtId="3" fontId="10" fillId="0" borderId="18" xfId="30" applyNumberFormat="1" applyFont="1" applyFill="1" applyBorder="1" applyAlignment="1">
      <alignment vertical="center" wrapText="1"/>
    </xf>
    <xf numFmtId="3" fontId="10" fillId="0" borderId="140" xfId="31" applyNumberFormat="1" applyFont="1" applyFill="1" applyBorder="1" applyAlignment="1">
      <alignment horizontal="right" vertical="center" wrapText="1"/>
    </xf>
    <xf numFmtId="3" fontId="10" fillId="0" borderId="29" xfId="31" applyNumberFormat="1" applyFont="1" applyFill="1" applyBorder="1" applyAlignment="1">
      <alignment horizontal="right" vertical="center" wrapText="1"/>
    </xf>
    <xf numFmtId="0" fontId="8" fillId="0" borderId="51" xfId="31" applyFont="1" applyFill="1" applyBorder="1" applyAlignment="1">
      <alignment horizontal="center" vertical="center"/>
    </xf>
    <xf numFmtId="3" fontId="8" fillId="0" borderId="59" xfId="31" applyNumberFormat="1" applyFont="1" applyFill="1" applyBorder="1" applyAlignment="1">
      <alignment horizontal="right" vertical="center" wrapText="1"/>
    </xf>
    <xf numFmtId="3" fontId="8" fillId="0" borderId="47" xfId="31" applyNumberFormat="1" applyFont="1" applyFill="1" applyBorder="1" applyAlignment="1">
      <alignment horizontal="right" vertical="center" wrapText="1"/>
    </xf>
    <xf numFmtId="0" fontId="8" fillId="0" borderId="27" xfId="31" applyFont="1" applyFill="1" applyBorder="1" applyAlignment="1">
      <alignment horizontal="center" vertical="center"/>
    </xf>
    <xf numFmtId="3" fontId="8" fillId="0" borderId="24" xfId="30" applyNumberFormat="1" applyFont="1" applyFill="1" applyBorder="1" applyAlignment="1">
      <alignment vertical="center" wrapText="1"/>
    </xf>
    <xf numFmtId="3" fontId="8" fillId="0" borderId="26" xfId="30" applyNumberFormat="1" applyFont="1" applyFill="1" applyBorder="1" applyAlignment="1">
      <alignment vertical="center"/>
    </xf>
    <xf numFmtId="3" fontId="8" fillId="0" borderId="25" xfId="30" applyNumberFormat="1" applyFont="1" applyFill="1" applyBorder="1" applyAlignment="1">
      <alignment vertical="center"/>
    </xf>
    <xf numFmtId="3" fontId="10" fillId="0" borderId="54" xfId="30" applyNumberFormat="1" applyFont="1" applyFill="1" applyBorder="1" applyAlignment="1">
      <alignment vertical="center" wrapText="1"/>
    </xf>
    <xf numFmtId="3" fontId="10" fillId="0" borderId="29" xfId="30" applyNumberFormat="1" applyFont="1" applyFill="1" applyBorder="1" applyAlignment="1">
      <alignment vertical="center" wrapText="1"/>
    </xf>
    <xf numFmtId="0" fontId="8" fillId="0" borderId="24" xfId="21" applyFont="1" applyFill="1" applyBorder="1" applyAlignment="1">
      <alignment vertical="center" wrapText="1"/>
    </xf>
    <xf numFmtId="0" fontId="11" fillId="0" borderId="17" xfId="31" applyFont="1" applyFill="1" applyBorder="1" applyAlignment="1">
      <alignment horizontal="left" vertical="center" wrapText="1" indent="3"/>
    </xf>
    <xf numFmtId="3" fontId="8" fillId="0" borderId="0" xfId="0" applyNumberFormat="1" applyFont="1" applyFill="1" applyAlignment="1">
      <alignment horizontal="left" vertical="center"/>
    </xf>
    <xf numFmtId="3" fontId="8" fillId="0" borderId="0" xfId="0" applyNumberFormat="1" applyFont="1" applyAlignment="1">
      <alignment horizontal="left" vertical="center"/>
    </xf>
    <xf numFmtId="3" fontId="8" fillId="0" borderId="0" xfId="18" applyNumberFormat="1" applyFont="1" applyFill="1" applyAlignment="1">
      <alignment horizontal="right"/>
    </xf>
    <xf numFmtId="0" fontId="8" fillId="0" borderId="0" xfId="32" applyFont="1" applyFill="1" applyBorder="1" applyAlignment="1">
      <alignment horizontal="left" vertical="center"/>
    </xf>
    <xf numFmtId="3" fontId="8" fillId="0" borderId="0" xfId="31" applyNumberFormat="1" applyFont="1" applyFill="1" applyBorder="1" applyAlignment="1">
      <alignment horizontal="right"/>
    </xf>
    <xf numFmtId="0" fontId="8" fillId="0" borderId="0" xfId="32" applyFont="1" applyFill="1" applyBorder="1" applyAlignment="1">
      <alignment horizontal="left"/>
    </xf>
    <xf numFmtId="0" fontId="8" fillId="0" borderId="0" xfId="0" applyFont="1" applyFill="1" applyBorder="1" applyAlignment="1">
      <alignment horizontal="left" vertical="top"/>
    </xf>
    <xf numFmtId="3" fontId="8" fillId="0" borderId="0" xfId="22" applyNumberFormat="1" applyFont="1" applyAlignment="1">
      <alignment horizontal="center" vertical="center" wrapText="1"/>
    </xf>
    <xf numFmtId="3" fontId="10" fillId="0" borderId="37" xfId="22" applyNumberFormat="1" applyFont="1" applyBorder="1" applyAlignment="1">
      <alignment horizontal="right" vertical="center"/>
    </xf>
    <xf numFmtId="3" fontId="8" fillId="0" borderId="38" xfId="22" applyNumberFormat="1" applyFont="1" applyBorder="1" applyAlignment="1">
      <alignment horizontal="right" vertical="center" wrapText="1"/>
    </xf>
    <xf numFmtId="3" fontId="8" fillId="0" borderId="66" xfId="22" applyNumberFormat="1" applyFont="1" applyBorder="1" applyAlignment="1">
      <alignment horizontal="center" vertical="center" wrapText="1"/>
    </xf>
    <xf numFmtId="3" fontId="8" fillId="0" borderId="65" xfId="22" applyNumberFormat="1" applyFont="1" applyBorder="1" applyAlignment="1">
      <alignment horizontal="center" vertical="center" wrapText="1"/>
    </xf>
    <xf numFmtId="3" fontId="8" fillId="0" borderId="126" xfId="22" applyNumberFormat="1" applyFont="1" applyBorder="1" applyAlignment="1">
      <alignment horizontal="center" vertical="center" wrapText="1"/>
    </xf>
    <xf numFmtId="3" fontId="8" fillId="0" borderId="127" xfId="22" applyNumberFormat="1" applyFont="1" applyBorder="1" applyAlignment="1">
      <alignment horizontal="right" vertical="center" wrapText="1"/>
    </xf>
    <xf numFmtId="0" fontId="12" fillId="0" borderId="0" xfId="2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8" fillId="0" borderId="0" xfId="0" applyFont="1"/>
    <xf numFmtId="0" fontId="12" fillId="0" borderId="0" xfId="0" applyFont="1" applyAlignment="1">
      <alignment horizontal="center" wrapText="1"/>
    </xf>
    <xf numFmtId="3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3" fontId="10" fillId="0" borderId="30" xfId="0" applyNumberFormat="1" applyFont="1" applyBorder="1" applyAlignment="1">
      <alignment horizontal="center"/>
    </xf>
    <xf numFmtId="3" fontId="10" fillId="0" borderId="31" xfId="0" applyNumberFormat="1" applyFont="1" applyBorder="1" applyAlignment="1">
      <alignment horizontal="center"/>
    </xf>
    <xf numFmtId="0" fontId="10" fillId="0" borderId="4" xfId="0" applyFont="1" applyBorder="1" applyAlignment="1">
      <alignment horizontal="left" vertical="center" wrapText="1"/>
    </xf>
    <xf numFmtId="10" fontId="10" fillId="0" borderId="19" xfId="36" applyNumberFormat="1" applyFont="1" applyBorder="1" applyAlignment="1">
      <alignment vertical="center"/>
    </xf>
    <xf numFmtId="3" fontId="10" fillId="0" borderId="0" xfId="0" applyNumberFormat="1" applyFont="1"/>
    <xf numFmtId="0" fontId="10" fillId="0" borderId="0" xfId="0" applyFont="1"/>
    <xf numFmtId="0" fontId="10" fillId="0" borderId="4" xfId="20" applyFont="1" applyBorder="1" applyAlignment="1">
      <alignment vertical="center" wrapText="1"/>
    </xf>
    <xf numFmtId="0" fontId="8" fillId="0" borderId="4" xfId="20" applyFont="1" applyBorder="1" applyAlignment="1">
      <alignment horizontal="left" vertical="center" wrapText="1" indent="2"/>
    </xf>
    <xf numFmtId="10" fontId="8" fillId="0" borderId="19" xfId="36" applyNumberFormat="1" applyFont="1" applyBorder="1" applyAlignment="1">
      <alignment vertical="center"/>
    </xf>
    <xf numFmtId="0" fontId="10" fillId="0" borderId="12" xfId="20" applyFont="1" applyBorder="1" applyAlignment="1">
      <alignment horizontal="center" vertical="center" wrapText="1"/>
    </xf>
    <xf numFmtId="3" fontId="10" fillId="0" borderId="13" xfId="20" applyNumberFormat="1" applyFont="1" applyBorder="1" applyAlignment="1">
      <alignment vertical="center"/>
    </xf>
    <xf numFmtId="10" fontId="10" fillId="0" borderId="32" xfId="36" applyNumberFormat="1" applyFont="1" applyBorder="1" applyAlignment="1">
      <alignment vertical="center"/>
    </xf>
    <xf numFmtId="3" fontId="8" fillId="0" borderId="0" xfId="20" applyNumberFormat="1" applyFont="1"/>
    <xf numFmtId="0" fontId="10" fillId="0" borderId="0" xfId="0" applyFont="1" applyAlignment="1"/>
    <xf numFmtId="0" fontId="10" fillId="0" borderId="0" xfId="0" applyFont="1" applyAlignment="1">
      <alignment vertical="center"/>
    </xf>
    <xf numFmtId="0" fontId="8" fillId="0" borderId="0" xfId="0" applyFont="1" applyAlignment="1">
      <alignment horizontal="left"/>
    </xf>
    <xf numFmtId="3" fontId="8" fillId="0" borderId="0" xfId="0" applyNumberFormat="1" applyFont="1" applyFill="1" applyAlignment="1">
      <alignment horizontal="left" vertical="center"/>
    </xf>
    <xf numFmtId="3" fontId="18" fillId="0" borderId="0" xfId="0" applyNumberFormat="1" applyFont="1" applyFill="1" applyAlignment="1">
      <alignment horizontal="right" vertical="center"/>
    </xf>
    <xf numFmtId="3" fontId="8" fillId="0" borderId="0" xfId="0" applyNumberFormat="1" applyFont="1" applyAlignment="1">
      <alignment horizontal="left" vertical="center"/>
    </xf>
    <xf numFmtId="3" fontId="18" fillId="0" borderId="0" xfId="0" applyNumberFormat="1" applyFont="1" applyFill="1" applyAlignment="1">
      <alignment horizontal="right"/>
    </xf>
    <xf numFmtId="3" fontId="8" fillId="0" borderId="0" xfId="18" applyNumberFormat="1" applyFont="1" applyFill="1" applyAlignment="1">
      <alignment horizontal="right"/>
    </xf>
    <xf numFmtId="3" fontId="10" fillId="0" borderId="0" xfId="18" applyNumberFormat="1" applyFont="1" applyFill="1" applyAlignment="1">
      <alignment horizontal="center"/>
    </xf>
    <xf numFmtId="3" fontId="10" fillId="0" borderId="0" xfId="18" applyNumberFormat="1" applyFont="1" applyFill="1" applyAlignment="1">
      <alignment horizontal="center" vertical="center"/>
    </xf>
    <xf numFmtId="0" fontId="8" fillId="0" borderId="0" xfId="32" applyFont="1" applyFill="1" applyBorder="1" applyAlignment="1">
      <alignment horizontal="left" vertical="center"/>
    </xf>
    <xf numFmtId="3" fontId="8" fillId="0" borderId="0" xfId="31" applyNumberFormat="1" applyFont="1" applyFill="1" applyBorder="1" applyAlignment="1">
      <alignment horizontal="right"/>
    </xf>
    <xf numFmtId="0" fontId="8" fillId="0" borderId="0" xfId="32" applyFont="1" applyFill="1" applyBorder="1" applyAlignment="1">
      <alignment horizontal="left"/>
    </xf>
    <xf numFmtId="0" fontId="8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horizontal="center"/>
    </xf>
    <xf numFmtId="3" fontId="16" fillId="0" borderId="0" xfId="0" applyNumberFormat="1" applyFont="1" applyFill="1" applyBorder="1" applyAlignment="1">
      <alignment horizontal="center"/>
    </xf>
    <xf numFmtId="3" fontId="18" fillId="0" borderId="0" xfId="0" applyNumberFormat="1" applyFont="1" applyFill="1"/>
    <xf numFmtId="0" fontId="12" fillId="0" borderId="6" xfId="0" applyFont="1" applyFill="1" applyBorder="1" applyAlignment="1">
      <alignment horizontal="center"/>
    </xf>
    <xf numFmtId="3" fontId="12" fillId="0" borderId="6" xfId="0" applyNumberFormat="1" applyFont="1" applyFill="1" applyBorder="1" applyAlignment="1">
      <alignment horizontal="center"/>
    </xf>
    <xf numFmtId="0" fontId="12" fillId="0" borderId="0" xfId="0" applyFont="1" applyFill="1" applyAlignment="1">
      <alignment horizontal="center" vertical="center"/>
    </xf>
    <xf numFmtId="3" fontId="12" fillId="0" borderId="0" xfId="17" applyNumberFormat="1" applyFont="1" applyFill="1" applyAlignment="1">
      <alignment horizontal="center"/>
    </xf>
    <xf numFmtId="3" fontId="8" fillId="0" borderId="72" xfId="17" applyNumberFormat="1" applyFont="1" applyFill="1" applyBorder="1" applyAlignment="1">
      <alignment horizontal="center" vertical="center" textRotation="90" wrapText="1"/>
    </xf>
    <xf numFmtId="3" fontId="8" fillId="0" borderId="42" xfId="17" applyNumberFormat="1" applyFont="1" applyFill="1" applyBorder="1" applyAlignment="1">
      <alignment horizontal="center" vertical="center" textRotation="90" wrapText="1"/>
    </xf>
    <xf numFmtId="3" fontId="16" fillId="0" borderId="42" xfId="17" applyNumberFormat="1" applyFont="1" applyFill="1" applyBorder="1" applyAlignment="1">
      <alignment horizontal="center" vertical="center" wrapText="1"/>
    </xf>
    <xf numFmtId="3" fontId="10" fillId="0" borderId="42" xfId="17" applyNumberFormat="1" applyFont="1" applyFill="1" applyBorder="1" applyAlignment="1">
      <alignment horizontal="center" vertical="center" wrapText="1"/>
    </xf>
    <xf numFmtId="3" fontId="8" fillId="0" borderId="73" xfId="17" applyNumberFormat="1" applyFont="1" applyFill="1" applyBorder="1" applyAlignment="1">
      <alignment horizontal="center" vertical="center" wrapText="1"/>
    </xf>
    <xf numFmtId="3" fontId="8" fillId="0" borderId="42" xfId="17" applyNumberFormat="1" applyFont="1" applyFill="1" applyBorder="1" applyAlignment="1">
      <alignment horizontal="center" vertical="center" wrapText="1"/>
    </xf>
    <xf numFmtId="3" fontId="8" fillId="0" borderId="13" xfId="17" applyNumberFormat="1" applyFont="1" applyFill="1" applyBorder="1" applyAlignment="1">
      <alignment horizontal="center" vertical="center" wrapText="1"/>
    </xf>
    <xf numFmtId="3" fontId="10" fillId="0" borderId="245" xfId="17" applyNumberFormat="1" applyFont="1" applyFill="1" applyBorder="1" applyAlignment="1">
      <alignment horizontal="center" vertical="center" wrapText="1"/>
    </xf>
    <xf numFmtId="3" fontId="10" fillId="0" borderId="13" xfId="17" applyNumberFormat="1" applyFont="1" applyFill="1" applyBorder="1" applyAlignment="1">
      <alignment horizontal="center" vertical="center" wrapText="1"/>
    </xf>
    <xf numFmtId="3" fontId="11" fillId="0" borderId="13" xfId="17" applyNumberFormat="1" applyFont="1" applyFill="1" applyBorder="1" applyAlignment="1">
      <alignment horizontal="center" vertical="center"/>
    </xf>
    <xf numFmtId="3" fontId="10" fillId="0" borderId="32" xfId="17" applyNumberFormat="1" applyFont="1" applyFill="1" applyBorder="1" applyAlignment="1">
      <alignment horizontal="center" vertical="center" wrapText="1"/>
    </xf>
    <xf numFmtId="3" fontId="8" fillId="0" borderId="67" xfId="17" applyNumberFormat="1" applyFont="1" applyFill="1" applyBorder="1" applyAlignment="1">
      <alignment horizontal="center" textRotation="90" wrapText="1"/>
    </xf>
    <xf numFmtId="3" fontId="10" fillId="0" borderId="11" xfId="17" applyNumberFormat="1" applyFont="1" applyFill="1" applyBorder="1" applyAlignment="1">
      <alignment horizontal="left" textRotation="90" wrapText="1"/>
    </xf>
    <xf numFmtId="3" fontId="8" fillId="0" borderId="11" xfId="17" applyNumberFormat="1" applyFont="1" applyFill="1" applyBorder="1" applyAlignment="1">
      <alignment horizontal="center" wrapText="1"/>
    </xf>
    <xf numFmtId="3" fontId="10" fillId="0" borderId="11" xfId="17" applyNumberFormat="1" applyFont="1" applyFill="1" applyBorder="1" applyAlignment="1">
      <alignment horizontal="left" wrapText="1"/>
    </xf>
    <xf numFmtId="3" fontId="10" fillId="0" borderId="11" xfId="17" applyNumberFormat="1" applyFont="1" applyFill="1" applyBorder="1" applyAlignment="1">
      <alignment horizontal="right" wrapText="1"/>
    </xf>
    <xf numFmtId="3" fontId="10" fillId="0" borderId="87" xfId="17" applyNumberFormat="1" applyFont="1" applyFill="1" applyBorder="1" applyAlignment="1">
      <alignment horizontal="right" wrapText="1"/>
    </xf>
    <xf numFmtId="3" fontId="23" fillId="0" borderId="11" xfId="17" applyNumberFormat="1" applyFont="1" applyFill="1" applyBorder="1" applyAlignment="1">
      <alignment horizontal="right" wrapText="1"/>
    </xf>
    <xf numFmtId="3" fontId="10" fillId="0" borderId="183" xfId="17" applyNumberFormat="1" applyFont="1" applyFill="1" applyBorder="1" applyAlignment="1">
      <alignment horizontal="right" wrapText="1"/>
    </xf>
    <xf numFmtId="3" fontId="8" fillId="0" borderId="4" xfId="17" applyNumberFormat="1" applyFont="1" applyFill="1" applyBorder="1" applyAlignment="1">
      <alignment horizontal="center" wrapText="1"/>
    </xf>
    <xf numFmtId="3" fontId="10" fillId="0" borderId="0" xfId="17" applyNumberFormat="1" applyFont="1" applyFill="1" applyBorder="1" applyAlignment="1">
      <alignment horizontal="left" wrapText="1"/>
    </xf>
    <xf numFmtId="3" fontId="8" fillId="0" borderId="0" xfId="17" applyNumberFormat="1" applyFont="1" applyFill="1" applyBorder="1" applyAlignment="1">
      <alignment horizontal="center" wrapText="1"/>
    </xf>
    <xf numFmtId="3" fontId="10" fillId="0" borderId="0" xfId="17" applyNumberFormat="1" applyFont="1" applyFill="1" applyBorder="1" applyAlignment="1">
      <alignment horizontal="right" wrapText="1"/>
    </xf>
    <xf numFmtId="3" fontId="10" fillId="0" borderId="90" xfId="17" applyNumberFormat="1" applyFont="1" applyFill="1" applyBorder="1" applyAlignment="1">
      <alignment horizontal="right" wrapText="1"/>
    </xf>
    <xf numFmtId="3" fontId="23" fillId="0" borderId="0" xfId="17" applyNumberFormat="1" applyFont="1" applyFill="1" applyBorder="1" applyAlignment="1">
      <alignment horizontal="right" wrapText="1"/>
    </xf>
    <xf numFmtId="3" fontId="10" fillId="0" borderId="19" xfId="17" applyNumberFormat="1" applyFont="1" applyFill="1" applyBorder="1" applyAlignment="1">
      <alignment horizontal="right" wrapText="1"/>
    </xf>
    <xf numFmtId="0" fontId="8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/>
    </xf>
    <xf numFmtId="3" fontId="10" fillId="0" borderId="0" xfId="0" applyNumberFormat="1" applyFont="1" applyFill="1" applyBorder="1"/>
    <xf numFmtId="3" fontId="10" fillId="0" borderId="90" xfId="0" applyNumberFormat="1" applyFont="1" applyFill="1" applyBorder="1" applyAlignment="1">
      <alignment horizontal="right"/>
    </xf>
    <xf numFmtId="3" fontId="10" fillId="0" borderId="0" xfId="0" applyNumberFormat="1" applyFont="1" applyFill="1" applyBorder="1" applyAlignment="1">
      <alignment horizontal="right"/>
    </xf>
    <xf numFmtId="3" fontId="10" fillId="0" borderId="19" xfId="0" applyNumberFormat="1" applyFont="1" applyFill="1" applyBorder="1" applyAlignment="1">
      <alignment horizontal="right"/>
    </xf>
    <xf numFmtId="3" fontId="12" fillId="0" borderId="0" xfId="17" applyNumberFormat="1" applyFont="1" applyFill="1" applyAlignment="1">
      <alignment horizontal="center" vertical="top"/>
    </xf>
    <xf numFmtId="0" fontId="8" fillId="0" borderId="4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left" wrapText="1" indent="1"/>
    </xf>
    <xf numFmtId="3" fontId="8" fillId="0" borderId="9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3" fontId="11" fillId="0" borderId="0" xfId="0" applyNumberFormat="1" applyFont="1" applyFill="1" applyBorder="1"/>
    <xf numFmtId="3" fontId="8" fillId="0" borderId="19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left" wrapText="1"/>
    </xf>
    <xf numFmtId="3" fontId="10" fillId="0" borderId="90" xfId="0" applyNumberFormat="1" applyFont="1" applyFill="1" applyBorder="1"/>
    <xf numFmtId="3" fontId="23" fillId="0" borderId="0" xfId="0" applyNumberFormat="1" applyFont="1" applyFill="1" applyBorder="1" applyAlignment="1">
      <alignment horizontal="right"/>
    </xf>
    <xf numFmtId="49" fontId="8" fillId="0" borderId="4" xfId="0" applyNumberFormat="1" applyFont="1" applyFill="1" applyBorder="1" applyAlignment="1">
      <alignment horizontal="center" vertical="center"/>
    </xf>
    <xf numFmtId="3" fontId="8" fillId="0" borderId="0" xfId="17" applyNumberFormat="1" applyFont="1" applyFill="1" applyBorder="1" applyAlignment="1">
      <alignment horizontal="center" vertical="top" wrapText="1"/>
    </xf>
    <xf numFmtId="3" fontId="23" fillId="0" borderId="0" xfId="0" applyNumberFormat="1" applyFont="1" applyFill="1" applyBorder="1"/>
    <xf numFmtId="0" fontId="10" fillId="0" borderId="0" xfId="0" applyFont="1" applyFill="1" applyBorder="1" applyAlignment="1"/>
    <xf numFmtId="3" fontId="10" fillId="0" borderId="0" xfId="0" applyNumberFormat="1" applyFont="1" applyFill="1" applyBorder="1" applyAlignment="1"/>
    <xf numFmtId="3" fontId="11" fillId="0" borderId="0" xfId="0" applyNumberFormat="1" applyFont="1" applyFill="1" applyBorder="1" applyAlignment="1">
      <alignment horizontal="right"/>
    </xf>
    <xf numFmtId="49" fontId="8" fillId="0" borderId="4" xfId="0" applyNumberFormat="1" applyFont="1" applyFill="1" applyBorder="1" applyAlignment="1">
      <alignment horizontal="center"/>
    </xf>
    <xf numFmtId="3" fontId="10" fillId="0" borderId="90" xfId="0" applyNumberFormat="1" applyFont="1" applyFill="1" applyBorder="1" applyAlignment="1"/>
    <xf numFmtId="3" fontId="23" fillId="0" borderId="0" xfId="0" applyNumberFormat="1" applyFont="1" applyFill="1" applyBorder="1" applyAlignment="1"/>
    <xf numFmtId="3" fontId="11" fillId="0" borderId="0" xfId="0" applyNumberFormat="1" applyFont="1" applyFill="1" applyBorder="1" applyAlignment="1"/>
    <xf numFmtId="49" fontId="8" fillId="0" borderId="4" xfId="0" applyNumberFormat="1" applyFont="1" applyFill="1" applyBorder="1" applyAlignment="1">
      <alignment horizontal="center" vertical="top"/>
    </xf>
    <xf numFmtId="0" fontId="10" fillId="0" borderId="10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 vertical="top"/>
    </xf>
    <xf numFmtId="0" fontId="10" fillId="0" borderId="10" xfId="0" applyFont="1" applyFill="1" applyBorder="1" applyAlignment="1">
      <alignment wrapText="1"/>
    </xf>
    <xf numFmtId="3" fontId="10" fillId="0" borderId="10" xfId="0" applyNumberFormat="1" applyFont="1" applyFill="1" applyBorder="1"/>
    <xf numFmtId="3" fontId="10" fillId="0" borderId="102" xfId="0" applyNumberFormat="1" applyFont="1" applyFill="1" applyBorder="1"/>
    <xf numFmtId="3" fontId="10" fillId="0" borderId="10" xfId="0" applyNumberFormat="1" applyFont="1" applyFill="1" applyBorder="1" applyAlignment="1">
      <alignment horizontal="right"/>
    </xf>
    <xf numFmtId="3" fontId="8" fillId="0" borderId="68" xfId="17" applyNumberFormat="1" applyFont="1" applyFill="1" applyBorder="1" applyAlignment="1">
      <alignment horizontal="center" textRotation="90" wrapText="1"/>
    </xf>
    <xf numFmtId="3" fontId="10" fillId="0" borderId="10" xfId="17" applyNumberFormat="1" applyFont="1" applyFill="1" applyBorder="1" applyAlignment="1">
      <alignment horizontal="left" textRotation="90" wrapText="1"/>
    </xf>
    <xf numFmtId="3" fontId="8" fillId="0" borderId="10" xfId="17" applyNumberFormat="1" applyFont="1" applyFill="1" applyBorder="1" applyAlignment="1">
      <alignment horizontal="center" wrapText="1"/>
    </xf>
    <xf numFmtId="3" fontId="10" fillId="0" borderId="10" xfId="17" applyNumberFormat="1" applyFont="1" applyFill="1" applyBorder="1" applyAlignment="1">
      <alignment horizontal="left" wrapText="1"/>
    </xf>
    <xf numFmtId="3" fontId="10" fillId="0" borderId="10" xfId="17" applyNumberFormat="1" applyFont="1" applyFill="1" applyBorder="1" applyAlignment="1">
      <alignment horizontal="right" wrapText="1"/>
    </xf>
    <xf numFmtId="3" fontId="10" fillId="0" borderId="8" xfId="17" applyNumberFormat="1" applyFont="1" applyFill="1" applyBorder="1" applyAlignment="1">
      <alignment horizontal="right" wrapText="1"/>
    </xf>
    <xf numFmtId="3" fontId="10" fillId="0" borderId="102" xfId="17" applyNumberFormat="1" applyFont="1" applyFill="1" applyBorder="1" applyAlignment="1">
      <alignment horizontal="right" wrapText="1"/>
    </xf>
    <xf numFmtId="3" fontId="10" fillId="0" borderId="184" xfId="17" applyNumberFormat="1" applyFont="1" applyFill="1" applyBorder="1" applyAlignment="1">
      <alignment horizontal="right" wrapText="1"/>
    </xf>
    <xf numFmtId="0" fontId="10" fillId="0" borderId="0" xfId="0" applyFont="1" applyFill="1" applyBorder="1" applyAlignment="1">
      <alignment vertical="top" wrapText="1"/>
    </xf>
    <xf numFmtId="0" fontId="8" fillId="0" borderId="4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vertical="center"/>
    </xf>
    <xf numFmtId="3" fontId="10" fillId="0" borderId="8" xfId="0" applyNumberFormat="1" applyFont="1" applyFill="1" applyBorder="1" applyAlignment="1">
      <alignment vertical="center"/>
    </xf>
    <xf numFmtId="3" fontId="10" fillId="0" borderId="92" xfId="0" applyNumberFormat="1" applyFont="1" applyFill="1" applyBorder="1" applyAlignment="1">
      <alignment horizontal="right" vertical="center"/>
    </xf>
    <xf numFmtId="3" fontId="10" fillId="0" borderId="8" xfId="0" applyNumberFormat="1" applyFont="1" applyFill="1" applyBorder="1" applyAlignment="1">
      <alignment horizontal="right" vertical="center"/>
    </xf>
    <xf numFmtId="3" fontId="10" fillId="0" borderId="184" xfId="0" applyNumberFormat="1" applyFont="1" applyFill="1" applyBorder="1" applyAlignment="1">
      <alignment horizontal="right" vertical="center"/>
    </xf>
    <xf numFmtId="0" fontId="8" fillId="0" borderId="10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left" wrapText="1" indent="1"/>
    </xf>
    <xf numFmtId="3" fontId="8" fillId="0" borderId="10" xfId="0" applyNumberFormat="1" applyFont="1" applyFill="1" applyBorder="1"/>
    <xf numFmtId="3" fontId="8" fillId="0" borderId="102" xfId="0" applyNumberFormat="1" applyFont="1" applyFill="1" applyBorder="1"/>
    <xf numFmtId="3" fontId="8" fillId="0" borderId="10" xfId="0" applyNumberFormat="1" applyFont="1" applyFill="1" applyBorder="1" applyAlignment="1">
      <alignment horizontal="right"/>
    </xf>
    <xf numFmtId="3" fontId="11" fillId="0" borderId="8" xfId="0" applyNumberFormat="1" applyFont="1" applyFill="1" applyBorder="1"/>
    <xf numFmtId="0" fontId="8" fillId="0" borderId="69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vertical="center"/>
    </xf>
    <xf numFmtId="3" fontId="10" fillId="0" borderId="34" xfId="0" applyNumberFormat="1" applyFont="1" applyFill="1" applyBorder="1" applyAlignment="1">
      <alignment vertical="center"/>
    </xf>
    <xf numFmtId="3" fontId="10" fillId="0" borderId="94" xfId="0" applyNumberFormat="1" applyFont="1" applyFill="1" applyBorder="1" applyAlignment="1">
      <alignment horizontal="right" vertical="center"/>
    </xf>
    <xf numFmtId="3" fontId="10" fillId="0" borderId="34" xfId="0" applyNumberFormat="1" applyFont="1" applyFill="1" applyBorder="1" applyAlignment="1">
      <alignment horizontal="right" vertical="center"/>
    </xf>
    <xf numFmtId="3" fontId="10" fillId="0" borderId="231" xfId="0" applyNumberFormat="1" applyFont="1" applyFill="1" applyBorder="1" applyAlignment="1">
      <alignment horizontal="right" vertical="center"/>
    </xf>
    <xf numFmtId="0" fontId="8" fillId="0" borderId="70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3" fontId="10" fillId="0" borderId="0" xfId="0" applyNumberFormat="1" applyFont="1" applyFill="1" applyBorder="1" applyAlignment="1">
      <alignment vertical="center"/>
    </xf>
    <xf numFmtId="3" fontId="10" fillId="0" borderId="90" xfId="0" applyNumberFormat="1" applyFont="1" applyFill="1" applyBorder="1" applyAlignment="1">
      <alignment horizontal="right" vertical="center"/>
    </xf>
    <xf numFmtId="3" fontId="10" fillId="0" borderId="0" xfId="0" applyNumberFormat="1" applyFont="1" applyFill="1" applyBorder="1" applyAlignment="1">
      <alignment horizontal="right" vertical="center"/>
    </xf>
    <xf numFmtId="3" fontId="10" fillId="0" borderId="19" xfId="0" applyNumberFormat="1" applyFont="1" applyFill="1" applyBorder="1" applyAlignment="1">
      <alignment horizontal="right" vertical="center"/>
    </xf>
    <xf numFmtId="3" fontId="10" fillId="0" borderId="90" xfId="0" applyNumberFormat="1" applyFont="1" applyFill="1" applyBorder="1" applyAlignment="1">
      <alignment vertical="center"/>
    </xf>
    <xf numFmtId="3" fontId="23" fillId="0" borderId="0" xfId="0" applyNumberFormat="1" applyFont="1" applyFill="1" applyBorder="1" applyAlignment="1">
      <alignment vertical="center"/>
    </xf>
    <xf numFmtId="0" fontId="8" fillId="0" borderId="6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vertical="center" shrinkToFit="1"/>
    </xf>
    <xf numFmtId="0" fontId="8" fillId="0" borderId="0" xfId="0" applyFont="1" applyFill="1" applyBorder="1" applyAlignment="1">
      <alignment horizontal="left" indent="1"/>
    </xf>
    <xf numFmtId="3" fontId="10" fillId="0" borderId="234" xfId="0" applyNumberFormat="1" applyFont="1" applyFill="1" applyBorder="1" applyAlignment="1">
      <alignment horizontal="right" vertical="center"/>
    </xf>
    <xf numFmtId="0" fontId="8" fillId="0" borderId="10" xfId="0" applyFont="1" applyFill="1" applyBorder="1" applyAlignment="1">
      <alignment horizontal="left" indent="1"/>
    </xf>
    <xf numFmtId="3" fontId="11" fillId="0" borderId="10" xfId="0" applyNumberFormat="1" applyFont="1" applyFill="1" applyBorder="1"/>
    <xf numFmtId="3" fontId="8" fillId="0" borderId="63" xfId="0" applyNumberFormat="1" applyFont="1" applyFill="1" applyBorder="1" applyAlignment="1">
      <alignment horizontal="right"/>
    </xf>
    <xf numFmtId="0" fontId="8" fillId="0" borderId="71" xfId="0" applyFont="1" applyFill="1" applyBorder="1" applyAlignment="1">
      <alignment horizontal="center" vertical="center"/>
    </xf>
    <xf numFmtId="0" fontId="10" fillId="0" borderId="35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0" fontId="10" fillId="0" borderId="35" xfId="0" applyFont="1" applyFill="1" applyBorder="1" applyAlignment="1">
      <alignment vertical="center"/>
    </xf>
    <xf numFmtId="3" fontId="10" fillId="0" borderId="35" xfId="0" applyNumberFormat="1" applyFont="1" applyFill="1" applyBorder="1" applyAlignment="1">
      <alignment vertical="center"/>
    </xf>
    <xf numFmtId="3" fontId="10" fillId="0" borderId="230" xfId="0" applyNumberFormat="1" applyFont="1" applyFill="1" applyBorder="1" applyAlignment="1">
      <alignment horizontal="right" vertical="center"/>
    </xf>
    <xf numFmtId="3" fontId="10" fillId="0" borderId="35" xfId="0" applyNumberFormat="1" applyFont="1" applyFill="1" applyBorder="1" applyAlignment="1">
      <alignment horizontal="right" vertical="center"/>
    </xf>
    <xf numFmtId="3" fontId="10" fillId="0" borderId="185" xfId="0" applyNumberFormat="1" applyFont="1" applyFill="1" applyBorder="1" applyAlignment="1">
      <alignment horizontal="right" vertical="center"/>
    </xf>
    <xf numFmtId="3" fontId="12" fillId="0" borderId="0" xfId="0" applyNumberFormat="1" applyFont="1" applyBorder="1" applyAlignment="1">
      <alignment horizontal="center"/>
    </xf>
    <xf numFmtId="3" fontId="10" fillId="0" borderId="0" xfId="0" applyNumberFormat="1" applyFont="1" applyBorder="1" applyAlignment="1">
      <alignment horizontal="center"/>
    </xf>
    <xf numFmtId="3" fontId="10" fillId="0" borderId="0" xfId="0" applyNumberFormat="1" applyFont="1" applyBorder="1" applyAlignment="1">
      <alignment horizontal="right" vertical="center"/>
    </xf>
    <xf numFmtId="3" fontId="10" fillId="0" borderId="0" xfId="20" applyNumberFormat="1" applyFont="1" applyBorder="1" applyAlignment="1">
      <alignment vertical="center"/>
    </xf>
    <xf numFmtId="3" fontId="10" fillId="0" borderId="0" xfId="36" applyNumberFormat="1" applyFont="1" applyBorder="1" applyAlignment="1">
      <alignment vertical="center"/>
    </xf>
    <xf numFmtId="3" fontId="8" fillId="0" borderId="0" xfId="20" applyNumberFormat="1" applyFont="1" applyBorder="1" applyAlignment="1">
      <alignment vertical="center"/>
    </xf>
    <xf numFmtId="3" fontId="8" fillId="0" borderId="0" xfId="36" applyNumberFormat="1" applyFont="1" applyBorder="1" applyAlignment="1">
      <alignment vertical="center"/>
    </xf>
    <xf numFmtId="0" fontId="10" fillId="0" borderId="4" xfId="20" applyFont="1" applyFill="1" applyBorder="1" applyAlignment="1">
      <alignment vertical="center" wrapText="1"/>
    </xf>
    <xf numFmtId="3" fontId="10" fillId="0" borderId="0" xfId="20" applyNumberFormat="1" applyFont="1" applyFill="1" applyBorder="1" applyAlignment="1">
      <alignment vertical="center"/>
    </xf>
    <xf numFmtId="3" fontId="10" fillId="0" borderId="0" xfId="36" applyNumberFormat="1" applyFont="1" applyFill="1" applyBorder="1" applyAlignment="1">
      <alignment vertical="center"/>
    </xf>
    <xf numFmtId="0" fontId="8" fillId="0" borderId="4" xfId="20" applyFont="1" applyFill="1" applyBorder="1" applyAlignment="1">
      <alignment horizontal="left" vertical="center" wrapText="1" indent="2"/>
    </xf>
    <xf numFmtId="3" fontId="8" fillId="0" borderId="0" xfId="20" applyNumberFormat="1" applyFont="1" applyFill="1" applyBorder="1" applyAlignment="1">
      <alignment vertical="center"/>
    </xf>
    <xf numFmtId="3" fontId="8" fillId="0" borderId="0" xfId="36" applyNumberFormat="1" applyFont="1" applyFill="1" applyBorder="1" applyAlignment="1">
      <alignment vertical="center"/>
    </xf>
    <xf numFmtId="3" fontId="8" fillId="0" borderId="0" xfId="20" applyNumberFormat="1" applyFont="1" applyFill="1" applyBorder="1" applyAlignment="1">
      <alignment horizontal="center" vertical="center"/>
    </xf>
    <xf numFmtId="3" fontId="8" fillId="0" borderId="0" xfId="20" applyNumberFormat="1" applyFont="1" applyFill="1" applyBorder="1" applyAlignment="1">
      <alignment horizontal="right" vertical="center"/>
    </xf>
    <xf numFmtId="3" fontId="11" fillId="0" borderId="0" xfId="17" applyNumberFormat="1" applyFont="1" applyFill="1" applyBorder="1" applyAlignment="1">
      <alignment horizontal="right"/>
    </xf>
    <xf numFmtId="3" fontId="8" fillId="0" borderId="6" xfId="17" applyNumberFormat="1" applyFont="1" applyFill="1" applyBorder="1" applyAlignment="1">
      <alignment horizontal="center"/>
    </xf>
    <xf numFmtId="49" fontId="8" fillId="0" borderId="72" xfId="17" applyNumberFormat="1" applyFont="1" applyFill="1" applyBorder="1" applyAlignment="1">
      <alignment horizontal="center" vertical="center" textRotation="90"/>
    </xf>
    <xf numFmtId="3" fontId="8" fillId="0" borderId="42" xfId="17" applyNumberFormat="1" applyFont="1" applyFill="1" applyBorder="1" applyAlignment="1">
      <alignment horizontal="center" vertical="center" textRotation="90"/>
    </xf>
    <xf numFmtId="3" fontId="10" fillId="0" borderId="42" xfId="17" applyNumberFormat="1" applyFont="1" applyFill="1" applyBorder="1" applyAlignment="1">
      <alignment horizontal="center" vertical="center"/>
    </xf>
    <xf numFmtId="3" fontId="10" fillId="0" borderId="228" xfId="17" applyNumberFormat="1" applyFont="1" applyFill="1" applyBorder="1" applyAlignment="1">
      <alignment horizontal="center" vertical="center" wrapText="1"/>
    </xf>
    <xf numFmtId="49" fontId="8" fillId="0" borderId="67" xfId="17" applyNumberFormat="1" applyFont="1" applyFill="1" applyBorder="1" applyAlignment="1">
      <alignment horizontal="center"/>
    </xf>
    <xf numFmtId="3" fontId="10" fillId="0" borderId="11" xfId="17" applyNumberFormat="1" applyFont="1" applyFill="1" applyBorder="1" applyAlignment="1">
      <alignment horizontal="center"/>
    </xf>
    <xf numFmtId="3" fontId="8" fillId="0" borderId="11" xfId="17" applyNumberFormat="1" applyFont="1" applyFill="1" applyBorder="1" applyAlignment="1">
      <alignment horizontal="center"/>
    </xf>
    <xf numFmtId="3" fontId="10" fillId="0" borderId="11" xfId="17" applyNumberFormat="1" applyFont="1" applyFill="1" applyBorder="1" applyAlignment="1">
      <alignment wrapText="1"/>
    </xf>
    <xf numFmtId="3" fontId="10" fillId="0" borderId="11" xfId="17" applyNumberFormat="1" applyFont="1" applyFill="1" applyBorder="1"/>
    <xf numFmtId="3" fontId="10" fillId="0" borderId="87" xfId="17" applyNumberFormat="1" applyFont="1" applyFill="1" applyBorder="1"/>
    <xf numFmtId="3" fontId="10" fillId="0" borderId="183" xfId="17" applyNumberFormat="1" applyFont="1" applyFill="1" applyBorder="1"/>
    <xf numFmtId="49" fontId="8" fillId="0" borderId="4" xfId="17" applyNumberFormat="1" applyFont="1" applyFill="1" applyBorder="1" applyAlignment="1">
      <alignment horizontal="center"/>
    </xf>
    <xf numFmtId="3" fontId="8" fillId="0" borderId="90" xfId="17" applyNumberFormat="1" applyFont="1" applyFill="1" applyBorder="1"/>
    <xf numFmtId="3" fontId="8" fillId="0" borderId="19" xfId="17" applyNumberFormat="1" applyFont="1" applyFill="1" applyBorder="1"/>
    <xf numFmtId="3" fontId="8" fillId="0" borderId="0" xfId="17" applyNumberFormat="1" applyFont="1" applyFill="1" applyBorder="1" applyAlignment="1">
      <alignment horizontal="left" indent="2"/>
    </xf>
    <xf numFmtId="49" fontId="8" fillId="0" borderId="68" xfId="17" applyNumberFormat="1" applyFont="1" applyFill="1" applyBorder="1" applyAlignment="1">
      <alignment horizontal="center"/>
    </xf>
    <xf numFmtId="3" fontId="10" fillId="0" borderId="8" xfId="17" applyNumberFormat="1" applyFont="1" applyFill="1" applyBorder="1" applyAlignment="1">
      <alignment horizontal="center"/>
    </xf>
    <xf numFmtId="3" fontId="8" fillId="0" borderId="8" xfId="17" applyNumberFormat="1" applyFont="1" applyFill="1" applyBorder="1" applyAlignment="1">
      <alignment horizontal="center"/>
    </xf>
    <xf numFmtId="3" fontId="10" fillId="0" borderId="8" xfId="17" applyNumberFormat="1" applyFont="1" applyFill="1" applyBorder="1"/>
    <xf numFmtId="3" fontId="10" fillId="0" borderId="92" xfId="17" applyNumberFormat="1" applyFont="1" applyFill="1" applyBorder="1"/>
    <xf numFmtId="3" fontId="10" fillId="0" borderId="184" xfId="17" applyNumberFormat="1" applyFont="1" applyFill="1" applyBorder="1"/>
    <xf numFmtId="3" fontId="10" fillId="0" borderId="90" xfId="17" applyNumberFormat="1" applyFont="1" applyFill="1" applyBorder="1"/>
    <xf numFmtId="3" fontId="10" fillId="0" borderId="19" xfId="17" applyNumberFormat="1" applyFont="1" applyFill="1" applyBorder="1"/>
    <xf numFmtId="49" fontId="11" fillId="0" borderId="4" xfId="17" applyNumberFormat="1" applyFont="1" applyFill="1" applyBorder="1" applyAlignment="1">
      <alignment horizontal="center"/>
    </xf>
    <xf numFmtId="3" fontId="11" fillId="0" borderId="0" xfId="17" applyNumberFormat="1" applyFont="1" applyFill="1" applyBorder="1" applyAlignment="1">
      <alignment horizontal="center"/>
    </xf>
    <xf numFmtId="3" fontId="11" fillId="0" borderId="0" xfId="17" applyNumberFormat="1" applyFont="1" applyFill="1" applyBorder="1" applyAlignment="1">
      <alignment horizontal="left" indent="2"/>
    </xf>
    <xf numFmtId="3" fontId="11" fillId="0" borderId="0" xfId="17" applyNumberFormat="1" applyFont="1" applyFill="1" applyBorder="1"/>
    <xf numFmtId="3" fontId="11" fillId="0" borderId="90" xfId="17" applyNumberFormat="1" applyFont="1" applyFill="1" applyBorder="1"/>
    <xf numFmtId="3" fontId="11" fillId="0" borderId="19" xfId="17" applyNumberFormat="1" applyFont="1" applyFill="1" applyBorder="1"/>
    <xf numFmtId="3" fontId="8" fillId="0" borderId="0" xfId="17" applyNumberFormat="1" applyFont="1" applyFill="1" applyBorder="1" applyAlignment="1">
      <alignment horizontal="left" indent="3"/>
    </xf>
    <xf numFmtId="3" fontId="8" fillId="0" borderId="0" xfId="17" applyNumberFormat="1" applyFont="1" applyFill="1" applyBorder="1" applyAlignment="1">
      <alignment horizontal="left" wrapText="1" indent="3"/>
    </xf>
    <xf numFmtId="3" fontId="8" fillId="0" borderId="0" xfId="17" applyNumberFormat="1" applyFont="1" applyFill="1" applyBorder="1" applyAlignment="1">
      <alignment vertical="center"/>
    </xf>
    <xf numFmtId="3" fontId="8" fillId="0" borderId="90" xfId="17" applyNumberFormat="1" applyFont="1" applyFill="1" applyBorder="1" applyAlignment="1">
      <alignment vertical="center"/>
    </xf>
    <xf numFmtId="49" fontId="8" fillId="0" borderId="4" xfId="17" applyNumberFormat="1" applyFont="1" applyFill="1" applyBorder="1" applyAlignment="1">
      <alignment horizontal="center" vertical="center"/>
    </xf>
    <xf numFmtId="3" fontId="10" fillId="0" borderId="0" xfId="17" applyNumberFormat="1" applyFont="1" applyFill="1" applyBorder="1" applyAlignment="1">
      <alignment horizontal="center" vertical="center"/>
    </xf>
    <xf numFmtId="3" fontId="10" fillId="0" borderId="90" xfId="17" applyNumberFormat="1" applyFont="1" applyFill="1" applyBorder="1" applyAlignment="1">
      <alignment vertical="center"/>
    </xf>
    <xf numFmtId="3" fontId="10" fillId="0" borderId="19" xfId="17" applyNumberFormat="1" applyFont="1" applyFill="1" applyBorder="1" applyAlignment="1">
      <alignment vertical="center"/>
    </xf>
    <xf numFmtId="3" fontId="8" fillId="0" borderId="0" xfId="17" applyNumberFormat="1" applyFont="1" applyFill="1" applyBorder="1" applyAlignment="1"/>
    <xf numFmtId="3" fontId="8" fillId="0" borderId="90" xfId="17" applyNumberFormat="1" applyFont="1" applyFill="1" applyBorder="1" applyAlignment="1"/>
    <xf numFmtId="3" fontId="8" fillId="0" borderId="19" xfId="17" applyNumberFormat="1" applyFont="1" applyFill="1" applyBorder="1" applyAlignment="1"/>
    <xf numFmtId="3" fontId="8" fillId="0" borderId="0" xfId="17" applyNumberFormat="1" applyFont="1" applyFill="1" applyBorder="1" applyAlignment="1">
      <alignment wrapText="1"/>
    </xf>
    <xf numFmtId="49" fontId="8" fillId="0" borderId="12" xfId="17" applyNumberFormat="1" applyFont="1" applyFill="1" applyBorder="1" applyAlignment="1">
      <alignment horizontal="center" vertical="center"/>
    </xf>
    <xf numFmtId="3" fontId="10" fillId="0" borderId="13" xfId="17" applyNumberFormat="1" applyFont="1" applyFill="1" applyBorder="1" applyAlignment="1">
      <alignment horizontal="center" vertical="center"/>
    </xf>
    <xf numFmtId="3" fontId="8" fillId="0" borderId="13" xfId="17" applyNumberFormat="1" applyFont="1" applyFill="1" applyBorder="1" applyAlignment="1">
      <alignment horizontal="center" vertical="center"/>
    </xf>
    <xf numFmtId="3" fontId="10" fillId="0" borderId="13" xfId="17" applyNumberFormat="1" applyFont="1" applyFill="1" applyBorder="1" applyAlignment="1">
      <alignment vertical="center"/>
    </xf>
    <xf numFmtId="3" fontId="10" fillId="0" borderId="228" xfId="17" applyNumberFormat="1" applyFont="1" applyFill="1" applyBorder="1" applyAlignment="1">
      <alignment vertical="center"/>
    </xf>
    <xf numFmtId="3" fontId="10" fillId="0" borderId="32" xfId="17" applyNumberFormat="1" applyFont="1" applyFill="1" applyBorder="1" applyAlignment="1">
      <alignment vertical="center"/>
    </xf>
    <xf numFmtId="3" fontId="8" fillId="0" borderId="0" xfId="17" applyNumberFormat="1" applyFont="1" applyFill="1" applyBorder="1" applyAlignment="1">
      <alignment horizontal="left" indent="1"/>
    </xf>
    <xf numFmtId="49" fontId="8" fillId="0" borderId="4" xfId="17" applyNumberFormat="1" applyFont="1" applyFill="1" applyBorder="1" applyAlignment="1">
      <alignment horizontal="center" vertical="top"/>
    </xf>
    <xf numFmtId="3" fontId="8" fillId="0" borderId="0" xfId="17" applyNumberFormat="1" applyFont="1" applyFill="1" applyBorder="1" applyAlignment="1">
      <alignment horizontal="center" vertical="top"/>
    </xf>
    <xf numFmtId="3" fontId="8" fillId="0" borderId="0" xfId="17" applyNumberFormat="1" applyFont="1" applyFill="1" applyBorder="1" applyAlignment="1">
      <alignment horizontal="left" vertical="top" indent="1"/>
    </xf>
    <xf numFmtId="3" fontId="8" fillId="0" borderId="0" xfId="17" applyNumberFormat="1" applyFont="1" applyFill="1" applyBorder="1" applyAlignment="1">
      <alignment vertical="top"/>
    </xf>
    <xf numFmtId="3" fontId="8" fillId="0" borderId="90" xfId="17" applyNumberFormat="1" applyFont="1" applyFill="1" applyBorder="1" applyAlignment="1">
      <alignment vertical="top"/>
    </xf>
    <xf numFmtId="3" fontId="8" fillId="0" borderId="19" xfId="17" applyNumberFormat="1" applyFont="1" applyFill="1" applyBorder="1" applyAlignment="1">
      <alignment vertical="top"/>
    </xf>
    <xf numFmtId="3" fontId="12" fillId="0" borderId="0" xfId="0" applyNumberFormat="1" applyFont="1" applyFill="1" applyBorder="1" applyAlignment="1">
      <alignment horizontal="center" vertical="center"/>
    </xf>
    <xf numFmtId="3" fontId="21" fillId="0" borderId="7" xfId="0" applyNumberFormat="1" applyFont="1" applyFill="1" applyBorder="1" applyAlignment="1">
      <alignment horizontal="center" vertical="center" wrapText="1"/>
    </xf>
    <xf numFmtId="3" fontId="16" fillId="0" borderId="27" xfId="0" applyNumberFormat="1" applyFont="1" applyFill="1" applyBorder="1" applyAlignment="1">
      <alignment horizontal="center"/>
    </xf>
    <xf numFmtId="3" fontId="16" fillId="0" borderId="24" xfId="0" applyNumberFormat="1" applyFont="1" applyFill="1" applyBorder="1" applyAlignment="1">
      <alignment horizontal="center"/>
    </xf>
    <xf numFmtId="3" fontId="19" fillId="0" borderId="123" xfId="28" applyNumberFormat="1" applyFont="1" applyFill="1" applyBorder="1" applyAlignment="1">
      <alignment horizontal="left"/>
    </xf>
    <xf numFmtId="3" fontId="19" fillId="0" borderId="81" xfId="28" applyNumberFormat="1" applyFont="1" applyFill="1" applyBorder="1" applyAlignment="1">
      <alignment horizontal="left"/>
    </xf>
    <xf numFmtId="3" fontId="16" fillId="0" borderId="24" xfId="0" applyNumberFormat="1" applyFont="1" applyFill="1" applyBorder="1" applyAlignment="1"/>
    <xf numFmtId="3" fontId="18" fillId="0" borderId="24" xfId="0" applyNumberFormat="1" applyFont="1" applyFill="1" applyBorder="1" applyAlignment="1"/>
    <xf numFmtId="3" fontId="19" fillId="0" borderId="25" xfId="0" applyNumberFormat="1" applyFont="1" applyFill="1" applyBorder="1" applyAlignment="1"/>
    <xf numFmtId="3" fontId="16" fillId="0" borderId="16" xfId="0" applyNumberFormat="1" applyFont="1" applyFill="1" applyBorder="1" applyAlignment="1">
      <alignment horizontal="center"/>
    </xf>
    <xf numFmtId="3" fontId="16" fillId="0" borderId="17" xfId="0" applyNumberFormat="1" applyFont="1" applyFill="1" applyBorder="1" applyAlignment="1">
      <alignment horizontal="center"/>
    </xf>
    <xf numFmtId="3" fontId="16" fillId="0" borderId="36" xfId="28" applyNumberFormat="1" applyFont="1" applyFill="1" applyBorder="1" applyAlignment="1">
      <alignment horizontal="left"/>
    </xf>
    <xf numFmtId="3" fontId="16" fillId="0" borderId="17" xfId="0" applyNumberFormat="1" applyFont="1" applyFill="1" applyBorder="1" applyAlignment="1"/>
    <xf numFmtId="3" fontId="18" fillId="0" borderId="17" xfId="0" applyNumberFormat="1" applyFont="1" applyFill="1" applyBorder="1" applyAlignment="1"/>
    <xf numFmtId="3" fontId="19" fillId="0" borderId="18" xfId="0" applyNumberFormat="1" applyFont="1" applyFill="1" applyBorder="1" applyAlignment="1"/>
    <xf numFmtId="3" fontId="37" fillId="0" borderId="16" xfId="0" applyNumberFormat="1" applyFont="1" applyFill="1" applyBorder="1" applyAlignment="1">
      <alignment horizontal="center" vertical="center"/>
    </xf>
    <xf numFmtId="3" fontId="37" fillId="0" borderId="17" xfId="0" applyNumberFormat="1" applyFont="1" applyFill="1" applyBorder="1" applyAlignment="1">
      <alignment horizontal="center"/>
    </xf>
    <xf numFmtId="3" fontId="37" fillId="0" borderId="36" xfId="0" applyNumberFormat="1" applyFont="1" applyFill="1" applyBorder="1" applyAlignment="1">
      <alignment horizontal="center"/>
    </xf>
    <xf numFmtId="3" fontId="37" fillId="0" borderId="116" xfId="28" applyNumberFormat="1" applyFont="1" applyFill="1" applyBorder="1" applyAlignment="1"/>
    <xf numFmtId="3" fontId="37" fillId="0" borderId="17" xfId="0" applyNumberFormat="1" applyFont="1" applyFill="1" applyBorder="1" applyAlignment="1"/>
    <xf numFmtId="3" fontId="38" fillId="0" borderId="17" xfId="0" applyNumberFormat="1" applyFont="1" applyFill="1" applyBorder="1" applyAlignment="1"/>
    <xf numFmtId="3" fontId="37" fillId="0" borderId="18" xfId="0" applyNumberFormat="1" applyFont="1" applyFill="1" applyBorder="1" applyAlignment="1"/>
    <xf numFmtId="3" fontId="19" fillId="0" borderId="36" xfId="0" applyNumberFormat="1" applyFont="1" applyFill="1" applyBorder="1" applyAlignment="1">
      <alignment horizontal="center"/>
    </xf>
    <xf numFmtId="3" fontId="19" fillId="0" borderId="116" xfId="28" applyNumberFormat="1" applyFont="1" applyFill="1" applyBorder="1" applyAlignment="1"/>
    <xf numFmtId="3" fontId="19" fillId="0" borderId="17" xfId="0" applyNumberFormat="1" applyFont="1" applyFill="1" applyBorder="1" applyAlignment="1"/>
    <xf numFmtId="3" fontId="22" fillId="0" borderId="17" xfId="0" applyNumberFormat="1" applyFont="1" applyFill="1" applyBorder="1" applyAlignment="1"/>
    <xf numFmtId="3" fontId="18" fillId="0" borderId="16" xfId="0" applyNumberFormat="1" applyFont="1" applyFill="1" applyBorder="1" applyAlignment="1">
      <alignment horizontal="center" vertical="center"/>
    </xf>
    <xf numFmtId="3" fontId="18" fillId="0" borderId="17" xfId="0" applyNumberFormat="1" applyFont="1" applyFill="1" applyBorder="1" applyAlignment="1">
      <alignment horizontal="center"/>
    </xf>
    <xf numFmtId="3" fontId="18" fillId="0" borderId="36" xfId="0" applyNumberFormat="1" applyFont="1" applyFill="1" applyBorder="1" applyAlignment="1">
      <alignment horizontal="center"/>
    </xf>
    <xf numFmtId="3" fontId="18" fillId="0" borderId="116" xfId="28" applyNumberFormat="1" applyFont="1" applyFill="1" applyBorder="1" applyAlignment="1"/>
    <xf numFmtId="3" fontId="18" fillId="0" borderId="18" xfId="0" applyNumberFormat="1" applyFont="1" applyFill="1" applyBorder="1" applyAlignment="1"/>
    <xf numFmtId="3" fontId="19" fillId="0" borderId="16" xfId="0" applyNumberFormat="1" applyFont="1" applyFill="1" applyBorder="1" applyAlignment="1">
      <alignment horizontal="center" vertical="center"/>
    </xf>
    <xf numFmtId="3" fontId="19" fillId="0" borderId="17" xfId="0" applyNumberFormat="1" applyFont="1" applyFill="1" applyBorder="1" applyAlignment="1">
      <alignment horizontal="center"/>
    </xf>
    <xf numFmtId="3" fontId="19" fillId="0" borderId="116" xfId="28" applyNumberFormat="1" applyFont="1" applyFill="1" applyBorder="1" applyAlignment="1">
      <alignment horizontal="left"/>
    </xf>
    <xf numFmtId="3" fontId="16" fillId="0" borderId="17" xfId="0" applyNumberFormat="1" applyFont="1" applyFill="1" applyBorder="1" applyAlignment="1">
      <alignment vertical="top"/>
    </xf>
    <xf numFmtId="3" fontId="18" fillId="0" borderId="17" xfId="0" applyNumberFormat="1" applyFont="1" applyFill="1" applyBorder="1" applyAlignment="1">
      <alignment vertical="top"/>
    </xf>
    <xf numFmtId="3" fontId="19" fillId="0" borderId="18" xfId="0" applyNumberFormat="1" applyFont="1" applyFill="1" applyBorder="1" applyAlignment="1">
      <alignment vertical="top"/>
    </xf>
    <xf numFmtId="3" fontId="16" fillId="0" borderId="16" xfId="0" applyNumberFormat="1" applyFont="1" applyFill="1" applyBorder="1" applyAlignment="1">
      <alignment horizontal="center" vertical="center"/>
    </xf>
    <xf numFmtId="3" fontId="16" fillId="0" borderId="116" xfId="28" applyNumberFormat="1" applyFont="1" applyFill="1" applyBorder="1" applyAlignment="1"/>
    <xf numFmtId="0" fontId="0" fillId="0" borderId="17" xfId="0" applyFont="1" applyFill="1" applyBorder="1"/>
    <xf numFmtId="0" fontId="27" fillId="0" borderId="17" xfId="0" applyFont="1" applyFill="1" applyBorder="1"/>
    <xf numFmtId="0" fontId="26" fillId="0" borderId="18" xfId="0" applyFont="1" applyFill="1" applyBorder="1"/>
    <xf numFmtId="3" fontId="16" fillId="0" borderId="16" xfId="0" applyNumberFormat="1" applyFont="1" applyFill="1" applyBorder="1" applyAlignment="1">
      <alignment horizontal="center" vertical="top"/>
    </xf>
    <xf numFmtId="3" fontId="16" fillId="0" borderId="17" xfId="0" applyNumberFormat="1" applyFont="1" applyFill="1" applyBorder="1" applyAlignment="1">
      <alignment vertical="center"/>
    </xf>
    <xf numFmtId="3" fontId="18" fillId="0" borderId="17" xfId="0" applyNumberFormat="1" applyFont="1" applyFill="1" applyBorder="1" applyAlignment="1">
      <alignment vertical="center"/>
    </xf>
    <xf numFmtId="3" fontId="19" fillId="0" borderId="18" xfId="0" applyNumberFormat="1" applyFont="1" applyFill="1" applyBorder="1" applyAlignment="1">
      <alignment vertical="center"/>
    </xf>
    <xf numFmtId="3" fontId="37" fillId="0" borderId="16" xfId="0" applyNumberFormat="1" applyFont="1" applyFill="1" applyBorder="1" applyAlignment="1">
      <alignment horizontal="center" vertical="top"/>
    </xf>
    <xf numFmtId="3" fontId="37" fillId="0" borderId="46" xfId="0" applyNumberFormat="1" applyFont="1" applyFill="1" applyBorder="1" applyAlignment="1">
      <alignment horizontal="center"/>
    </xf>
    <xf numFmtId="3" fontId="37" fillId="0" borderId="174" xfId="0" applyNumberFormat="1" applyFont="1" applyFill="1" applyBorder="1" applyAlignment="1">
      <alignment horizontal="center"/>
    </xf>
    <xf numFmtId="3" fontId="37" fillId="0" borderId="131" xfId="28" applyNumberFormat="1" applyFont="1" applyFill="1" applyBorder="1" applyAlignment="1">
      <alignment horizontal="left"/>
    </xf>
    <xf numFmtId="3" fontId="37" fillId="0" borderId="46" xfId="0" applyNumberFormat="1" applyFont="1" applyFill="1" applyBorder="1" applyAlignment="1">
      <alignment vertical="top"/>
    </xf>
    <xf numFmtId="3" fontId="38" fillId="0" borderId="46" xfId="0" applyNumberFormat="1" applyFont="1" applyFill="1" applyBorder="1" applyAlignment="1">
      <alignment vertical="top"/>
    </xf>
    <xf numFmtId="3" fontId="37" fillId="0" borderId="47" xfId="0" applyNumberFormat="1" applyFont="1" applyFill="1" applyBorder="1" applyAlignment="1">
      <alignment vertical="top"/>
    </xf>
    <xf numFmtId="3" fontId="19" fillId="0" borderId="46" xfId="0" applyNumberFormat="1" applyFont="1" applyFill="1" applyBorder="1" applyAlignment="1">
      <alignment vertical="top"/>
    </xf>
    <xf numFmtId="3" fontId="19" fillId="0" borderId="15" xfId="0" applyNumberFormat="1" applyFont="1" applyFill="1" applyBorder="1" applyAlignment="1">
      <alignment vertical="center"/>
    </xf>
    <xf numFmtId="3" fontId="22" fillId="0" borderId="15" xfId="0" applyNumberFormat="1" applyFont="1" applyFill="1" applyBorder="1" applyAlignment="1">
      <alignment vertical="center"/>
    </xf>
    <xf numFmtId="3" fontId="19" fillId="0" borderId="122" xfId="0" applyNumberFormat="1" applyFont="1" applyFill="1" applyBorder="1" applyAlignment="1">
      <alignment vertical="center"/>
    </xf>
    <xf numFmtId="3" fontId="22" fillId="0" borderId="46" xfId="0" applyNumberFormat="1" applyFont="1" applyFill="1" applyBorder="1" applyAlignment="1">
      <alignment vertical="top"/>
    </xf>
    <xf numFmtId="3" fontId="19" fillId="0" borderId="47" xfId="0" applyNumberFormat="1" applyFont="1" applyFill="1" applyBorder="1" applyAlignment="1">
      <alignment vertical="top"/>
    </xf>
    <xf numFmtId="3" fontId="19" fillId="0" borderId="110" xfId="0" applyNumberFormat="1" applyFont="1" applyFill="1" applyBorder="1" applyAlignment="1">
      <alignment horizontal="center"/>
    </xf>
    <xf numFmtId="3" fontId="19" fillId="0" borderId="193" xfId="0" applyNumberFormat="1" applyFont="1" applyFill="1" applyBorder="1" applyAlignment="1">
      <alignment horizontal="center"/>
    </xf>
    <xf numFmtId="3" fontId="19" fillId="0" borderId="135" xfId="28" applyNumberFormat="1" applyFont="1" applyFill="1" applyBorder="1" applyAlignment="1"/>
    <xf numFmtId="3" fontId="19" fillId="0" borderId="110" xfId="0" applyNumberFormat="1" applyFont="1" applyFill="1" applyBorder="1" applyAlignment="1"/>
    <xf numFmtId="3" fontId="19" fillId="0" borderId="138" xfId="0" applyNumberFormat="1" applyFont="1" applyFill="1" applyBorder="1" applyAlignment="1"/>
    <xf numFmtId="3" fontId="19" fillId="0" borderId="81" xfId="28" applyNumberFormat="1" applyFont="1" applyFill="1" applyBorder="1" applyAlignment="1"/>
    <xf numFmtId="3" fontId="16" fillId="0" borderId="24" xfId="0" applyNumberFormat="1" applyFont="1" applyFill="1" applyBorder="1" applyAlignment="1">
      <alignment vertical="center"/>
    </xf>
    <xf numFmtId="3" fontId="18" fillId="0" borderId="24" xfId="0" applyNumberFormat="1" applyFont="1" applyFill="1" applyBorder="1" applyAlignment="1">
      <alignment vertical="center"/>
    </xf>
    <xf numFmtId="3" fontId="19" fillId="0" borderId="25" xfId="0" applyNumberFormat="1" applyFont="1" applyFill="1" applyBorder="1" applyAlignment="1">
      <alignment vertical="center"/>
    </xf>
    <xf numFmtId="3" fontId="37" fillId="0" borderId="17" xfId="0" applyNumberFormat="1" applyFont="1" applyFill="1" applyBorder="1" applyAlignment="1">
      <alignment vertical="center"/>
    </xf>
    <xf numFmtId="3" fontId="38" fillId="0" borderId="17" xfId="0" applyNumberFormat="1" applyFont="1" applyFill="1" applyBorder="1" applyAlignment="1">
      <alignment vertical="center"/>
    </xf>
    <xf numFmtId="3" fontId="37" fillId="0" borderId="18" xfId="0" applyNumberFormat="1" applyFont="1" applyFill="1" applyBorder="1" applyAlignment="1">
      <alignment vertical="center"/>
    </xf>
    <xf numFmtId="3" fontId="18" fillId="0" borderId="17" xfId="28" applyNumberFormat="1" applyFont="1" applyFill="1" applyBorder="1" applyAlignment="1"/>
    <xf numFmtId="3" fontId="19" fillId="0" borderId="17" xfId="0" applyNumberFormat="1" applyFont="1" applyFill="1" applyBorder="1" applyAlignment="1">
      <alignment vertical="center"/>
    </xf>
    <xf numFmtId="3" fontId="22" fillId="0" borderId="17" xfId="0" applyNumberFormat="1" applyFont="1" applyFill="1" applyBorder="1" applyAlignment="1">
      <alignment vertical="center"/>
    </xf>
    <xf numFmtId="3" fontId="37" fillId="0" borderId="131" xfId="28" applyNumberFormat="1" applyFont="1" applyFill="1" applyBorder="1" applyAlignment="1"/>
    <xf numFmtId="3" fontId="37" fillId="0" borderId="46" xfId="0" applyNumberFormat="1" applyFont="1" applyFill="1" applyBorder="1" applyAlignment="1">
      <alignment vertical="center"/>
    </xf>
    <xf numFmtId="3" fontId="38" fillId="0" borderId="46" xfId="0" applyNumberFormat="1" applyFont="1" applyFill="1" applyBorder="1" applyAlignment="1">
      <alignment vertical="center"/>
    </xf>
    <xf numFmtId="3" fontId="37" fillId="0" borderId="47" xfId="0" applyNumberFormat="1" applyFont="1" applyFill="1" applyBorder="1" applyAlignment="1">
      <alignment vertical="center"/>
    </xf>
    <xf numFmtId="3" fontId="19" fillId="0" borderId="46" xfId="0" applyNumberFormat="1" applyFont="1" applyFill="1" applyBorder="1" applyAlignment="1">
      <alignment vertical="center"/>
    </xf>
    <xf numFmtId="3" fontId="22" fillId="0" borderId="46" xfId="0" applyNumberFormat="1" applyFont="1" applyFill="1" applyBorder="1" applyAlignment="1">
      <alignment vertical="center"/>
    </xf>
    <xf numFmtId="3" fontId="18" fillId="0" borderId="46" xfId="0" applyNumberFormat="1" applyFont="1" applyFill="1" applyBorder="1" applyAlignment="1">
      <alignment vertical="center"/>
    </xf>
    <xf numFmtId="3" fontId="19" fillId="0" borderId="47" xfId="0" applyNumberFormat="1" applyFont="1" applyFill="1" applyBorder="1" applyAlignment="1">
      <alignment vertical="center"/>
    </xf>
    <xf numFmtId="3" fontId="19" fillId="0" borderId="81" xfId="28" applyNumberFormat="1" applyFont="1" applyFill="1" applyBorder="1" applyAlignment="1">
      <alignment wrapText="1"/>
    </xf>
    <xf numFmtId="3" fontId="19" fillId="0" borderId="116" xfId="28" applyNumberFormat="1" applyFont="1" applyFill="1" applyBorder="1" applyAlignment="1">
      <alignment wrapText="1"/>
    </xf>
    <xf numFmtId="3" fontId="37" fillId="0" borderId="116" xfId="28" applyNumberFormat="1" applyFont="1" applyFill="1" applyBorder="1" applyAlignment="1">
      <alignment horizontal="left"/>
    </xf>
    <xf numFmtId="3" fontId="37" fillId="0" borderId="17" xfId="0" applyNumberFormat="1" applyFont="1" applyFill="1" applyBorder="1" applyAlignment="1">
      <alignment vertical="top"/>
    </xf>
    <xf numFmtId="3" fontId="38" fillId="0" borderId="17" xfId="0" applyNumberFormat="1" applyFont="1" applyFill="1" applyBorder="1" applyAlignment="1">
      <alignment vertical="top"/>
    </xf>
    <xf numFmtId="3" fontId="37" fillId="0" borderId="18" xfId="0" applyNumberFormat="1" applyFont="1" applyFill="1" applyBorder="1" applyAlignment="1">
      <alignment vertical="top"/>
    </xf>
    <xf numFmtId="3" fontId="19" fillId="0" borderId="17" xfId="0" applyNumberFormat="1" applyFont="1" applyFill="1" applyBorder="1" applyAlignment="1">
      <alignment vertical="top"/>
    </xf>
    <xf numFmtId="3" fontId="22" fillId="0" borderId="17" xfId="0" applyNumberFormat="1" applyFont="1" applyFill="1" applyBorder="1" applyAlignment="1">
      <alignment vertical="top"/>
    </xf>
    <xf numFmtId="3" fontId="16" fillId="0" borderId="17" xfId="0" applyNumberFormat="1" applyFont="1" applyFill="1" applyBorder="1" applyAlignment="1">
      <alignment horizontal="center" vertical="top"/>
    </xf>
    <xf numFmtId="3" fontId="37" fillId="0" borderId="51" xfId="0" applyNumberFormat="1" applyFont="1" applyFill="1" applyBorder="1" applyAlignment="1">
      <alignment horizontal="center" vertical="center"/>
    </xf>
    <xf numFmtId="3" fontId="16" fillId="0" borderId="44" xfId="0" applyNumberFormat="1" applyFont="1" applyFill="1" applyBorder="1" applyAlignment="1">
      <alignment vertical="center"/>
    </xf>
    <xf numFmtId="3" fontId="18" fillId="0" borderId="44" xfId="0" applyNumberFormat="1" applyFont="1" applyFill="1" applyBorder="1" applyAlignment="1">
      <alignment vertical="center"/>
    </xf>
    <xf numFmtId="3" fontId="19" fillId="0" borderId="45" xfId="0" applyNumberFormat="1" applyFont="1" applyFill="1" applyBorder="1" applyAlignment="1">
      <alignment vertical="center"/>
    </xf>
    <xf numFmtId="3" fontId="19" fillId="0" borderId="48" xfId="0" applyNumberFormat="1" applyFont="1" applyFill="1" applyBorder="1" applyAlignment="1">
      <alignment horizontal="center" vertical="center"/>
    </xf>
    <xf numFmtId="3" fontId="19" fillId="0" borderId="49" xfId="0" applyNumberFormat="1" applyFont="1" applyFill="1" applyBorder="1" applyAlignment="1">
      <alignment horizontal="center"/>
    </xf>
    <xf numFmtId="3" fontId="19" fillId="0" borderId="175" xfId="0" applyNumberFormat="1" applyFont="1" applyFill="1" applyBorder="1" applyAlignment="1">
      <alignment horizontal="center"/>
    </xf>
    <xf numFmtId="3" fontId="19" fillId="0" borderId="117" xfId="28" applyNumberFormat="1" applyFont="1" applyFill="1" applyBorder="1" applyAlignment="1"/>
    <xf numFmtId="3" fontId="19" fillId="0" borderId="49" xfId="0" applyNumberFormat="1" applyFont="1" applyFill="1" applyBorder="1" applyAlignment="1"/>
    <xf numFmtId="3" fontId="19" fillId="0" borderId="50" xfId="0" applyNumberFormat="1" applyFont="1" applyFill="1" applyBorder="1" applyAlignment="1"/>
    <xf numFmtId="3" fontId="19" fillId="0" borderId="26" xfId="28" applyNumberFormat="1" applyFont="1" applyFill="1" applyBorder="1" applyAlignment="1"/>
    <xf numFmtId="3" fontId="19" fillId="0" borderId="26" xfId="28" applyNumberFormat="1" applyFont="1" applyFill="1" applyBorder="1" applyAlignment="1">
      <alignment wrapText="1"/>
    </xf>
    <xf numFmtId="3" fontId="19" fillId="0" borderId="123" xfId="28" applyNumberFormat="1" applyFont="1" applyFill="1" applyBorder="1" applyAlignment="1">
      <alignment wrapText="1"/>
    </xf>
    <xf numFmtId="3" fontId="37" fillId="0" borderId="46" xfId="28" applyNumberFormat="1" applyFont="1" applyFill="1" applyBorder="1" applyAlignment="1"/>
    <xf numFmtId="3" fontId="19" fillId="0" borderId="17" xfId="28" applyNumberFormat="1" applyFont="1" applyFill="1" applyBorder="1" applyAlignment="1"/>
    <xf numFmtId="3" fontId="19" fillId="0" borderId="49" xfId="28" applyNumberFormat="1" applyFont="1" applyFill="1" applyBorder="1" applyAlignment="1"/>
    <xf numFmtId="3" fontId="19" fillId="0" borderId="44" xfId="0" applyNumberFormat="1" applyFont="1" applyFill="1" applyBorder="1" applyAlignment="1">
      <alignment vertical="center"/>
    </xf>
    <xf numFmtId="3" fontId="22" fillId="0" borderId="44" xfId="0" applyNumberFormat="1" applyFont="1" applyFill="1" applyBorder="1" applyAlignment="1">
      <alignment vertical="center"/>
    </xf>
    <xf numFmtId="3" fontId="37" fillId="0" borderId="46" xfId="28" applyNumberFormat="1" applyFont="1" applyFill="1" applyBorder="1" applyAlignment="1">
      <alignment horizontal="left"/>
    </xf>
    <xf numFmtId="3" fontId="16" fillId="0" borderId="64" xfId="0" applyNumberFormat="1" applyFont="1" applyFill="1" applyBorder="1" applyAlignment="1">
      <alignment horizontal="center" vertical="center"/>
    </xf>
    <xf numFmtId="3" fontId="16" fillId="0" borderId="24" xfId="0" applyNumberFormat="1" applyFont="1" applyFill="1" applyBorder="1" applyAlignment="1">
      <alignment horizontal="center" vertical="center"/>
    </xf>
    <xf numFmtId="3" fontId="16" fillId="0" borderId="23" xfId="29" applyNumberFormat="1" applyFont="1" applyFill="1" applyBorder="1" applyAlignment="1">
      <alignment vertical="center" wrapText="1"/>
    </xf>
    <xf numFmtId="3" fontId="16" fillId="0" borderId="25" xfId="0" applyNumberFormat="1" applyFont="1" applyFill="1" applyBorder="1" applyAlignment="1">
      <alignment vertical="center"/>
    </xf>
    <xf numFmtId="3" fontId="16" fillId="0" borderId="126" xfId="0" applyNumberFormat="1" applyFont="1" applyFill="1" applyBorder="1" applyAlignment="1">
      <alignment horizontal="center" vertical="center"/>
    </xf>
    <xf numFmtId="3" fontId="16" fillId="0" borderId="17" xfId="0" applyNumberFormat="1" applyFont="1" applyFill="1" applyBorder="1" applyAlignment="1">
      <alignment horizontal="center" vertical="center"/>
    </xf>
    <xf numFmtId="3" fontId="16" fillId="0" borderId="18" xfId="0" applyNumberFormat="1" applyFont="1" applyFill="1" applyBorder="1" applyAlignment="1">
      <alignment vertical="center"/>
    </xf>
    <xf numFmtId="3" fontId="16" fillId="0" borderId="46" xfId="0" applyNumberFormat="1" applyFont="1" applyFill="1" applyBorder="1" applyAlignment="1">
      <alignment horizontal="center" vertical="center"/>
    </xf>
    <xf numFmtId="3" fontId="16" fillId="0" borderId="59" xfId="29" applyNumberFormat="1" applyFont="1" applyFill="1" applyBorder="1" applyAlignment="1">
      <alignment vertical="center" wrapText="1"/>
    </xf>
    <xf numFmtId="3" fontId="16" fillId="0" borderId="46" xfId="0" applyNumberFormat="1" applyFont="1" applyFill="1" applyBorder="1" applyAlignment="1">
      <alignment vertical="center"/>
    </xf>
    <xf numFmtId="3" fontId="16" fillId="0" borderId="47" xfId="0" applyNumberFormat="1" applyFont="1" applyFill="1" applyBorder="1" applyAlignment="1">
      <alignment vertical="center"/>
    </xf>
    <xf numFmtId="3" fontId="22" fillId="0" borderId="126" xfId="0" applyNumberFormat="1" applyFont="1" applyFill="1" applyBorder="1" applyAlignment="1">
      <alignment horizontal="center" vertical="center"/>
    </xf>
    <xf numFmtId="3" fontId="22" fillId="0" borderId="54" xfId="0" applyNumberFormat="1" applyFont="1" applyFill="1" applyBorder="1" applyAlignment="1">
      <alignment vertical="center"/>
    </xf>
    <xf numFmtId="3" fontId="22" fillId="0" borderId="133" xfId="0" applyNumberFormat="1" applyFont="1" applyFill="1" applyBorder="1" applyAlignment="1">
      <alignment horizontal="left" vertical="center"/>
    </xf>
    <xf numFmtId="3" fontId="22" fillId="0" borderId="29" xfId="0" applyNumberFormat="1" applyFont="1" applyFill="1" applyBorder="1" applyAlignment="1">
      <alignment vertical="center"/>
    </xf>
    <xf numFmtId="3" fontId="16" fillId="0" borderId="26" xfId="29" applyNumberFormat="1" applyFont="1" applyFill="1" applyBorder="1" applyAlignment="1">
      <alignment vertical="center" wrapText="1"/>
    </xf>
    <xf numFmtId="3" fontId="16" fillId="0" borderId="81" xfId="29" applyNumberFormat="1" applyFont="1" applyFill="1" applyBorder="1" applyAlignment="1">
      <alignment horizontal="left" vertical="center" wrapText="1"/>
    </xf>
    <xf numFmtId="3" fontId="16" fillId="0" borderId="126" xfId="0" applyNumberFormat="1" applyFont="1" applyFill="1" applyBorder="1" applyAlignment="1">
      <alignment horizontal="center" vertical="top"/>
    </xf>
    <xf numFmtId="3" fontId="16" fillId="0" borderId="116" xfId="29" applyNumberFormat="1" applyFont="1" applyFill="1" applyBorder="1" applyAlignment="1">
      <alignment horizontal="left" vertical="center" wrapText="1"/>
    </xf>
    <xf numFmtId="3" fontId="16" fillId="0" borderId="116" xfId="29" applyNumberFormat="1" applyFont="1" applyFill="1" applyBorder="1" applyAlignment="1">
      <alignment horizontal="left" vertical="center"/>
    </xf>
    <xf numFmtId="3" fontId="16" fillId="0" borderId="131" xfId="29" applyNumberFormat="1" applyFont="1" applyFill="1" applyBorder="1" applyAlignment="1">
      <alignment horizontal="left" vertical="center"/>
    </xf>
    <xf numFmtId="3" fontId="16" fillId="0" borderId="4" xfId="0" applyNumberFormat="1" applyFont="1" applyFill="1" applyBorder="1" applyAlignment="1">
      <alignment horizontal="center" vertical="center"/>
    </xf>
    <xf numFmtId="3" fontId="16" fillId="0" borderId="76" xfId="0" applyNumberFormat="1" applyFont="1" applyFill="1" applyBorder="1" applyAlignment="1">
      <alignment horizontal="center" vertical="center"/>
    </xf>
    <xf numFmtId="3" fontId="16" fillId="0" borderId="78" xfId="29" applyNumberFormat="1" applyFont="1" applyFill="1" applyBorder="1" applyAlignment="1">
      <alignment vertical="center"/>
    </xf>
    <xf numFmtId="3" fontId="16" fillId="0" borderId="52" xfId="0" applyNumberFormat="1" applyFont="1" applyFill="1" applyBorder="1" applyAlignment="1">
      <alignment vertical="center"/>
    </xf>
    <xf numFmtId="3" fontId="16" fillId="0" borderId="53" xfId="0" applyNumberFormat="1" applyFont="1" applyFill="1" applyBorder="1" applyAlignment="1">
      <alignment vertical="center"/>
    </xf>
    <xf numFmtId="3" fontId="19" fillId="0" borderId="54" xfId="0" applyNumberFormat="1" applyFont="1" applyFill="1" applyBorder="1" applyAlignment="1">
      <alignment vertical="center"/>
    </xf>
    <xf numFmtId="3" fontId="19" fillId="0" borderId="29" xfId="0" applyNumberFormat="1" applyFont="1" applyFill="1" applyBorder="1" applyAlignment="1">
      <alignment vertical="center"/>
    </xf>
    <xf numFmtId="3" fontId="16" fillId="0" borderId="55" xfId="0" applyNumberFormat="1" applyFont="1" applyFill="1" applyBorder="1" applyAlignment="1">
      <alignment horizontal="center" vertical="top"/>
    </xf>
    <xf numFmtId="3" fontId="16" fillId="0" borderId="177" xfId="0" applyNumberFormat="1" applyFont="1" applyFill="1" applyBorder="1" applyAlignment="1">
      <alignment vertical="center" wrapText="1"/>
    </xf>
    <xf numFmtId="3" fontId="19" fillId="0" borderId="56" xfId="0" applyNumberFormat="1" applyFont="1" applyFill="1" applyBorder="1" applyAlignment="1">
      <alignment vertical="center"/>
    </xf>
    <xf numFmtId="3" fontId="19" fillId="0" borderId="57" xfId="0" applyNumberFormat="1" applyFont="1" applyFill="1" applyBorder="1" applyAlignment="1">
      <alignment vertical="center"/>
    </xf>
    <xf numFmtId="3" fontId="16" fillId="0" borderId="7" xfId="17" applyNumberFormat="1" applyFont="1" applyFill="1" applyBorder="1" applyAlignment="1">
      <alignment horizontal="center" vertical="center" wrapText="1"/>
    </xf>
    <xf numFmtId="3" fontId="16" fillId="0" borderId="81" xfId="0" applyNumberFormat="1" applyFont="1" applyFill="1" applyBorder="1" applyAlignment="1">
      <alignment horizontal="center"/>
    </xf>
    <xf numFmtId="3" fontId="19" fillId="0" borderId="24" xfId="28" applyNumberFormat="1" applyFont="1" applyFill="1" applyBorder="1" applyAlignment="1"/>
    <xf numFmtId="3" fontId="16" fillId="0" borderId="24" xfId="28" applyNumberFormat="1" applyFont="1" applyFill="1" applyBorder="1" applyAlignment="1">
      <alignment horizontal="center"/>
    </xf>
    <xf numFmtId="3" fontId="16" fillId="0" borderId="26" xfId="0" applyNumberFormat="1" applyFont="1" applyFill="1" applyBorder="1" applyAlignment="1"/>
    <xf numFmtId="3" fontId="19" fillId="0" borderId="79" xfId="0" applyNumberFormat="1" applyFont="1" applyFill="1" applyBorder="1" applyAlignment="1"/>
    <xf numFmtId="3" fontId="16" fillId="0" borderId="25" xfId="0" applyNumberFormat="1" applyFont="1" applyFill="1" applyBorder="1" applyAlignment="1"/>
    <xf numFmtId="3" fontId="16" fillId="0" borderId="116" xfId="0" applyNumberFormat="1" applyFont="1" applyFill="1" applyBorder="1" applyAlignment="1">
      <alignment horizontal="center"/>
    </xf>
    <xf numFmtId="3" fontId="16" fillId="0" borderId="17" xfId="28" applyNumberFormat="1" applyFont="1" applyFill="1" applyBorder="1" applyAlignment="1"/>
    <xf numFmtId="3" fontId="16" fillId="0" borderId="23" xfId="0" applyNumberFormat="1" applyFont="1" applyFill="1" applyBorder="1" applyAlignment="1"/>
    <xf numFmtId="3" fontId="19" fillId="0" borderId="58" xfId="0" applyNumberFormat="1" applyFont="1" applyFill="1" applyBorder="1" applyAlignment="1"/>
    <xf numFmtId="3" fontId="16" fillId="0" borderId="18" xfId="0" applyNumberFormat="1" applyFont="1" applyFill="1" applyBorder="1" applyAlignment="1"/>
    <xf numFmtId="3" fontId="37" fillId="0" borderId="116" xfId="0" applyNumberFormat="1" applyFont="1" applyFill="1" applyBorder="1" applyAlignment="1">
      <alignment horizontal="center" vertical="center"/>
    </xf>
    <xf numFmtId="3" fontId="37" fillId="0" borderId="17" xfId="28" applyNumberFormat="1" applyFont="1" applyFill="1" applyBorder="1" applyAlignment="1"/>
    <xf numFmtId="3" fontId="37" fillId="0" borderId="23" xfId="0" applyNumberFormat="1" applyFont="1" applyFill="1" applyBorder="1" applyAlignment="1">
      <alignment vertical="center"/>
    </xf>
    <xf numFmtId="3" fontId="37" fillId="0" borderId="58" xfId="0" applyNumberFormat="1" applyFont="1" applyFill="1" applyBorder="1" applyAlignment="1"/>
    <xf numFmtId="3" fontId="37" fillId="0" borderId="17" xfId="0" applyNumberFormat="1" applyFont="1" applyFill="1" applyBorder="1" applyAlignment="1">
      <alignment horizontal="right"/>
    </xf>
    <xf numFmtId="3" fontId="37" fillId="0" borderId="18" xfId="0" applyNumberFormat="1" applyFont="1" applyFill="1" applyBorder="1" applyAlignment="1">
      <alignment horizontal="right"/>
    </xf>
    <xf numFmtId="3" fontId="19" fillId="0" borderId="23" xfId="0" applyNumberFormat="1" applyFont="1" applyFill="1" applyBorder="1" applyAlignment="1">
      <alignment vertical="center"/>
    </xf>
    <xf numFmtId="3" fontId="19" fillId="0" borderId="17" xfId="0" applyNumberFormat="1" applyFont="1" applyFill="1" applyBorder="1" applyAlignment="1">
      <alignment horizontal="right"/>
    </xf>
    <xf numFmtId="3" fontId="19" fillId="0" borderId="18" xfId="0" applyNumberFormat="1" applyFont="1" applyFill="1" applyBorder="1" applyAlignment="1">
      <alignment horizontal="right"/>
    </xf>
    <xf numFmtId="3" fontId="18" fillId="0" borderId="116" xfId="0" applyNumberFormat="1" applyFont="1" applyFill="1" applyBorder="1" applyAlignment="1">
      <alignment horizontal="center" vertical="center"/>
    </xf>
    <xf numFmtId="3" fontId="18" fillId="0" borderId="23" xfId="0" applyNumberFormat="1" applyFont="1" applyFill="1" applyBorder="1" applyAlignment="1">
      <alignment vertical="center"/>
    </xf>
    <xf numFmtId="3" fontId="18" fillId="0" borderId="58" xfId="0" applyNumberFormat="1" applyFont="1" applyFill="1" applyBorder="1" applyAlignment="1"/>
    <xf numFmtId="3" fontId="18" fillId="0" borderId="17" xfId="0" applyNumberFormat="1" applyFont="1" applyFill="1" applyBorder="1" applyAlignment="1">
      <alignment horizontal="right"/>
    </xf>
    <xf numFmtId="3" fontId="18" fillId="0" borderId="18" xfId="0" applyNumberFormat="1" applyFont="1" applyFill="1" applyBorder="1" applyAlignment="1">
      <alignment horizontal="right"/>
    </xf>
    <xf numFmtId="3" fontId="19" fillId="0" borderId="116" xfId="0" applyNumberFormat="1" applyFont="1" applyFill="1" applyBorder="1" applyAlignment="1">
      <alignment horizontal="center" vertical="center"/>
    </xf>
    <xf numFmtId="3" fontId="16" fillId="0" borderId="17" xfId="28" applyNumberFormat="1" applyFont="1" applyFill="1" applyBorder="1" applyAlignment="1">
      <alignment horizontal="center"/>
    </xf>
    <xf numFmtId="3" fontId="16" fillId="0" borderId="17" xfId="0" applyNumberFormat="1" applyFont="1" applyFill="1" applyBorder="1" applyAlignment="1">
      <alignment horizontal="right"/>
    </xf>
    <xf numFmtId="3" fontId="16" fillId="0" borderId="18" xfId="0" applyNumberFormat="1" applyFont="1" applyFill="1" applyBorder="1" applyAlignment="1">
      <alignment horizontal="right"/>
    </xf>
    <xf numFmtId="3" fontId="19" fillId="0" borderId="58" xfId="0" applyNumberFormat="1" applyFont="1" applyFill="1" applyBorder="1" applyAlignment="1">
      <alignment vertical="center"/>
    </xf>
    <xf numFmtId="3" fontId="16" fillId="0" borderId="17" xfId="0" applyNumberFormat="1" applyFont="1" applyFill="1" applyBorder="1" applyAlignment="1">
      <alignment horizontal="right" vertical="center"/>
    </xf>
    <xf numFmtId="3" fontId="16" fillId="0" borderId="17" xfId="0" applyNumberFormat="1" applyFont="1" applyFill="1" applyBorder="1" applyAlignment="1">
      <alignment horizontal="right" vertical="top"/>
    </xf>
    <xf numFmtId="3" fontId="16" fillId="0" borderId="18" xfId="0" applyNumberFormat="1" applyFont="1" applyFill="1" applyBorder="1" applyAlignment="1">
      <alignment horizontal="right" vertical="top"/>
    </xf>
    <xf numFmtId="3" fontId="37" fillId="0" borderId="131" xfId="0" applyNumberFormat="1" applyFont="1" applyFill="1" applyBorder="1" applyAlignment="1">
      <alignment horizontal="center" vertical="center"/>
    </xf>
    <xf numFmtId="3" fontId="37" fillId="0" borderId="59" xfId="0" applyNumberFormat="1" applyFont="1" applyFill="1" applyBorder="1" applyAlignment="1">
      <alignment vertical="center"/>
    </xf>
    <xf numFmtId="3" fontId="37" fillId="0" borderId="21" xfId="0" applyNumberFormat="1" applyFont="1" applyFill="1" applyBorder="1" applyAlignment="1"/>
    <xf numFmtId="3" fontId="37" fillId="0" borderId="46" xfId="0" applyNumberFormat="1" applyFont="1" applyFill="1" applyBorder="1" applyAlignment="1">
      <alignment horizontal="right"/>
    </xf>
    <xf numFmtId="3" fontId="37" fillId="0" borderId="47" xfId="0" applyNumberFormat="1" applyFont="1" applyFill="1" applyBorder="1" applyAlignment="1">
      <alignment horizontal="right"/>
    </xf>
    <xf numFmtId="3" fontId="19" fillId="0" borderId="46" xfId="0" applyNumberFormat="1" applyFont="1" applyFill="1" applyBorder="1" applyAlignment="1">
      <alignment horizontal="right"/>
    </xf>
    <xf numFmtId="3" fontId="22" fillId="0" borderId="16" xfId="0" applyNumberFormat="1" applyFont="1" applyFill="1" applyBorder="1" applyAlignment="1">
      <alignment horizontal="center" vertical="center"/>
    </xf>
    <xf numFmtId="3" fontId="22" fillId="0" borderId="115" xfId="0" applyNumberFormat="1" applyFont="1" applyFill="1" applyBorder="1" applyAlignment="1">
      <alignment vertical="center"/>
    </xf>
    <xf numFmtId="3" fontId="22" fillId="0" borderId="121" xfId="0" applyNumberFormat="1" applyFont="1" applyFill="1" applyBorder="1" applyAlignment="1">
      <alignment vertical="center"/>
    </xf>
    <xf numFmtId="3" fontId="22" fillId="0" borderId="122" xfId="0" applyNumberFormat="1" applyFont="1" applyFill="1" applyBorder="1" applyAlignment="1">
      <alignment vertical="center"/>
    </xf>
    <xf numFmtId="3" fontId="37" fillId="0" borderId="46" xfId="0" applyNumberFormat="1" applyFont="1" applyFill="1" applyBorder="1" applyAlignment="1">
      <alignment horizontal="center" vertical="center"/>
    </xf>
    <xf numFmtId="3" fontId="19" fillId="0" borderId="47" xfId="0" applyNumberFormat="1" applyFont="1" applyFill="1" applyBorder="1" applyAlignment="1">
      <alignment horizontal="right"/>
    </xf>
    <xf numFmtId="3" fontId="18" fillId="0" borderId="17" xfId="0" applyNumberFormat="1" applyFont="1" applyFill="1" applyBorder="1" applyAlignment="1">
      <alignment horizontal="center" vertical="center"/>
    </xf>
    <xf numFmtId="3" fontId="19" fillId="0" borderId="110" xfId="0" applyNumberFormat="1" applyFont="1" applyFill="1" applyBorder="1" applyAlignment="1">
      <alignment horizontal="center" vertical="center"/>
    </xf>
    <xf numFmtId="3" fontId="19" fillId="0" borderId="135" xfId="0" applyNumberFormat="1" applyFont="1" applyFill="1" applyBorder="1" applyAlignment="1">
      <alignment horizontal="center" vertical="center"/>
    </xf>
    <xf numFmtId="3" fontId="19" fillId="0" borderId="110" xfId="28" applyNumberFormat="1" applyFont="1" applyFill="1" applyBorder="1" applyAlignment="1"/>
    <xf numFmtId="3" fontId="19" fillId="0" borderId="110" xfId="0" applyNumberFormat="1" applyFont="1" applyFill="1" applyBorder="1" applyAlignment="1">
      <alignment vertical="center"/>
    </xf>
    <xf numFmtId="3" fontId="19" fillId="0" borderId="141" xfId="0" applyNumberFormat="1" applyFont="1" applyFill="1" applyBorder="1" applyAlignment="1">
      <alignment vertical="center"/>
    </xf>
    <xf numFmtId="3" fontId="19" fillId="0" borderId="134" xfId="0" applyNumberFormat="1" applyFont="1" applyFill="1" applyBorder="1" applyAlignment="1"/>
    <xf numFmtId="3" fontId="19" fillId="0" borderId="110" xfId="0" applyNumberFormat="1" applyFont="1" applyFill="1" applyBorder="1" applyAlignment="1">
      <alignment horizontal="right"/>
    </xf>
    <xf numFmtId="3" fontId="19" fillId="0" borderId="138" xfId="0" applyNumberFormat="1" applyFont="1" applyFill="1" applyBorder="1" applyAlignment="1">
      <alignment horizontal="right"/>
    </xf>
    <xf numFmtId="3" fontId="19" fillId="0" borderId="24" xfId="28" applyNumberFormat="1" applyFont="1" applyFill="1" applyBorder="1" applyAlignment="1">
      <alignment wrapText="1"/>
    </xf>
    <xf numFmtId="3" fontId="22" fillId="0" borderId="79" xfId="0" applyNumberFormat="1" applyFont="1" applyFill="1" applyBorder="1" applyAlignment="1"/>
    <xf numFmtId="3" fontId="16" fillId="0" borderId="17" xfId="28" applyNumberFormat="1" applyFont="1" applyFill="1" applyBorder="1" applyAlignment="1">
      <alignment horizontal="left"/>
    </xf>
    <xf numFmtId="3" fontId="16" fillId="0" borderId="17" xfId="28" applyNumberFormat="1" applyFont="1" applyFill="1" applyBorder="1" applyAlignment="1">
      <alignment horizontal="center" vertical="top" wrapText="1"/>
    </xf>
    <xf numFmtId="3" fontId="22" fillId="0" borderId="58" xfId="0" applyNumberFormat="1" applyFont="1" applyFill="1" applyBorder="1" applyAlignment="1"/>
    <xf numFmtId="3" fontId="16" fillId="0" borderId="116" xfId="0" applyNumberFormat="1" applyFont="1" applyFill="1" applyBorder="1" applyAlignment="1">
      <alignment horizontal="center" vertical="top"/>
    </xf>
    <xf numFmtId="3" fontId="22" fillId="0" borderId="15" xfId="0" applyNumberFormat="1" applyFont="1" applyFill="1" applyBorder="1" applyAlignment="1">
      <alignment horizontal="center" vertical="center"/>
    </xf>
    <xf numFmtId="3" fontId="22" fillId="0" borderId="15" xfId="0" applyNumberFormat="1" applyFont="1" applyFill="1" applyBorder="1" applyAlignment="1">
      <alignment horizontal="right" vertical="center"/>
    </xf>
    <xf numFmtId="3" fontId="22" fillId="0" borderId="122" xfId="0" applyNumberFormat="1" applyFont="1" applyFill="1" applyBorder="1" applyAlignment="1">
      <alignment horizontal="right" vertical="center"/>
    </xf>
    <xf numFmtId="3" fontId="18" fillId="0" borderId="16" xfId="0" applyNumberFormat="1" applyFont="1" applyFill="1" applyBorder="1" applyAlignment="1">
      <alignment horizontal="center" vertical="top"/>
    </xf>
    <xf numFmtId="3" fontId="18" fillId="0" borderId="116" xfId="0" applyNumberFormat="1" applyFont="1" applyFill="1" applyBorder="1" applyAlignment="1">
      <alignment horizontal="center"/>
    </xf>
    <xf numFmtId="3" fontId="22" fillId="0" borderId="17" xfId="28" applyNumberFormat="1" applyFont="1" applyFill="1" applyBorder="1" applyAlignment="1">
      <alignment horizontal="left"/>
    </xf>
    <xf numFmtId="3" fontId="18" fillId="0" borderId="17" xfId="28" applyNumberFormat="1" applyFont="1" applyFill="1" applyBorder="1" applyAlignment="1">
      <alignment horizontal="left"/>
    </xf>
    <xf numFmtId="3" fontId="18" fillId="0" borderId="17" xfId="28" applyNumberFormat="1" applyFont="1" applyFill="1" applyBorder="1" applyAlignment="1">
      <alignment horizontal="center" vertical="top" wrapText="1"/>
    </xf>
    <xf numFmtId="3" fontId="18" fillId="0" borderId="23" xfId="0" applyNumberFormat="1" applyFont="1" applyFill="1" applyBorder="1" applyAlignment="1">
      <alignment vertical="top"/>
    </xf>
    <xf numFmtId="3" fontId="38" fillId="0" borderId="16" xfId="0" applyNumberFormat="1" applyFont="1" applyFill="1" applyBorder="1" applyAlignment="1">
      <alignment horizontal="center" vertical="center"/>
    </xf>
    <xf numFmtId="3" fontId="38" fillId="0" borderId="116" xfId="0" applyNumberFormat="1" applyFont="1" applyFill="1" applyBorder="1" applyAlignment="1">
      <alignment horizontal="center" vertical="center"/>
    </xf>
    <xf numFmtId="3" fontId="38" fillId="0" borderId="17" xfId="28" applyNumberFormat="1" applyFont="1" applyFill="1" applyBorder="1" applyAlignment="1">
      <alignment horizontal="left" indent="1"/>
    </xf>
    <xf numFmtId="3" fontId="38" fillId="0" borderId="17" xfId="28" applyNumberFormat="1" applyFont="1" applyFill="1" applyBorder="1" applyAlignment="1">
      <alignment horizontal="center" vertical="center"/>
    </xf>
    <xf numFmtId="3" fontId="38" fillId="0" borderId="23" xfId="0" applyNumberFormat="1" applyFont="1" applyFill="1" applyBorder="1" applyAlignment="1">
      <alignment vertical="center"/>
    </xf>
    <xf numFmtId="3" fontId="38" fillId="0" borderId="58" xfId="0" applyNumberFormat="1" applyFont="1" applyFill="1" applyBorder="1" applyAlignment="1"/>
    <xf numFmtId="3" fontId="38" fillId="0" borderId="17" xfId="0" applyNumberFormat="1" applyFont="1" applyFill="1" applyBorder="1" applyAlignment="1">
      <alignment horizontal="right"/>
    </xf>
    <xf numFmtId="3" fontId="38" fillId="0" borderId="18" xfId="0" applyNumberFormat="1" applyFont="1" applyFill="1" applyBorder="1" applyAlignment="1">
      <alignment horizontal="right"/>
    </xf>
    <xf numFmtId="3" fontId="22" fillId="0" borderId="17" xfId="0" applyNumberFormat="1" applyFont="1" applyFill="1" applyBorder="1" applyAlignment="1">
      <alignment horizontal="right"/>
    </xf>
    <xf numFmtId="3" fontId="18" fillId="0" borderId="17" xfId="28" applyNumberFormat="1" applyFont="1" applyFill="1" applyBorder="1" applyAlignment="1">
      <alignment horizontal="left" indent="1"/>
    </xf>
    <xf numFmtId="3" fontId="22" fillId="0" borderId="116" xfId="0" applyNumberFormat="1" applyFont="1" applyFill="1" applyBorder="1" applyAlignment="1">
      <alignment horizontal="center" vertical="center"/>
    </xf>
    <xf numFmtId="3" fontId="22" fillId="0" borderId="17" xfId="28" applyNumberFormat="1" applyFont="1" applyFill="1" applyBorder="1" applyAlignment="1">
      <alignment horizontal="left" indent="1"/>
    </xf>
    <xf numFmtId="3" fontId="22" fillId="0" borderId="23" xfId="0" applyNumberFormat="1" applyFont="1" applyFill="1" applyBorder="1" applyAlignment="1">
      <alignment vertical="center"/>
    </xf>
    <xf numFmtId="3" fontId="22" fillId="0" borderId="18" xfId="0" applyNumberFormat="1" applyFont="1" applyFill="1" applyBorder="1" applyAlignment="1">
      <alignment horizontal="right"/>
    </xf>
    <xf numFmtId="3" fontId="16" fillId="0" borderId="23" xfId="0" applyNumberFormat="1" applyFont="1" applyFill="1" applyBorder="1" applyAlignment="1">
      <alignment vertical="top"/>
    </xf>
    <xf numFmtId="3" fontId="37" fillId="0" borderId="17" xfId="28" applyNumberFormat="1" applyFont="1" applyFill="1" applyBorder="1" applyAlignment="1">
      <alignment horizontal="left"/>
    </xf>
    <xf numFmtId="3" fontId="37" fillId="0" borderId="17" xfId="28" applyNumberFormat="1" applyFont="1" applyFill="1" applyBorder="1" applyAlignment="1">
      <alignment horizontal="center" vertical="center"/>
    </xf>
    <xf numFmtId="3" fontId="16" fillId="0" borderId="17" xfId="28" applyNumberFormat="1" applyFont="1" applyFill="1" applyBorder="1" applyAlignment="1">
      <alignment horizontal="center" vertical="center" wrapText="1"/>
    </xf>
    <xf numFmtId="3" fontId="16" fillId="0" borderId="116" xfId="28" applyNumberFormat="1" applyFont="1" applyFill="1" applyBorder="1" applyAlignment="1">
      <alignment wrapText="1"/>
    </xf>
    <xf numFmtId="3" fontId="22" fillId="0" borderId="15" xfId="28" applyNumberFormat="1" applyFont="1" applyFill="1" applyBorder="1" applyAlignment="1">
      <alignment horizontal="center" vertical="center"/>
    </xf>
    <xf numFmtId="3" fontId="22" fillId="0" borderId="195" xfId="0" applyNumberFormat="1" applyFont="1" applyFill="1" applyBorder="1" applyAlignment="1">
      <alignment vertical="center"/>
    </xf>
    <xf numFmtId="3" fontId="22" fillId="0" borderId="118" xfId="0" applyNumberFormat="1" applyFont="1" applyFill="1" applyBorder="1" applyAlignment="1">
      <alignment horizontal="right" vertical="center"/>
    </xf>
    <xf numFmtId="3" fontId="19" fillId="0" borderId="24" xfId="0" applyNumberFormat="1" applyFont="1" applyFill="1" applyBorder="1" applyAlignment="1">
      <alignment horizontal="left"/>
    </xf>
    <xf numFmtId="3" fontId="19" fillId="0" borderId="44" xfId="28" applyNumberFormat="1" applyFont="1" applyFill="1" applyBorder="1" applyAlignment="1">
      <alignment horizontal="center"/>
    </xf>
    <xf numFmtId="3" fontId="19" fillId="0" borderId="82" xfId="0" applyNumberFormat="1" applyFont="1" applyFill="1" applyBorder="1" applyAlignment="1">
      <alignment vertical="center"/>
    </xf>
    <xf numFmtId="3" fontId="19" fillId="0" borderId="61" xfId="0" applyNumberFormat="1" applyFont="1" applyFill="1" applyBorder="1" applyAlignment="1">
      <alignment vertical="center"/>
    </xf>
    <xf numFmtId="3" fontId="19" fillId="0" borderId="44" xfId="0" applyNumberFormat="1" applyFont="1" applyFill="1" applyBorder="1" applyAlignment="1">
      <alignment horizontal="right" vertical="center"/>
    </xf>
    <xf numFmtId="3" fontId="19" fillId="0" borderId="45" xfId="0" applyNumberFormat="1" applyFont="1" applyFill="1" applyBorder="1" applyAlignment="1">
      <alignment horizontal="right" vertical="center"/>
    </xf>
    <xf numFmtId="3" fontId="19" fillId="0" borderId="49" xfId="0" applyNumberFormat="1" applyFont="1" applyFill="1" applyBorder="1" applyAlignment="1">
      <alignment horizontal="center" vertical="center"/>
    </xf>
    <xf numFmtId="3" fontId="19" fillId="0" borderId="117" xfId="0" applyNumberFormat="1" applyFont="1" applyFill="1" applyBorder="1" applyAlignment="1">
      <alignment horizontal="center" vertical="center"/>
    </xf>
    <xf numFmtId="3" fontId="19" fillId="0" borderId="49" xfId="0" applyNumberFormat="1" applyFont="1" applyFill="1" applyBorder="1" applyAlignment="1">
      <alignment vertical="center"/>
    </xf>
    <xf numFmtId="3" fontId="19" fillId="0" borderId="60" xfId="0" applyNumberFormat="1" applyFont="1" applyFill="1" applyBorder="1" applyAlignment="1">
      <alignment vertical="center"/>
    </xf>
    <xf numFmtId="3" fontId="19" fillId="0" borderId="62" xfId="0" applyNumberFormat="1" applyFont="1" applyFill="1" applyBorder="1" applyAlignment="1"/>
    <xf numFmtId="3" fontId="19" fillId="0" borderId="49" xfId="0" applyNumberFormat="1" applyFont="1" applyFill="1" applyBorder="1" applyAlignment="1">
      <alignment horizontal="right"/>
    </xf>
    <xf numFmtId="3" fontId="19" fillId="0" borderId="50" xfId="0" applyNumberFormat="1" applyFont="1" applyFill="1" applyBorder="1" applyAlignment="1">
      <alignment horizontal="right"/>
    </xf>
    <xf numFmtId="3" fontId="19" fillId="0" borderId="26" xfId="0" applyNumberFormat="1" applyFont="1" applyFill="1" applyBorder="1" applyAlignment="1"/>
    <xf numFmtId="3" fontId="19" fillId="0" borderId="123" xfId="0" applyNumberFormat="1" applyFont="1" applyFill="1" applyBorder="1" applyAlignment="1"/>
    <xf numFmtId="3" fontId="19" fillId="0" borderId="24" xfId="0" applyNumberFormat="1" applyFont="1" applyFill="1" applyBorder="1" applyAlignment="1">
      <alignment horizontal="right"/>
    </xf>
    <xf numFmtId="3" fontId="19" fillId="0" borderId="26" xfId="0" applyNumberFormat="1" applyFont="1" applyFill="1" applyBorder="1" applyAlignment="1">
      <alignment horizontal="right"/>
    </xf>
    <xf numFmtId="3" fontId="19" fillId="0" borderId="79" xfId="0" applyNumberFormat="1" applyFont="1" applyFill="1" applyBorder="1" applyAlignment="1">
      <alignment horizontal="right"/>
    </xf>
    <xf numFmtId="3" fontId="19" fillId="0" borderId="25" xfId="0" applyNumberFormat="1" applyFont="1" applyFill="1" applyBorder="1" applyAlignment="1">
      <alignment horizontal="right"/>
    </xf>
    <xf numFmtId="3" fontId="16" fillId="0" borderId="23" xfId="28" applyNumberFormat="1" applyFont="1" applyFill="1" applyBorder="1" applyAlignment="1"/>
    <xf numFmtId="3" fontId="37" fillId="0" borderId="23" xfId="28" applyNumberFormat="1" applyFont="1" applyFill="1" applyBorder="1" applyAlignment="1"/>
    <xf numFmtId="3" fontId="37" fillId="0" borderId="116" xfId="0" applyNumberFormat="1" applyFont="1" applyFill="1" applyBorder="1" applyAlignment="1">
      <alignment horizontal="center"/>
    </xf>
    <xf numFmtId="3" fontId="18" fillId="0" borderId="16" xfId="0" applyNumberFormat="1" applyFont="1" applyFill="1" applyBorder="1" applyAlignment="1">
      <alignment horizontal="center"/>
    </xf>
    <xf numFmtId="3" fontId="18" fillId="0" borderId="23" xfId="28" applyNumberFormat="1" applyFont="1" applyFill="1" applyBorder="1" applyAlignment="1"/>
    <xf numFmtId="3" fontId="18" fillId="0" borderId="17" xfId="28" applyNumberFormat="1" applyFont="1" applyFill="1" applyBorder="1" applyAlignment="1">
      <alignment horizontal="center"/>
    </xf>
    <xf numFmtId="3" fontId="18" fillId="0" borderId="23" xfId="0" applyNumberFormat="1" applyFont="1" applyFill="1" applyBorder="1" applyAlignment="1"/>
    <xf numFmtId="3" fontId="38" fillId="0" borderId="17" xfId="0" applyNumberFormat="1" applyFont="1" applyFill="1" applyBorder="1" applyAlignment="1">
      <alignment horizontal="center"/>
    </xf>
    <xf numFmtId="3" fontId="38" fillId="0" borderId="23" xfId="28" applyNumberFormat="1" applyFont="1" applyFill="1" applyBorder="1" applyAlignment="1">
      <alignment horizontal="left" indent="1"/>
    </xf>
    <xf numFmtId="3" fontId="38" fillId="0" borderId="116" xfId="0" applyNumberFormat="1" applyFont="1" applyFill="1" applyBorder="1" applyAlignment="1">
      <alignment horizontal="center"/>
    </xf>
    <xf numFmtId="3" fontId="16" fillId="0" borderId="17" xfId="28" applyNumberFormat="1" applyFont="1" applyFill="1" applyBorder="1" applyAlignment="1">
      <alignment vertical="top" wrapText="1"/>
    </xf>
    <xf numFmtId="3" fontId="16" fillId="0" borderId="23" xfId="0" applyNumberFormat="1" applyFont="1" applyFill="1" applyBorder="1" applyAlignment="1">
      <alignment vertical="center"/>
    </xf>
    <xf numFmtId="3" fontId="19" fillId="0" borderId="17" xfId="0" applyNumberFormat="1" applyFont="1" applyFill="1" applyBorder="1" applyAlignment="1">
      <alignment horizontal="right" vertical="center"/>
    </xf>
    <xf numFmtId="3" fontId="19" fillId="0" borderId="18" xfId="0" applyNumberFormat="1" applyFont="1" applyFill="1" applyBorder="1" applyAlignment="1">
      <alignment horizontal="right" vertical="center"/>
    </xf>
    <xf numFmtId="3" fontId="37" fillId="0" borderId="17" xfId="28" applyNumberFormat="1" applyFont="1" applyFill="1" applyBorder="1" applyAlignment="1">
      <alignment horizontal="center"/>
    </xf>
    <xf numFmtId="3" fontId="37" fillId="0" borderId="17" xfId="0" applyNumberFormat="1" applyFont="1" applyFill="1" applyBorder="1" applyAlignment="1">
      <alignment horizontal="right" vertical="center"/>
    </xf>
    <xf numFmtId="3" fontId="37" fillId="0" borderId="18" xfId="0" applyNumberFormat="1" applyFont="1" applyFill="1" applyBorder="1" applyAlignment="1">
      <alignment horizontal="right" vertical="center"/>
    </xf>
    <xf numFmtId="3" fontId="16" fillId="0" borderId="23" xfId="28" applyNumberFormat="1" applyFont="1" applyFill="1" applyBorder="1" applyAlignment="1">
      <alignment wrapText="1"/>
    </xf>
    <xf numFmtId="3" fontId="16" fillId="0" borderId="17" xfId="28" applyNumberFormat="1" applyFont="1" applyFill="1" applyBorder="1" applyAlignment="1">
      <alignment wrapText="1"/>
    </xf>
    <xf numFmtId="3" fontId="16" fillId="0" borderId="23" xfId="28" applyNumberFormat="1" applyFont="1" applyFill="1" applyBorder="1" applyAlignment="1">
      <alignment vertical="top" wrapText="1"/>
    </xf>
    <xf numFmtId="3" fontId="16" fillId="0" borderId="36" xfId="28" applyNumberFormat="1" applyFont="1" applyFill="1" applyBorder="1" applyAlignment="1"/>
    <xf numFmtId="3" fontId="16" fillId="0" borderId="116" xfId="0" applyNumberFormat="1" applyFont="1" applyFill="1" applyBorder="1" applyAlignment="1">
      <alignment horizontal="center" vertical="center"/>
    </xf>
    <xf numFmtId="3" fontId="19" fillId="0" borderId="36" xfId="0" applyNumberFormat="1" applyFont="1" applyFill="1" applyBorder="1" applyAlignment="1">
      <alignment horizontal="center" vertical="center"/>
    </xf>
    <xf numFmtId="3" fontId="16" fillId="0" borderId="51" xfId="0" applyNumberFormat="1" applyFont="1" applyFill="1" applyBorder="1" applyAlignment="1"/>
    <xf numFmtId="3" fontId="19" fillId="0" borderId="15" xfId="28" applyNumberFormat="1" applyFont="1" applyFill="1" applyBorder="1" applyAlignment="1">
      <alignment horizontal="center" vertical="center"/>
    </xf>
    <xf numFmtId="3" fontId="37" fillId="0" borderId="59" xfId="28" applyNumberFormat="1" applyFont="1" applyFill="1" applyBorder="1" applyAlignment="1"/>
    <xf numFmtId="3" fontId="37" fillId="0" borderId="46" xfId="28" applyNumberFormat="1" applyFont="1" applyFill="1" applyBorder="1" applyAlignment="1">
      <alignment horizontal="center"/>
    </xf>
    <xf numFmtId="3" fontId="37" fillId="0" borderId="46" xfId="0" applyNumberFormat="1" applyFont="1" applyFill="1" applyBorder="1" applyAlignment="1">
      <alignment horizontal="right" vertical="center"/>
    </xf>
    <xf numFmtId="3" fontId="37" fillId="0" borderId="47" xfId="0" applyNumberFormat="1" applyFont="1" applyFill="1" applyBorder="1" applyAlignment="1">
      <alignment horizontal="right" vertical="center"/>
    </xf>
    <xf numFmtId="3" fontId="19" fillId="0" borderId="46" xfId="0" applyNumberFormat="1" applyFont="1" applyFill="1" applyBorder="1" applyAlignment="1">
      <alignment horizontal="right" vertical="center"/>
    </xf>
    <xf numFmtId="3" fontId="19" fillId="0" borderId="47" xfId="0" applyNumberFormat="1" applyFont="1" applyFill="1" applyBorder="1" applyAlignment="1">
      <alignment horizontal="right" vertical="center"/>
    </xf>
    <xf numFmtId="3" fontId="18" fillId="0" borderId="79" xfId="0" applyNumberFormat="1" applyFont="1" applyFill="1" applyBorder="1" applyAlignment="1"/>
    <xf numFmtId="3" fontId="16" fillId="0" borderId="44" xfId="28" applyNumberFormat="1" applyFont="1" applyFill="1" applyBorder="1" applyAlignment="1">
      <alignment horizontal="center" vertical="center"/>
    </xf>
    <xf numFmtId="3" fontId="22" fillId="0" borderId="82" xfId="0" applyNumberFormat="1" applyFont="1" applyFill="1" applyBorder="1" applyAlignment="1">
      <alignment vertical="center"/>
    </xf>
    <xf numFmtId="3" fontId="22" fillId="0" borderId="61" xfId="0" applyNumberFormat="1" applyFont="1" applyFill="1" applyBorder="1" applyAlignment="1">
      <alignment vertical="center"/>
    </xf>
    <xf numFmtId="3" fontId="22" fillId="0" borderId="45" xfId="0" applyNumberFormat="1" applyFont="1" applyFill="1" applyBorder="1" applyAlignment="1">
      <alignment vertical="center"/>
    </xf>
    <xf numFmtId="3" fontId="19" fillId="0" borderId="21" xfId="0" applyNumberFormat="1" applyFont="1" applyFill="1" applyBorder="1" applyAlignment="1"/>
    <xf numFmtId="3" fontId="19" fillId="0" borderId="44" xfId="0" applyNumberFormat="1" applyFont="1" applyFill="1" applyBorder="1" applyAlignment="1">
      <alignment horizontal="center" vertical="center"/>
    </xf>
    <xf numFmtId="3" fontId="19" fillId="0" borderId="82" xfId="0" applyNumberFormat="1" applyFont="1" applyFill="1" applyBorder="1" applyAlignment="1">
      <alignment horizontal="right" vertical="center"/>
    </xf>
    <xf numFmtId="3" fontId="19" fillId="0" borderId="61" xfId="0" applyNumberFormat="1" applyFont="1" applyFill="1" applyBorder="1" applyAlignment="1">
      <alignment horizontal="right" vertical="center"/>
    </xf>
    <xf numFmtId="3" fontId="16" fillId="0" borderId="23" xfId="0" applyNumberFormat="1" applyFont="1" applyFill="1" applyBorder="1" applyAlignment="1">
      <alignment horizontal="right" vertical="center"/>
    </xf>
    <xf numFmtId="3" fontId="19" fillId="0" borderId="58" xfId="0" applyNumberFormat="1" applyFont="1" applyFill="1" applyBorder="1" applyAlignment="1">
      <alignment horizontal="right" vertical="center"/>
    </xf>
    <xf numFmtId="3" fontId="38" fillId="0" borderId="16" xfId="0" applyNumberFormat="1" applyFont="1" applyFill="1" applyBorder="1" applyAlignment="1">
      <alignment horizontal="left" vertical="center" wrapText="1"/>
    </xf>
    <xf numFmtId="3" fontId="38" fillId="0" borderId="116" xfId="0" applyNumberFormat="1" applyFont="1" applyFill="1" applyBorder="1" applyAlignment="1">
      <alignment horizontal="left" vertical="center" wrapText="1"/>
    </xf>
    <xf numFmtId="3" fontId="38" fillId="0" borderId="17" xfId="0" applyNumberFormat="1" applyFont="1" applyFill="1" applyBorder="1" applyAlignment="1">
      <alignment horizontal="left" vertical="center" wrapText="1"/>
    </xf>
    <xf numFmtId="3" fontId="38" fillId="0" borderId="17" xfId="0" applyNumberFormat="1" applyFont="1" applyFill="1" applyBorder="1" applyAlignment="1">
      <alignment horizontal="right" vertical="center"/>
    </xf>
    <xf numFmtId="3" fontId="38" fillId="0" borderId="190" xfId="0" applyNumberFormat="1" applyFont="1" applyFill="1" applyBorder="1" applyAlignment="1">
      <alignment horizontal="right" vertical="center"/>
    </xf>
    <xf numFmtId="3" fontId="38" fillId="0" borderId="23" xfId="0" applyNumberFormat="1" applyFont="1" applyFill="1" applyBorder="1" applyAlignment="1">
      <alignment horizontal="right" vertical="center"/>
    </xf>
    <xf numFmtId="3" fontId="19" fillId="0" borderId="51" xfId="0" applyNumberFormat="1" applyFont="1" applyFill="1" applyBorder="1" applyAlignment="1">
      <alignment horizontal="center" vertical="center"/>
    </xf>
    <xf numFmtId="3" fontId="19" fillId="0" borderId="46" xfId="0" applyNumberFormat="1" applyFont="1" applyFill="1" applyBorder="1" applyAlignment="1">
      <alignment horizontal="center" vertical="center"/>
    </xf>
    <xf numFmtId="3" fontId="19" fillId="0" borderId="131" xfId="0" applyNumberFormat="1" applyFont="1" applyFill="1" applyBorder="1" applyAlignment="1">
      <alignment horizontal="center" vertical="center"/>
    </xf>
    <xf numFmtId="3" fontId="19" fillId="0" borderId="46" xfId="28" applyNumberFormat="1" applyFont="1" applyFill="1" applyBorder="1" applyAlignment="1"/>
    <xf numFmtId="3" fontId="19" fillId="0" borderId="59" xfId="0" applyNumberFormat="1" applyFont="1" applyFill="1" applyBorder="1" applyAlignment="1">
      <alignment vertical="center"/>
    </xf>
    <xf numFmtId="3" fontId="16" fillId="0" borderId="17" xfId="0" applyNumberFormat="1" applyFont="1" applyFill="1" applyBorder="1" applyAlignment="1">
      <alignment horizontal="center" vertical="center" wrapText="1"/>
    </xf>
    <xf numFmtId="3" fontId="22" fillId="0" borderId="58" xfId="0" applyNumberFormat="1" applyFont="1" applyFill="1" applyBorder="1" applyAlignment="1">
      <alignment horizontal="right" vertical="center"/>
    </xf>
    <xf numFmtId="3" fontId="16" fillId="0" borderId="18" xfId="0" applyNumberFormat="1" applyFont="1" applyFill="1" applyBorder="1" applyAlignment="1">
      <alignment horizontal="right" vertical="center"/>
    </xf>
    <xf numFmtId="3" fontId="37" fillId="0" borderId="58" xfId="0" applyNumberFormat="1" applyFont="1" applyFill="1" applyBorder="1" applyAlignment="1">
      <alignment horizontal="right" vertical="center"/>
    </xf>
    <xf numFmtId="3" fontId="16" fillId="0" borderId="23" xfId="0" applyNumberFormat="1" applyFont="1" applyFill="1" applyBorder="1" applyAlignment="1">
      <alignment horizontal="right" vertical="top"/>
    </xf>
    <xf numFmtId="3" fontId="38" fillId="0" borderId="51" xfId="0" applyNumberFormat="1" applyFont="1" applyFill="1" applyBorder="1" applyAlignment="1">
      <alignment horizontal="left" vertical="center" wrapText="1"/>
    </xf>
    <xf numFmtId="3" fontId="38" fillId="0" borderId="131" xfId="0" applyNumberFormat="1" applyFont="1" applyFill="1" applyBorder="1" applyAlignment="1">
      <alignment horizontal="left" vertical="center" wrapText="1"/>
    </xf>
    <xf numFmtId="3" fontId="38" fillId="0" borderId="46" xfId="0" applyNumberFormat="1" applyFont="1" applyFill="1" applyBorder="1" applyAlignment="1">
      <alignment horizontal="left" vertical="center" wrapText="1"/>
    </xf>
    <xf numFmtId="3" fontId="38" fillId="0" borderId="46" xfId="0" applyNumberFormat="1" applyFont="1" applyFill="1" applyBorder="1" applyAlignment="1">
      <alignment horizontal="right" vertical="center"/>
    </xf>
    <xf numFmtId="3" fontId="38" fillId="0" borderId="59" xfId="0" applyNumberFormat="1" applyFont="1" applyFill="1" applyBorder="1" applyAlignment="1">
      <alignment horizontal="right" vertical="center"/>
    </xf>
    <xf numFmtId="3" fontId="37" fillId="0" borderId="21" xfId="0" applyNumberFormat="1" applyFont="1" applyFill="1" applyBorder="1" applyAlignment="1">
      <alignment horizontal="right" vertical="center"/>
    </xf>
    <xf numFmtId="3" fontId="19" fillId="0" borderId="21" xfId="0" applyNumberFormat="1" applyFont="1" applyFill="1" applyBorder="1" applyAlignment="1">
      <alignment horizontal="right" vertical="center"/>
    </xf>
    <xf numFmtId="3" fontId="22" fillId="0" borderId="0" xfId="31" applyNumberFormat="1" applyFont="1" applyFill="1" applyBorder="1" applyAlignment="1" applyProtection="1">
      <alignment horizontal="right"/>
      <protection locked="0"/>
    </xf>
    <xf numFmtId="3" fontId="18" fillId="0" borderId="0" xfId="31" applyNumberFormat="1" applyFont="1" applyFill="1" applyBorder="1" applyAlignment="1" applyProtection="1">
      <protection locked="0"/>
    </xf>
    <xf numFmtId="0" fontId="12" fillId="0" borderId="0" xfId="32" applyFont="1" applyFill="1" applyBorder="1" applyAlignment="1" applyProtection="1">
      <alignment horizontal="center" wrapText="1"/>
      <protection locked="0"/>
    </xf>
    <xf numFmtId="3" fontId="12" fillId="0" borderId="0" xfId="32" applyNumberFormat="1" applyFont="1" applyFill="1" applyBorder="1" applyAlignment="1" applyProtection="1">
      <alignment horizontal="center"/>
      <protection locked="0"/>
    </xf>
    <xf numFmtId="3" fontId="16" fillId="0" borderId="4" xfId="18" applyNumberFormat="1" applyFont="1" applyFill="1" applyBorder="1" applyAlignment="1" applyProtection="1">
      <alignment horizontal="center" vertical="center" textRotation="90"/>
      <protection locked="0"/>
    </xf>
    <xf numFmtId="0" fontId="16" fillId="0" borderId="44" xfId="31" applyFont="1" applyFill="1" applyBorder="1" applyAlignment="1" applyProtection="1">
      <alignment horizontal="center" vertical="center" textRotation="90" wrapText="1"/>
      <protection locked="0"/>
    </xf>
    <xf numFmtId="3" fontId="16" fillId="0" borderId="44" xfId="31" applyNumberFormat="1" applyFont="1" applyFill="1" applyBorder="1" applyAlignment="1" applyProtection="1">
      <alignment horizontal="center" vertical="center" wrapText="1"/>
      <protection locked="0"/>
    </xf>
    <xf numFmtId="3" fontId="16" fillId="0" borderId="82" xfId="31" applyNumberFormat="1" applyFont="1" applyFill="1" applyBorder="1" applyAlignment="1" applyProtection="1">
      <alignment horizontal="center" vertical="center" wrapText="1"/>
      <protection locked="0"/>
    </xf>
    <xf numFmtId="3" fontId="16" fillId="0" borderId="61" xfId="31" applyNumberFormat="1" applyFont="1" applyFill="1" applyBorder="1" applyAlignment="1" applyProtection="1">
      <alignment horizontal="center" vertical="center" wrapText="1"/>
      <protection locked="0"/>
    </xf>
    <xf numFmtId="3" fontId="19" fillId="0" borderId="130" xfId="31" applyNumberFormat="1" applyFont="1" applyFill="1" applyBorder="1" applyAlignment="1" applyProtection="1">
      <alignment horizontal="center" vertical="center" wrapText="1"/>
      <protection locked="0"/>
    </xf>
    <xf numFmtId="3" fontId="18" fillId="0" borderId="44" xfId="31" applyNumberFormat="1" applyFont="1" applyFill="1" applyBorder="1" applyAlignment="1" applyProtection="1">
      <alignment vertical="center" wrapText="1"/>
      <protection locked="0"/>
    </xf>
    <xf numFmtId="3" fontId="19" fillId="0" borderId="45" xfId="31" applyNumberFormat="1" applyFont="1" applyFill="1" applyBorder="1" applyAlignment="1" applyProtection="1">
      <alignment horizontal="center" vertical="center" wrapText="1"/>
      <protection locked="0"/>
    </xf>
    <xf numFmtId="3" fontId="16" fillId="0" borderId="0" xfId="31" applyNumberFormat="1" applyFont="1" applyFill="1" applyBorder="1" applyAlignment="1" applyProtection="1">
      <alignment horizontal="center" vertical="center"/>
      <protection locked="0"/>
    </xf>
    <xf numFmtId="0" fontId="16" fillId="0" borderId="27" xfId="32" applyFont="1" applyFill="1" applyBorder="1" applyAlignment="1" applyProtection="1">
      <alignment horizontal="center"/>
      <protection locked="0"/>
    </xf>
    <xf numFmtId="3" fontId="31" fillId="0" borderId="24" xfId="28" applyNumberFormat="1" applyFont="1" applyFill="1" applyBorder="1" applyAlignment="1" applyProtection="1">
      <alignment horizontal="left"/>
      <protection locked="0"/>
    </xf>
    <xf numFmtId="0" fontId="31" fillId="0" borderId="24" xfId="31" applyFont="1" applyFill="1" applyBorder="1" applyAlignment="1" applyProtection="1">
      <alignment horizontal="left" wrapText="1"/>
      <protection locked="0"/>
    </xf>
    <xf numFmtId="0" fontId="16" fillId="0" borderId="24" xfId="32" applyFont="1" applyFill="1" applyBorder="1" applyAlignment="1" applyProtection="1">
      <alignment horizontal="center"/>
      <protection locked="0"/>
    </xf>
    <xf numFmtId="3" fontId="16" fillId="0" borderId="24" xfId="32" applyNumberFormat="1" applyFont="1" applyFill="1" applyBorder="1" applyAlignment="1" applyProtection="1">
      <protection locked="0"/>
    </xf>
    <xf numFmtId="3" fontId="16" fillId="0" borderId="24" xfId="31" applyNumberFormat="1" applyFont="1" applyFill="1" applyBorder="1" applyAlignment="1" applyProtection="1">
      <protection locked="0"/>
    </xf>
    <xf numFmtId="3" fontId="16" fillId="0" borderId="26" xfId="31" applyNumberFormat="1" applyFont="1" applyFill="1" applyBorder="1" applyAlignment="1" applyProtection="1">
      <alignment horizontal="right"/>
      <protection locked="0"/>
    </xf>
    <xf numFmtId="3" fontId="16" fillId="0" borderId="79" xfId="31" applyNumberFormat="1" applyFont="1" applyFill="1" applyBorder="1" applyAlignment="1" applyProtection="1">
      <alignment horizontal="right"/>
      <protection locked="0"/>
    </xf>
    <xf numFmtId="3" fontId="19" fillId="0" borderId="123" xfId="31" applyNumberFormat="1" applyFont="1" applyFill="1" applyBorder="1" applyAlignment="1" applyProtection="1">
      <alignment horizontal="left"/>
      <protection locked="0"/>
    </xf>
    <xf numFmtId="3" fontId="18" fillId="0" borderId="24" xfId="31" applyNumberFormat="1" applyFont="1" applyFill="1" applyBorder="1" applyAlignment="1" applyProtection="1">
      <protection locked="0"/>
    </xf>
    <xf numFmtId="3" fontId="19" fillId="0" borderId="124" xfId="31" applyNumberFormat="1" applyFont="1" applyFill="1" applyBorder="1" applyAlignment="1" applyProtection="1">
      <alignment horizontal="left"/>
      <protection locked="0"/>
    </xf>
    <xf numFmtId="3" fontId="16" fillId="0" borderId="17" xfId="28" applyNumberFormat="1" applyFont="1" applyFill="1" applyBorder="1" applyAlignment="1" applyProtection="1">
      <alignment horizontal="center"/>
      <protection locked="0"/>
    </xf>
    <xf numFmtId="0" fontId="16" fillId="0" borderId="17" xfId="31" applyFont="1" applyFill="1" applyBorder="1" applyAlignment="1" applyProtection="1">
      <alignment horizontal="left" wrapText="1"/>
      <protection locked="0"/>
    </xf>
    <xf numFmtId="3" fontId="16" fillId="0" borderId="24" xfId="32" applyNumberFormat="1" applyFont="1" applyFill="1" applyBorder="1" applyAlignment="1" applyProtection="1">
      <alignment vertical="center"/>
      <protection locked="0"/>
    </xf>
    <xf numFmtId="3" fontId="16" fillId="0" borderId="24" xfId="31" applyNumberFormat="1" applyFont="1" applyFill="1" applyBorder="1" applyAlignment="1" applyProtection="1">
      <alignment vertical="center"/>
      <protection locked="0"/>
    </xf>
    <xf numFmtId="3" fontId="16" fillId="0" borderId="26" xfId="31" applyNumberFormat="1" applyFont="1" applyFill="1" applyBorder="1" applyAlignment="1" applyProtection="1">
      <alignment horizontal="right" vertical="center"/>
      <protection locked="0"/>
    </xf>
    <xf numFmtId="3" fontId="16" fillId="0" borderId="79" xfId="31" applyNumberFormat="1" applyFont="1" applyFill="1" applyBorder="1" applyAlignment="1" applyProtection="1">
      <alignment horizontal="right" vertical="center"/>
      <protection locked="0"/>
    </xf>
    <xf numFmtId="3" fontId="19" fillId="0" borderId="123" xfId="31" applyNumberFormat="1" applyFont="1" applyFill="1" applyBorder="1" applyAlignment="1" applyProtection="1">
      <alignment horizontal="right" vertical="center"/>
      <protection locked="0"/>
    </xf>
    <xf numFmtId="3" fontId="18" fillId="0" borderId="24" xfId="31" applyNumberFormat="1" applyFont="1" applyFill="1" applyBorder="1" applyAlignment="1" applyProtection="1">
      <alignment vertical="center"/>
      <protection locked="0"/>
    </xf>
    <xf numFmtId="3" fontId="19" fillId="0" borderId="124" xfId="31" applyNumberFormat="1" applyFont="1" applyFill="1" applyBorder="1" applyAlignment="1" applyProtection="1">
      <alignment horizontal="right" vertical="center"/>
      <protection locked="0"/>
    </xf>
    <xf numFmtId="0" fontId="22" fillId="0" borderId="17" xfId="31" applyFont="1" applyFill="1" applyBorder="1" applyAlignment="1" applyProtection="1">
      <protection locked="0"/>
    </xf>
    <xf numFmtId="0" fontId="22" fillId="0" borderId="24" xfId="32" applyFont="1" applyFill="1" applyBorder="1" applyAlignment="1" applyProtection="1">
      <alignment horizontal="left"/>
      <protection locked="0"/>
    </xf>
    <xf numFmtId="0" fontId="16" fillId="0" borderId="24" xfId="31" applyFont="1" applyFill="1" applyBorder="1" applyAlignment="1" applyProtection="1">
      <alignment horizontal="left" wrapText="1"/>
      <protection locked="0"/>
    </xf>
    <xf numFmtId="3" fontId="31" fillId="0" borderId="17" xfId="28" applyNumberFormat="1" applyFont="1" applyFill="1" applyBorder="1" applyAlignment="1" applyProtection="1">
      <alignment horizontal="left"/>
      <protection locked="0"/>
    </xf>
    <xf numFmtId="3" fontId="16" fillId="0" borderId="24" xfId="28" applyNumberFormat="1" applyFont="1" applyFill="1" applyBorder="1" applyAlignment="1" applyProtection="1">
      <alignment horizontal="center"/>
      <protection locked="0"/>
    </xf>
    <xf numFmtId="0" fontId="22" fillId="0" borderId="17" xfId="31" applyFont="1" applyFill="1" applyBorder="1" applyAlignment="1" applyProtection="1">
      <alignment horizontal="left"/>
      <protection locked="0"/>
    </xf>
    <xf numFmtId="3" fontId="19" fillId="0" borderId="24" xfId="32" applyNumberFormat="1" applyFont="1" applyFill="1" applyBorder="1" applyAlignment="1" applyProtection="1">
      <protection locked="0"/>
    </xf>
    <xf numFmtId="3" fontId="16" fillId="0" borderId="26" xfId="31" applyNumberFormat="1" applyFont="1" applyFill="1" applyBorder="1" applyAlignment="1" applyProtection="1">
      <alignment horizontal="left"/>
      <protection locked="0"/>
    </xf>
    <xf numFmtId="3" fontId="16" fillId="0" borderId="79" xfId="31" applyNumberFormat="1" applyFont="1" applyFill="1" applyBorder="1" applyAlignment="1" applyProtection="1">
      <alignment horizontal="left"/>
      <protection locked="0"/>
    </xf>
    <xf numFmtId="0" fontId="19" fillId="0" borderId="17" xfId="31" applyFont="1" applyFill="1" applyBorder="1" applyAlignment="1" applyProtection="1">
      <alignment wrapText="1"/>
      <protection locked="0"/>
    </xf>
    <xf numFmtId="0" fontId="22" fillId="0" borderId="17" xfId="31" applyFont="1" applyFill="1" applyBorder="1" applyAlignment="1" applyProtection="1">
      <alignment horizontal="center" vertical="top"/>
      <protection locked="0"/>
    </xf>
    <xf numFmtId="3" fontId="18" fillId="0" borderId="24" xfId="31" applyNumberFormat="1" applyFont="1" applyFill="1" applyBorder="1" applyAlignment="1" applyProtection="1">
      <alignment horizontal="right" vertical="center"/>
      <protection locked="0"/>
    </xf>
    <xf numFmtId="0" fontId="46" fillId="0" borderId="17" xfId="31" applyFont="1" applyFill="1" applyBorder="1" applyAlignment="1" applyProtection="1">
      <alignment horizontal="left"/>
      <protection locked="0"/>
    </xf>
    <xf numFmtId="3" fontId="16" fillId="0" borderId="17" xfId="28" applyNumberFormat="1" applyFont="1" applyFill="1" applyBorder="1" applyAlignment="1" applyProtection="1">
      <alignment horizontal="center" vertical="top"/>
      <protection locked="0"/>
    </xf>
    <xf numFmtId="0" fontId="16" fillId="0" borderId="27" xfId="32" applyFont="1" applyFill="1" applyBorder="1" applyAlignment="1" applyProtection="1">
      <alignment horizontal="center" vertical="top"/>
      <protection locked="0"/>
    </xf>
    <xf numFmtId="0" fontId="16" fillId="0" borderId="17" xfId="31" applyFont="1" applyFill="1" applyBorder="1" applyAlignment="1" applyProtection="1">
      <alignment horizontal="left" vertical="top" wrapText="1"/>
      <protection locked="0"/>
    </xf>
    <xf numFmtId="0" fontId="16" fillId="0" borderId="24" xfId="32" applyFont="1" applyFill="1" applyBorder="1" applyAlignment="1" applyProtection="1">
      <alignment horizontal="center" vertical="top"/>
      <protection locked="0"/>
    </xf>
    <xf numFmtId="3" fontId="16" fillId="0" borderId="24" xfId="32" applyNumberFormat="1" applyFont="1" applyFill="1" applyBorder="1" applyAlignment="1" applyProtection="1">
      <alignment horizontal="center" vertical="top"/>
      <protection locked="0"/>
    </xf>
    <xf numFmtId="3" fontId="16" fillId="0" borderId="24" xfId="31" applyNumberFormat="1" applyFont="1" applyFill="1" applyBorder="1" applyAlignment="1" applyProtection="1">
      <alignment horizontal="center" vertical="top"/>
      <protection locked="0"/>
    </xf>
    <xf numFmtId="3" fontId="16" fillId="0" borderId="26" xfId="31" applyNumberFormat="1" applyFont="1" applyFill="1" applyBorder="1" applyAlignment="1" applyProtection="1">
      <alignment vertical="center"/>
      <protection locked="0"/>
    </xf>
    <xf numFmtId="3" fontId="16" fillId="0" borderId="79" xfId="31" applyNumberFormat="1" applyFont="1" applyFill="1" applyBorder="1" applyAlignment="1" applyProtection="1">
      <alignment vertical="center"/>
      <protection locked="0"/>
    </xf>
    <xf numFmtId="0" fontId="16" fillId="0" borderId="24" xfId="31" applyFont="1" applyFill="1" applyBorder="1" applyAlignment="1" applyProtection="1">
      <alignment horizontal="left" vertical="top" wrapText="1"/>
      <protection locked="0"/>
    </xf>
    <xf numFmtId="0" fontId="16" fillId="0" borderId="24" xfId="32" applyFont="1" applyFill="1" applyBorder="1" applyAlignment="1" applyProtection="1">
      <alignment horizontal="left"/>
      <protection locked="0"/>
    </xf>
    <xf numFmtId="3" fontId="16" fillId="0" borderId="24" xfId="32" applyNumberFormat="1" applyFont="1" applyFill="1" applyBorder="1" applyAlignment="1" applyProtection="1">
      <alignment horizontal="left"/>
      <protection locked="0"/>
    </xf>
    <xf numFmtId="3" fontId="16" fillId="0" borderId="24" xfId="31" applyNumberFormat="1" applyFont="1" applyFill="1" applyBorder="1" applyAlignment="1" applyProtection="1">
      <alignment horizontal="left"/>
      <protection locked="0"/>
    </xf>
    <xf numFmtId="3" fontId="19" fillId="0" borderId="123" xfId="31" applyNumberFormat="1" applyFont="1" applyFill="1" applyBorder="1" applyAlignment="1" applyProtection="1">
      <alignment horizontal="right"/>
      <protection locked="0"/>
    </xf>
    <xf numFmtId="3" fontId="19" fillId="0" borderId="124" xfId="31" applyNumberFormat="1" applyFont="1" applyFill="1" applyBorder="1" applyAlignment="1" applyProtection="1">
      <alignment horizontal="right"/>
      <protection locked="0"/>
    </xf>
    <xf numFmtId="3" fontId="16" fillId="0" borderId="24" xfId="28" applyNumberFormat="1" applyFont="1" applyFill="1" applyBorder="1" applyAlignment="1" applyProtection="1">
      <alignment horizontal="center" vertical="top"/>
      <protection locked="0"/>
    </xf>
    <xf numFmtId="3" fontId="31" fillId="0" borderId="24" xfId="0" applyNumberFormat="1" applyFont="1" applyFill="1" applyBorder="1" applyAlignment="1" applyProtection="1">
      <alignment horizontal="left"/>
      <protection locked="0"/>
    </xf>
    <xf numFmtId="0" fontId="19" fillId="0" borderId="56" xfId="32" applyFont="1" applyFill="1" applyBorder="1" applyAlignment="1" applyProtection="1">
      <alignment horizontal="center" vertical="center"/>
      <protection locked="0"/>
    </xf>
    <xf numFmtId="3" fontId="19" fillId="0" borderId="56" xfId="32" applyNumberFormat="1" applyFont="1" applyFill="1" applyBorder="1" applyAlignment="1" applyProtection="1">
      <alignment vertical="center"/>
      <protection locked="0"/>
    </xf>
    <xf numFmtId="3" fontId="19" fillId="0" borderId="56" xfId="31" applyNumberFormat="1" applyFont="1" applyFill="1" applyBorder="1" applyAlignment="1" applyProtection="1">
      <alignment vertical="center"/>
      <protection locked="0"/>
    </xf>
    <xf numFmtId="3" fontId="19" fillId="0" borderId="208" xfId="31" applyNumberFormat="1" applyFont="1" applyFill="1" applyBorder="1" applyAlignment="1" applyProtection="1">
      <alignment horizontal="right" vertical="center"/>
      <protection locked="0"/>
    </xf>
    <xf numFmtId="3" fontId="19" fillId="0" borderId="216" xfId="31" applyNumberFormat="1" applyFont="1" applyFill="1" applyBorder="1" applyAlignment="1" applyProtection="1">
      <alignment horizontal="right" vertical="center"/>
      <protection locked="0"/>
    </xf>
    <xf numFmtId="3" fontId="19" fillId="0" borderId="9" xfId="31" applyNumberFormat="1" applyFont="1" applyFill="1" applyBorder="1" applyAlignment="1" applyProtection="1">
      <alignment horizontal="right" vertical="center"/>
      <protection locked="0"/>
    </xf>
    <xf numFmtId="3" fontId="22" fillId="0" borderId="56" xfId="31" applyNumberFormat="1" applyFont="1" applyFill="1" applyBorder="1" applyAlignment="1" applyProtection="1">
      <alignment vertical="center"/>
      <protection locked="0"/>
    </xf>
    <xf numFmtId="3" fontId="19" fillId="0" borderId="232" xfId="31" applyNumberFormat="1" applyFont="1" applyFill="1" applyBorder="1" applyAlignment="1" applyProtection="1">
      <alignment horizontal="right" vertical="center"/>
      <protection locked="0"/>
    </xf>
    <xf numFmtId="3" fontId="31" fillId="0" borderId="26" xfId="0" applyNumberFormat="1" applyFont="1" applyFill="1" applyBorder="1" applyAlignment="1" applyProtection="1">
      <alignment horizontal="left"/>
      <protection locked="0"/>
    </xf>
    <xf numFmtId="3" fontId="16" fillId="0" borderId="223" xfId="31" applyNumberFormat="1" applyFont="1" applyFill="1" applyBorder="1" applyAlignment="1" applyProtection="1">
      <alignment horizontal="left"/>
      <protection locked="0"/>
    </xf>
    <xf numFmtId="0" fontId="19" fillId="0" borderId="54" xfId="32" applyFont="1" applyFill="1" applyBorder="1" applyAlignment="1" applyProtection="1">
      <alignment horizontal="center" vertical="center"/>
      <protection locked="0"/>
    </xf>
    <xf numFmtId="3" fontId="19" fillId="0" borderId="54" xfId="32" applyNumberFormat="1" applyFont="1" applyFill="1" applyBorder="1" applyAlignment="1" applyProtection="1">
      <alignment vertical="center"/>
      <protection locked="0"/>
    </xf>
    <xf numFmtId="3" fontId="19" fillId="0" borderId="54" xfId="31" applyNumberFormat="1" applyFont="1" applyFill="1" applyBorder="1" applyAlignment="1" applyProtection="1">
      <alignment vertical="center"/>
      <protection locked="0"/>
    </xf>
    <xf numFmtId="3" fontId="19" fillId="0" borderId="75" xfId="31" applyNumberFormat="1" applyFont="1" applyFill="1" applyBorder="1" applyAlignment="1" applyProtection="1">
      <alignment horizontal="right" vertical="center"/>
      <protection locked="0"/>
    </xf>
    <xf numFmtId="3" fontId="19" fillId="0" borderId="180" xfId="31" applyNumberFormat="1" applyFont="1" applyFill="1" applyBorder="1" applyAlignment="1" applyProtection="1">
      <alignment horizontal="right" vertical="center"/>
      <protection locked="0"/>
    </xf>
    <xf numFmtId="3" fontId="19" fillId="0" borderId="13" xfId="31" applyNumberFormat="1" applyFont="1" applyFill="1" applyBorder="1" applyAlignment="1" applyProtection="1">
      <alignment horizontal="right" vertical="center"/>
      <protection locked="0"/>
    </xf>
    <xf numFmtId="3" fontId="22" fillId="0" borderId="54" xfId="31" applyNumberFormat="1" applyFont="1" applyFill="1" applyBorder="1" applyAlignment="1" applyProtection="1">
      <alignment vertical="center"/>
      <protection locked="0"/>
    </xf>
    <xf numFmtId="3" fontId="19" fillId="0" borderId="32" xfId="31" applyNumberFormat="1" applyFont="1" applyFill="1" applyBorder="1" applyAlignment="1" applyProtection="1">
      <alignment horizontal="right" vertical="center"/>
      <protection locked="0"/>
    </xf>
    <xf numFmtId="0" fontId="19" fillId="0" borderId="43" xfId="32" applyFont="1" applyFill="1" applyBorder="1" applyAlignment="1" applyProtection="1">
      <alignment horizontal="center" vertical="center"/>
      <protection locked="0"/>
    </xf>
    <xf numFmtId="3" fontId="19" fillId="0" borderId="44" xfId="32" applyNumberFormat="1" applyFont="1" applyFill="1" applyBorder="1" applyAlignment="1" applyProtection="1">
      <alignment vertical="center"/>
      <protection locked="0"/>
    </xf>
    <xf numFmtId="3" fontId="19" fillId="0" borderId="44" xfId="31" applyNumberFormat="1" applyFont="1" applyFill="1" applyBorder="1" applyAlignment="1" applyProtection="1">
      <alignment vertical="center"/>
      <protection locked="0"/>
    </xf>
    <xf numFmtId="3" fontId="19" fillId="0" borderId="82" xfId="31" applyNumberFormat="1" applyFont="1" applyFill="1" applyBorder="1" applyAlignment="1" applyProtection="1">
      <alignment horizontal="right" vertical="center"/>
      <protection locked="0"/>
    </xf>
    <xf numFmtId="3" fontId="19" fillId="0" borderId="61" xfId="31" applyNumberFormat="1" applyFont="1" applyFill="1" applyBorder="1" applyAlignment="1" applyProtection="1">
      <alignment horizontal="right" vertical="center"/>
      <protection locked="0"/>
    </xf>
    <xf numFmtId="3" fontId="19" fillId="0" borderId="130" xfId="31" applyNumberFormat="1" applyFont="1" applyFill="1" applyBorder="1" applyAlignment="1" applyProtection="1">
      <alignment horizontal="right" vertical="center"/>
      <protection locked="0"/>
    </xf>
    <xf numFmtId="3" fontId="22" fillId="0" borderId="44" xfId="31" applyNumberFormat="1" applyFont="1" applyFill="1" applyBorder="1" applyAlignment="1" applyProtection="1">
      <alignment vertical="center"/>
      <protection locked="0"/>
    </xf>
    <xf numFmtId="3" fontId="19" fillId="0" borderId="45" xfId="31" applyNumberFormat="1" applyFont="1" applyFill="1" applyBorder="1" applyAlignment="1" applyProtection="1">
      <alignment horizontal="right" vertical="center"/>
      <protection locked="0"/>
    </xf>
    <xf numFmtId="0" fontId="16" fillId="0" borderId="16" xfId="32" applyFont="1" applyFill="1" applyBorder="1" applyAlignment="1" applyProtection="1">
      <alignment horizontal="center"/>
      <protection locked="0"/>
    </xf>
    <xf numFmtId="0" fontId="16" fillId="0" borderId="17" xfId="32" applyFont="1" applyFill="1" applyBorder="1" applyAlignment="1" applyProtection="1">
      <alignment horizontal="center"/>
      <protection locked="0"/>
    </xf>
    <xf numFmtId="3" fontId="19" fillId="0" borderId="17" xfId="32" applyNumberFormat="1" applyFont="1" applyFill="1" applyBorder="1" applyAlignment="1" applyProtection="1">
      <alignment vertical="center"/>
      <protection locked="0"/>
    </xf>
    <xf numFmtId="3" fontId="19" fillId="0" borderId="17" xfId="31" applyNumberFormat="1" applyFont="1" applyFill="1" applyBorder="1" applyAlignment="1" applyProtection="1">
      <alignment vertical="center"/>
      <protection locked="0"/>
    </xf>
    <xf numFmtId="3" fontId="19" fillId="0" borderId="23" xfId="31" applyNumberFormat="1" applyFont="1" applyFill="1" applyBorder="1" applyAlignment="1" applyProtection="1">
      <alignment horizontal="right" vertical="center"/>
      <protection locked="0"/>
    </xf>
    <xf numFmtId="3" fontId="19" fillId="0" borderId="58" xfId="31" applyNumberFormat="1" applyFont="1" applyFill="1" applyBorder="1" applyAlignment="1" applyProtection="1">
      <alignment horizontal="right" vertical="center"/>
      <protection locked="0"/>
    </xf>
    <xf numFmtId="3" fontId="19" fillId="0" borderId="116" xfId="31" applyNumberFormat="1" applyFont="1" applyFill="1" applyBorder="1" applyAlignment="1" applyProtection="1">
      <alignment horizontal="right" vertical="center"/>
      <protection locked="0"/>
    </xf>
    <xf numFmtId="3" fontId="18" fillId="0" borderId="17" xfId="31" applyNumberFormat="1" applyFont="1" applyFill="1" applyBorder="1" applyAlignment="1" applyProtection="1">
      <alignment vertical="center"/>
      <protection locked="0"/>
    </xf>
    <xf numFmtId="3" fontId="19" fillId="0" borderId="18" xfId="31" applyNumberFormat="1" applyFont="1" applyFill="1" applyBorder="1" applyAlignment="1" applyProtection="1">
      <alignment horizontal="right" vertical="center"/>
      <protection locked="0"/>
    </xf>
    <xf numFmtId="0" fontId="16" fillId="0" borderId="16" xfId="32" applyFont="1" applyFill="1" applyBorder="1" applyAlignment="1" applyProtection="1">
      <alignment horizontal="center" vertical="top"/>
      <protection locked="0"/>
    </xf>
    <xf numFmtId="0" fontId="16" fillId="0" borderId="17" xfId="32" applyFont="1" applyFill="1" applyBorder="1" applyAlignment="1" applyProtection="1">
      <alignment horizontal="center" vertical="top"/>
      <protection locked="0"/>
    </xf>
    <xf numFmtId="3" fontId="19" fillId="0" borderId="46" xfId="32" applyNumberFormat="1" applyFont="1" applyFill="1" applyBorder="1" applyAlignment="1" applyProtection="1">
      <alignment vertical="center"/>
      <protection locked="0"/>
    </xf>
    <xf numFmtId="3" fontId="16" fillId="0" borderId="46" xfId="31" applyNumberFormat="1" applyFont="1" applyFill="1" applyBorder="1" applyAlignment="1" applyProtection="1">
      <alignment vertical="center"/>
      <protection locked="0"/>
    </xf>
    <xf numFmtId="3" fontId="19" fillId="0" borderId="59" xfId="31" applyNumberFormat="1" applyFont="1" applyFill="1" applyBorder="1" applyAlignment="1" applyProtection="1">
      <alignment horizontal="right" vertical="center"/>
      <protection locked="0"/>
    </xf>
    <xf numFmtId="3" fontId="19" fillId="0" borderId="21" xfId="31" applyNumberFormat="1" applyFont="1" applyFill="1" applyBorder="1" applyAlignment="1" applyProtection="1">
      <alignment horizontal="right" vertical="center"/>
      <protection locked="0"/>
    </xf>
    <xf numFmtId="3" fontId="19" fillId="0" borderId="131" xfId="31" applyNumberFormat="1" applyFont="1" applyFill="1" applyBorder="1" applyAlignment="1" applyProtection="1">
      <alignment horizontal="right" vertical="center"/>
      <protection locked="0"/>
    </xf>
    <xf numFmtId="3" fontId="18" fillId="0" borderId="46" xfId="31" applyNumberFormat="1" applyFont="1" applyFill="1" applyBorder="1" applyAlignment="1" applyProtection="1">
      <alignment vertical="center"/>
      <protection locked="0"/>
    </xf>
    <xf numFmtId="3" fontId="19" fillId="0" borderId="47" xfId="31" applyNumberFormat="1" applyFont="1" applyFill="1" applyBorder="1" applyAlignment="1" applyProtection="1">
      <alignment horizontal="right" vertical="center"/>
      <protection locked="0"/>
    </xf>
    <xf numFmtId="3" fontId="16" fillId="0" borderId="54" xfId="31" applyNumberFormat="1" applyFont="1" applyFill="1" applyBorder="1" applyAlignment="1" applyProtection="1">
      <alignment vertical="center"/>
      <protection locked="0"/>
    </xf>
    <xf numFmtId="3" fontId="19" fillId="0" borderId="133" xfId="31" applyNumberFormat="1" applyFont="1" applyFill="1" applyBorder="1" applyAlignment="1" applyProtection="1">
      <alignment horizontal="right" vertical="center"/>
      <protection locked="0"/>
    </xf>
    <xf numFmtId="3" fontId="18" fillId="0" borderId="54" xfId="31" applyNumberFormat="1" applyFont="1" applyFill="1" applyBorder="1" applyAlignment="1" applyProtection="1">
      <alignment vertical="center"/>
      <protection locked="0"/>
    </xf>
    <xf numFmtId="3" fontId="19" fillId="0" borderId="29" xfId="31" applyNumberFormat="1" applyFont="1" applyFill="1" applyBorder="1" applyAlignment="1" applyProtection="1">
      <alignment horizontal="right" vertical="center"/>
      <protection locked="0"/>
    </xf>
    <xf numFmtId="3" fontId="19" fillId="0" borderId="75" xfId="32" applyNumberFormat="1" applyFont="1" applyFill="1" applyBorder="1" applyAlignment="1" applyProtection="1">
      <alignment vertical="center"/>
      <protection locked="0"/>
    </xf>
    <xf numFmtId="3" fontId="16" fillId="0" borderId="0" xfId="59" applyNumberFormat="1" applyFont="1" applyFill="1" applyBorder="1" applyAlignment="1" applyProtection="1">
      <alignment horizontal="left" vertical="top"/>
      <protection locked="0"/>
    </xf>
    <xf numFmtId="3" fontId="16" fillId="0" borderId="0" xfId="59" applyNumberFormat="1" applyFont="1" applyFill="1" applyBorder="1" applyAlignment="1" applyProtection="1">
      <alignment horizontal="center" vertical="top"/>
      <protection locked="0"/>
    </xf>
    <xf numFmtId="3" fontId="16" fillId="0" borderId="0" xfId="59" applyNumberFormat="1" applyFont="1" applyFill="1" applyBorder="1" applyAlignment="1" applyProtection="1">
      <alignment horizontal="center" vertical="center"/>
      <protection locked="0"/>
    </xf>
    <xf numFmtId="3" fontId="16" fillId="0" borderId="0" xfId="32" applyNumberFormat="1" applyFont="1" applyFill="1" applyBorder="1" applyAlignment="1" applyProtection="1">
      <protection locked="0"/>
    </xf>
    <xf numFmtId="3" fontId="16" fillId="0" borderId="0" xfId="32" applyNumberFormat="1" applyFont="1" applyFill="1" applyBorder="1" applyAlignment="1" applyProtection="1">
      <alignment wrapText="1"/>
      <protection locked="0"/>
    </xf>
    <xf numFmtId="3" fontId="16" fillId="0" borderId="0" xfId="32" applyNumberFormat="1" applyFont="1" applyFill="1" applyBorder="1" applyAlignment="1" applyProtection="1">
      <alignment horizontal="right"/>
      <protection locked="0"/>
    </xf>
    <xf numFmtId="3" fontId="19" fillId="0" borderId="0" xfId="32" applyNumberFormat="1" applyFont="1" applyFill="1" applyBorder="1" applyAlignment="1" applyProtection="1">
      <alignment horizontal="right"/>
      <protection locked="0"/>
    </xf>
    <xf numFmtId="3" fontId="18" fillId="0" borderId="0" xfId="32" applyNumberFormat="1" applyFont="1" applyFill="1" applyBorder="1" applyAlignment="1" applyProtection="1">
      <protection locked="0"/>
    </xf>
    <xf numFmtId="3" fontId="16" fillId="0" borderId="0" xfId="59" applyNumberFormat="1" applyFont="1" applyFill="1" applyBorder="1" applyAlignment="1" applyProtection="1">
      <protection locked="0"/>
    </xf>
    <xf numFmtId="1" fontId="12" fillId="0" borderId="0" xfId="18" applyNumberFormat="1" applyFont="1" applyFill="1" applyBorder="1" applyAlignment="1">
      <alignment horizontal="center" vertical="center"/>
    </xf>
    <xf numFmtId="3" fontId="12" fillId="0" borderId="0" xfId="18" applyNumberFormat="1" applyFont="1" applyFill="1" applyBorder="1" applyAlignment="1">
      <alignment horizontal="center" vertical="center"/>
    </xf>
    <xf numFmtId="3" fontId="12" fillId="0" borderId="0" xfId="18" applyNumberFormat="1" applyFont="1" applyFill="1" applyBorder="1" applyAlignment="1">
      <alignment horizontal="center" vertical="center" wrapText="1"/>
    </xf>
    <xf numFmtId="3" fontId="12" fillId="0" borderId="0" xfId="18" applyNumberFormat="1" applyFont="1" applyFill="1" applyBorder="1" applyAlignment="1">
      <alignment horizontal="center"/>
    </xf>
    <xf numFmtId="3" fontId="16" fillId="0" borderId="31" xfId="0" applyNumberFormat="1" applyFont="1" applyFill="1" applyBorder="1" applyAlignment="1">
      <alignment horizontal="center" vertical="center" wrapText="1"/>
    </xf>
    <xf numFmtId="3" fontId="16" fillId="0" borderId="43" xfId="18" applyNumberFormat="1" applyFont="1" applyFill="1" applyBorder="1" applyAlignment="1">
      <alignment horizontal="center"/>
    </xf>
    <xf numFmtId="3" fontId="31" fillId="0" borderId="44" xfId="18" applyNumberFormat="1" applyFont="1" applyFill="1" applyBorder="1" applyAlignment="1">
      <alignment horizontal="left"/>
    </xf>
    <xf numFmtId="0" fontId="19" fillId="0" borderId="44" xfId="18" applyFont="1" applyFill="1" applyBorder="1" applyAlignment="1">
      <alignment horizontal="center" vertical="center" wrapText="1"/>
    </xf>
    <xf numFmtId="3" fontId="16" fillId="0" borderId="44" xfId="18" applyNumberFormat="1" applyFont="1" applyFill="1" applyBorder="1" applyAlignment="1">
      <alignment horizontal="center" vertical="center" wrapText="1"/>
    </xf>
    <xf numFmtId="3" fontId="16" fillId="0" borderId="182" xfId="18" applyNumberFormat="1" applyFont="1" applyFill="1" applyBorder="1" applyAlignment="1">
      <alignment horizontal="center" vertical="center" wrapText="1"/>
    </xf>
    <xf numFmtId="0" fontId="16" fillId="0" borderId="130" xfId="0" applyFont="1" applyFill="1" applyBorder="1" applyAlignment="1">
      <alignment horizontal="center" vertical="center" textRotation="90" wrapText="1"/>
    </xf>
    <xf numFmtId="3" fontId="19" fillId="0" borderId="44" xfId="18" applyNumberFormat="1" applyFont="1" applyFill="1" applyBorder="1" applyAlignment="1">
      <alignment horizontal="center" vertical="center" wrapText="1"/>
    </xf>
    <xf numFmtId="3" fontId="16" fillId="0" borderId="44" xfId="0" applyNumberFormat="1" applyFont="1" applyFill="1" applyBorder="1" applyAlignment="1">
      <alignment horizontal="center" vertical="center" wrapText="1"/>
    </xf>
    <xf numFmtId="3" fontId="16" fillId="0" borderId="45" xfId="0" applyNumberFormat="1" applyFont="1" applyFill="1" applyBorder="1" applyAlignment="1">
      <alignment horizontal="center" vertical="center" wrapText="1"/>
    </xf>
    <xf numFmtId="3" fontId="16" fillId="0" borderId="27" xfId="18" applyNumberFormat="1" applyFont="1" applyFill="1" applyBorder="1" applyAlignment="1">
      <alignment horizontal="center"/>
    </xf>
    <xf numFmtId="3" fontId="16" fillId="0" borderId="24" xfId="18" applyNumberFormat="1" applyFont="1" applyFill="1" applyBorder="1" applyAlignment="1">
      <alignment horizontal="center"/>
    </xf>
    <xf numFmtId="3" fontId="19" fillId="0" borderId="24" xfId="18" applyNumberFormat="1" applyFont="1" applyFill="1" applyBorder="1" applyAlignment="1">
      <alignment wrapText="1"/>
    </xf>
    <xf numFmtId="3" fontId="16" fillId="0" borderId="24" xfId="18" applyNumberFormat="1" applyFont="1" applyFill="1" applyBorder="1" applyAlignment="1">
      <alignment horizontal="right"/>
    </xf>
    <xf numFmtId="3" fontId="16" fillId="0" borderId="26" xfId="18" applyNumberFormat="1" applyFont="1" applyFill="1" applyBorder="1" applyAlignment="1">
      <alignment horizontal="right"/>
    </xf>
    <xf numFmtId="3" fontId="16" fillId="0" borderId="79" xfId="18" applyNumberFormat="1" applyFont="1" applyFill="1" applyBorder="1" applyAlignment="1">
      <alignment horizontal="center"/>
    </xf>
    <xf numFmtId="3" fontId="19" fillId="0" borderId="81" xfId="18" applyNumberFormat="1" applyFont="1" applyFill="1" applyBorder="1" applyAlignment="1">
      <alignment horizontal="right"/>
    </xf>
    <xf numFmtId="3" fontId="16" fillId="0" borderId="24" xfId="0" applyNumberFormat="1" applyFont="1" applyFill="1" applyBorder="1" applyAlignment="1">
      <alignment horizontal="right" wrapText="1"/>
    </xf>
    <xf numFmtId="3" fontId="16" fillId="0" borderId="25" xfId="0" applyNumberFormat="1" applyFont="1" applyFill="1" applyBorder="1" applyAlignment="1">
      <alignment horizontal="right" wrapText="1"/>
    </xf>
    <xf numFmtId="3" fontId="19" fillId="0" borderId="116" xfId="18" applyNumberFormat="1" applyFont="1" applyFill="1" applyBorder="1" applyAlignment="1">
      <alignment horizontal="right"/>
    </xf>
    <xf numFmtId="3" fontId="19" fillId="0" borderId="24" xfId="0" applyNumberFormat="1" applyFont="1" applyFill="1" applyBorder="1" applyAlignment="1">
      <alignment horizontal="right" wrapText="1"/>
    </xf>
    <xf numFmtId="3" fontId="16" fillId="0" borderId="16" xfId="18" applyNumberFormat="1" applyFont="1" applyFill="1" applyBorder="1" applyAlignment="1">
      <alignment horizontal="center" vertical="center"/>
    </xf>
    <xf numFmtId="3" fontId="16" fillId="0" borderId="17" xfId="18" applyNumberFormat="1" applyFont="1" applyFill="1" applyBorder="1" applyAlignment="1">
      <alignment horizontal="center" vertical="center"/>
    </xf>
    <xf numFmtId="3" fontId="18" fillId="0" borderId="24" xfId="18" applyNumberFormat="1" applyFont="1" applyFill="1" applyBorder="1" applyAlignment="1">
      <alignment wrapText="1"/>
    </xf>
    <xf numFmtId="3" fontId="16" fillId="0" borderId="17" xfId="18" applyNumberFormat="1" applyFont="1" applyFill="1" applyBorder="1" applyAlignment="1">
      <alignment horizontal="right"/>
    </xf>
    <xf numFmtId="3" fontId="16" fillId="0" borderId="23" xfId="18" applyNumberFormat="1" applyFont="1" applyFill="1" applyBorder="1" applyAlignment="1">
      <alignment horizontal="right"/>
    </xf>
    <xf numFmtId="3" fontId="16" fillId="0" borderId="58" xfId="18" applyNumberFormat="1" applyFont="1" applyFill="1" applyBorder="1" applyAlignment="1">
      <alignment horizontal="center"/>
    </xf>
    <xf numFmtId="3" fontId="18" fillId="0" borderId="116" xfId="18" applyNumberFormat="1" applyFont="1" applyFill="1" applyBorder="1" applyAlignment="1">
      <alignment horizontal="right"/>
    </xf>
    <xf numFmtId="3" fontId="18" fillId="0" borderId="24" xfId="0" applyNumberFormat="1" applyFont="1" applyFill="1" applyBorder="1" applyAlignment="1">
      <alignment horizontal="right" wrapText="1"/>
    </xf>
    <xf numFmtId="3" fontId="19" fillId="0" borderId="17" xfId="0" applyNumberFormat="1" applyFont="1" applyFill="1" applyBorder="1" applyAlignment="1">
      <alignment horizontal="right" wrapText="1"/>
    </xf>
    <xf numFmtId="3" fontId="16" fillId="0" borderId="16" xfId="18" applyNumberFormat="1" applyFont="1" applyFill="1" applyBorder="1" applyAlignment="1">
      <alignment horizontal="center"/>
    </xf>
    <xf numFmtId="3" fontId="16" fillId="0" borderId="17" xfId="18" applyNumberFormat="1" applyFont="1" applyFill="1" applyBorder="1" applyAlignment="1">
      <alignment horizontal="center"/>
    </xf>
    <xf numFmtId="3" fontId="19" fillId="0" borderId="17" xfId="18" applyNumberFormat="1" applyFont="1" applyFill="1" applyBorder="1" applyAlignment="1">
      <alignment wrapText="1"/>
    </xf>
    <xf numFmtId="3" fontId="16" fillId="0" borderId="17" xfId="0" applyNumberFormat="1" applyFont="1" applyFill="1" applyBorder="1" applyAlignment="1">
      <alignment horizontal="right" wrapText="1"/>
    </xf>
    <xf numFmtId="3" fontId="18" fillId="0" borderId="17" xfId="0" applyNumberFormat="1" applyFont="1" applyFill="1" applyBorder="1" applyAlignment="1">
      <alignment horizontal="right" wrapText="1"/>
    </xf>
    <xf numFmtId="3" fontId="16" fillId="0" borderId="18" xfId="0" applyNumberFormat="1" applyFont="1" applyFill="1" applyBorder="1" applyAlignment="1">
      <alignment horizontal="right" wrapText="1"/>
    </xf>
    <xf numFmtId="3" fontId="19" fillId="0" borderId="116" xfId="18" applyNumberFormat="1" applyFont="1" applyFill="1" applyBorder="1" applyAlignment="1">
      <alignment horizontal="right" vertical="center"/>
    </xf>
    <xf numFmtId="3" fontId="16" fillId="0" borderId="17" xfId="0" applyNumberFormat="1" applyFont="1" applyFill="1" applyBorder="1" applyAlignment="1">
      <alignment horizontal="right" vertical="center" wrapText="1"/>
    </xf>
    <xf numFmtId="3" fontId="16" fillId="0" borderId="18" xfId="0" applyNumberFormat="1" applyFont="1" applyFill="1" applyBorder="1" applyAlignment="1">
      <alignment horizontal="right" vertical="center" wrapText="1"/>
    </xf>
    <xf numFmtId="3" fontId="37" fillId="0" borderId="24" xfId="18" applyNumberFormat="1" applyFont="1" applyFill="1" applyBorder="1" applyAlignment="1">
      <alignment wrapText="1"/>
    </xf>
    <xf numFmtId="3" fontId="37" fillId="0" borderId="116" xfId="18" applyNumberFormat="1" applyFont="1" applyFill="1" applyBorder="1" applyAlignment="1">
      <alignment horizontal="right"/>
    </xf>
    <xf numFmtId="3" fontId="37" fillId="0" borderId="17" xfId="0" applyNumberFormat="1" applyFont="1" applyFill="1" applyBorder="1" applyAlignment="1">
      <alignment horizontal="right" wrapText="1"/>
    </xf>
    <xf numFmtId="3" fontId="8" fillId="0" borderId="17" xfId="18" applyNumberFormat="1" applyFont="1" applyFill="1" applyBorder="1" applyAlignment="1">
      <alignment horizontal="center" vertical="center"/>
    </xf>
    <xf numFmtId="3" fontId="8" fillId="0" borderId="190" xfId="18" applyNumberFormat="1" applyFont="1" applyFill="1" applyBorder="1" applyAlignment="1">
      <alignment horizontal="center" vertical="center"/>
    </xf>
    <xf numFmtId="3" fontId="18" fillId="0" borderId="18" xfId="0" applyNumberFormat="1" applyFont="1" applyFill="1" applyBorder="1" applyAlignment="1">
      <alignment horizontal="right" wrapText="1"/>
    </xf>
    <xf numFmtId="3" fontId="37" fillId="0" borderId="16" xfId="18" applyNumberFormat="1" applyFont="1" applyFill="1" applyBorder="1" applyAlignment="1">
      <alignment horizontal="center" vertical="center"/>
    </xf>
    <xf numFmtId="3" fontId="37" fillId="0" borderId="17" xfId="18" applyNumberFormat="1" applyFont="1" applyFill="1" applyBorder="1" applyAlignment="1">
      <alignment horizontal="center" vertical="center"/>
    </xf>
    <xf numFmtId="3" fontId="37" fillId="0" borderId="17" xfId="18" applyNumberFormat="1" applyFont="1" applyFill="1" applyBorder="1" applyAlignment="1">
      <alignment horizontal="right"/>
    </xf>
    <xf numFmtId="3" fontId="37" fillId="0" borderId="23" xfId="18" applyNumberFormat="1" applyFont="1" applyFill="1" applyBorder="1" applyAlignment="1">
      <alignment horizontal="right"/>
    </xf>
    <xf numFmtId="3" fontId="37" fillId="0" borderId="58" xfId="18" applyNumberFormat="1" applyFont="1" applyFill="1" applyBorder="1" applyAlignment="1">
      <alignment horizontal="center"/>
    </xf>
    <xf numFmtId="3" fontId="37" fillId="0" borderId="18" xfId="0" applyNumberFormat="1" applyFont="1" applyFill="1" applyBorder="1" applyAlignment="1">
      <alignment horizontal="right" wrapText="1"/>
    </xf>
    <xf numFmtId="3" fontId="19" fillId="0" borderId="18" xfId="0" applyNumberFormat="1" applyFont="1" applyFill="1" applyBorder="1" applyAlignment="1">
      <alignment horizontal="right" wrapText="1"/>
    </xf>
    <xf numFmtId="3" fontId="18" fillId="0" borderId="16" xfId="18" applyNumberFormat="1" applyFont="1" applyFill="1" applyBorder="1" applyAlignment="1">
      <alignment horizontal="center" vertical="center"/>
    </xf>
    <xf numFmtId="3" fontId="16" fillId="0" borderId="17" xfId="18" applyNumberFormat="1" applyFont="1" applyFill="1" applyBorder="1" applyAlignment="1">
      <alignment horizontal="center" vertical="top"/>
    </xf>
    <xf numFmtId="3" fontId="18" fillId="0" borderId="17" xfId="18" applyNumberFormat="1" applyFont="1" applyFill="1" applyBorder="1" applyAlignment="1">
      <alignment wrapText="1"/>
    </xf>
    <xf numFmtId="3" fontId="18" fillId="0" borderId="17" xfId="18" applyNumberFormat="1" applyFont="1" applyFill="1" applyBorder="1" applyAlignment="1">
      <alignment horizontal="right"/>
    </xf>
    <xf numFmtId="3" fontId="18" fillId="0" borderId="23" xfId="18" applyNumberFormat="1" applyFont="1" applyFill="1" applyBorder="1" applyAlignment="1">
      <alignment horizontal="right"/>
    </xf>
    <xf numFmtId="3" fontId="18" fillId="0" borderId="58" xfId="18" applyNumberFormat="1" applyFont="1" applyFill="1" applyBorder="1" applyAlignment="1">
      <alignment horizontal="center"/>
    </xf>
    <xf numFmtId="3" fontId="18" fillId="0" borderId="17" xfId="0" applyNumberFormat="1" applyFont="1" applyFill="1" applyBorder="1" applyAlignment="1">
      <alignment horizontal="right" vertical="center" wrapText="1"/>
    </xf>
    <xf numFmtId="3" fontId="18" fillId="0" borderId="18" xfId="0" applyNumberFormat="1" applyFont="1" applyFill="1" applyBorder="1" applyAlignment="1">
      <alignment horizontal="right" vertical="center" wrapText="1"/>
    </xf>
    <xf numFmtId="3" fontId="16" fillId="0" borderId="36" xfId="18" applyNumberFormat="1" applyFont="1" applyFill="1" applyBorder="1" applyAlignment="1">
      <alignment horizontal="right"/>
    </xf>
    <xf numFmtId="3" fontId="8" fillId="0" borderId="23" xfId="18" applyNumberFormat="1" applyFont="1" applyFill="1" applyBorder="1" applyAlignment="1">
      <alignment horizontal="center" vertical="center"/>
    </xf>
    <xf numFmtId="3" fontId="8" fillId="0" borderId="226" xfId="18" applyNumberFormat="1" applyFont="1" applyFill="1" applyBorder="1" applyAlignment="1">
      <alignment horizontal="center" vertical="center"/>
    </xf>
    <xf numFmtId="3" fontId="8" fillId="0" borderId="0" xfId="18" applyNumberFormat="1" applyFont="1" applyFill="1" applyBorder="1" applyAlignment="1">
      <alignment horizontal="center" vertical="center"/>
    </xf>
    <xf numFmtId="3" fontId="8" fillId="0" borderId="24" xfId="18" applyNumberFormat="1" applyFont="1" applyFill="1" applyBorder="1" applyAlignment="1">
      <alignment horizontal="center" vertical="center"/>
    </xf>
    <xf numFmtId="3" fontId="37" fillId="0" borderId="27" xfId="18" applyNumberFormat="1" applyFont="1" applyFill="1" applyBorder="1" applyAlignment="1">
      <alignment horizontal="center"/>
    </xf>
    <xf numFmtId="3" fontId="37" fillId="0" borderId="24" xfId="18" applyNumberFormat="1" applyFont="1" applyFill="1" applyBorder="1" applyAlignment="1">
      <alignment horizontal="right"/>
    </xf>
    <xf numFmtId="3" fontId="37" fillId="0" borderId="26" xfId="18" applyNumberFormat="1" applyFont="1" applyFill="1" applyBorder="1" applyAlignment="1">
      <alignment horizontal="right"/>
    </xf>
    <xf numFmtId="3" fontId="37" fillId="0" borderId="79" xfId="18" applyNumberFormat="1" applyFont="1" applyFill="1" applyBorder="1" applyAlignment="1">
      <alignment horizontal="center"/>
    </xf>
    <xf numFmtId="3" fontId="37" fillId="0" borderId="24" xfId="0" applyNumberFormat="1" applyFont="1" applyFill="1" applyBorder="1" applyAlignment="1">
      <alignment horizontal="right" wrapText="1"/>
    </xf>
    <xf numFmtId="3" fontId="37" fillId="0" borderId="25" xfId="0" applyNumberFormat="1" applyFont="1" applyFill="1" applyBorder="1" applyAlignment="1">
      <alignment horizontal="right" wrapText="1"/>
    </xf>
    <xf numFmtId="3" fontId="18" fillId="0" borderId="25" xfId="0" applyNumberFormat="1" applyFont="1" applyFill="1" applyBorder="1" applyAlignment="1">
      <alignment horizontal="right" wrapText="1"/>
    </xf>
    <xf numFmtId="3" fontId="19" fillId="0" borderId="25" xfId="0" applyNumberFormat="1" applyFont="1" applyFill="1" applyBorder="1" applyAlignment="1">
      <alignment horizontal="right" wrapText="1"/>
    </xf>
    <xf numFmtId="3" fontId="18" fillId="0" borderId="17" xfId="18" applyNumberFormat="1" applyFont="1" applyFill="1" applyBorder="1" applyAlignment="1">
      <alignment vertical="center" wrapText="1"/>
    </xf>
    <xf numFmtId="3" fontId="22" fillId="0" borderId="116" xfId="18" applyNumberFormat="1" applyFont="1" applyFill="1" applyBorder="1" applyAlignment="1">
      <alignment horizontal="right"/>
    </xf>
    <xf numFmtId="3" fontId="38" fillId="0" borderId="16" xfId="18" applyNumberFormat="1" applyFont="1" applyFill="1" applyBorder="1" applyAlignment="1">
      <alignment horizontal="center" vertical="center"/>
    </xf>
    <xf numFmtId="3" fontId="38" fillId="0" borderId="24" xfId="18" applyNumberFormat="1" applyFont="1" applyFill="1" applyBorder="1" applyAlignment="1">
      <alignment horizontal="left" wrapText="1" indent="4"/>
    </xf>
    <xf numFmtId="3" fontId="38" fillId="0" borderId="17" xfId="18" applyNumberFormat="1" applyFont="1" applyFill="1" applyBorder="1" applyAlignment="1">
      <alignment horizontal="right"/>
    </xf>
    <xf numFmtId="3" fontId="38" fillId="0" borderId="23" xfId="18" applyNumberFormat="1" applyFont="1" applyFill="1" applyBorder="1" applyAlignment="1">
      <alignment horizontal="right"/>
    </xf>
    <xf numFmtId="3" fontId="38" fillId="0" borderId="58" xfId="18" applyNumberFormat="1" applyFont="1" applyFill="1" applyBorder="1" applyAlignment="1">
      <alignment horizontal="center"/>
    </xf>
    <xf numFmtId="3" fontId="38" fillId="0" borderId="116" xfId="18" applyNumberFormat="1" applyFont="1" applyFill="1" applyBorder="1" applyAlignment="1">
      <alignment horizontal="right"/>
    </xf>
    <xf numFmtId="3" fontId="38" fillId="0" borderId="17" xfId="0" applyNumberFormat="1" applyFont="1" applyFill="1" applyBorder="1" applyAlignment="1">
      <alignment horizontal="right" wrapText="1"/>
    </xf>
    <xf numFmtId="3" fontId="38" fillId="0" borderId="18" xfId="0" applyNumberFormat="1" applyFont="1" applyFill="1" applyBorder="1" applyAlignment="1">
      <alignment horizontal="right" wrapText="1"/>
    </xf>
    <xf numFmtId="3" fontId="22" fillId="0" borderId="24" xfId="18" applyNumberFormat="1" applyFont="1" applyFill="1" applyBorder="1" applyAlignment="1">
      <alignment horizontal="left" wrapText="1" indent="4"/>
    </xf>
    <xf numFmtId="3" fontId="22" fillId="0" borderId="18" xfId="0" applyNumberFormat="1" applyFont="1" applyFill="1" applyBorder="1" applyAlignment="1">
      <alignment horizontal="right" wrapText="1"/>
    </xf>
    <xf numFmtId="3" fontId="18" fillId="0" borderId="24" xfId="18" applyNumberFormat="1" applyFont="1" applyFill="1" applyBorder="1" applyAlignment="1">
      <alignment horizontal="left" wrapText="1" indent="4"/>
    </xf>
    <xf numFmtId="3" fontId="22" fillId="0" borderId="17" xfId="0" applyNumberFormat="1" applyFont="1" applyFill="1" applyBorder="1" applyAlignment="1">
      <alignment horizontal="right" wrapText="1"/>
    </xf>
    <xf numFmtId="3" fontId="22" fillId="0" borderId="116" xfId="18" applyNumberFormat="1" applyFont="1" applyFill="1" applyBorder="1" applyAlignment="1">
      <alignment horizontal="right" vertical="center"/>
    </xf>
    <xf numFmtId="3" fontId="50" fillId="0" borderId="17" xfId="18" applyNumberFormat="1" applyFont="1" applyFill="1" applyBorder="1" applyAlignment="1">
      <alignment horizontal="center" vertical="center"/>
    </xf>
    <xf numFmtId="3" fontId="50" fillId="0" borderId="0" xfId="18" applyNumberFormat="1" applyFont="1" applyFill="1" applyBorder="1" applyAlignment="1">
      <alignment horizontal="center" vertical="center"/>
    </xf>
    <xf numFmtId="3" fontId="50" fillId="0" borderId="190" xfId="18" applyNumberFormat="1" applyFont="1" applyFill="1" applyBorder="1" applyAlignment="1">
      <alignment horizontal="center" vertical="center"/>
    </xf>
    <xf numFmtId="3" fontId="38" fillId="0" borderId="116" xfId="18" applyNumberFormat="1" applyFont="1" applyFill="1" applyBorder="1" applyAlignment="1">
      <alignment horizontal="center"/>
    </xf>
    <xf numFmtId="3" fontId="37" fillId="0" borderId="17" xfId="0" applyNumberFormat="1" applyFont="1" applyFill="1" applyBorder="1" applyAlignment="1">
      <alignment horizontal="right" vertical="center" wrapText="1"/>
    </xf>
    <xf numFmtId="3" fontId="19" fillId="0" borderId="17" xfId="0" applyNumberFormat="1" applyFont="1" applyFill="1" applyBorder="1" applyAlignment="1">
      <alignment horizontal="right" vertical="center" wrapText="1"/>
    </xf>
    <xf numFmtId="3" fontId="19" fillId="0" borderId="18" xfId="0" applyNumberFormat="1" applyFont="1" applyFill="1" applyBorder="1" applyAlignment="1">
      <alignment horizontal="right" vertical="center" wrapText="1"/>
    </xf>
    <xf numFmtId="3" fontId="18" fillId="0" borderId="17" xfId="18" applyNumberFormat="1" applyFont="1" applyFill="1" applyBorder="1" applyAlignment="1">
      <alignment horizontal="left" wrapText="1"/>
    </xf>
    <xf numFmtId="3" fontId="38" fillId="0" borderId="24" xfId="18" applyNumberFormat="1" applyFont="1" applyFill="1" applyBorder="1" applyAlignment="1">
      <alignment horizontal="left" vertical="top" wrapText="1" indent="4"/>
    </xf>
    <xf numFmtId="3" fontId="18" fillId="0" borderId="17" xfId="18" applyNumberFormat="1" applyFont="1" applyFill="1" applyBorder="1" applyAlignment="1">
      <alignment horizontal="left" wrapText="1" indent="3"/>
    </xf>
    <xf numFmtId="3" fontId="18" fillId="0" borderId="24" xfId="18" applyNumberFormat="1" applyFont="1" applyFill="1" applyBorder="1" applyAlignment="1">
      <alignment horizontal="left" vertical="top" wrapText="1" indent="4"/>
    </xf>
    <xf numFmtId="3" fontId="16" fillId="0" borderId="27" xfId="18" applyNumberFormat="1" applyFont="1" applyFill="1" applyBorder="1" applyAlignment="1">
      <alignment horizontal="center" vertical="center"/>
    </xf>
    <xf numFmtId="3" fontId="37" fillId="0" borderId="27" xfId="18" applyNumberFormat="1" applyFont="1" applyFill="1" applyBorder="1" applyAlignment="1">
      <alignment horizontal="center" vertical="center"/>
    </xf>
    <xf numFmtId="3" fontId="22" fillId="0" borderId="27" xfId="18" applyNumberFormat="1" applyFont="1" applyFill="1" applyBorder="1" applyAlignment="1">
      <alignment horizontal="center"/>
    </xf>
    <xf numFmtId="3" fontId="19" fillId="0" borderId="16" xfId="18" applyNumberFormat="1" applyFont="1" applyFill="1" applyBorder="1" applyAlignment="1">
      <alignment horizontal="center"/>
    </xf>
    <xf numFmtId="3" fontId="22" fillId="0" borderId="16" xfId="18" applyNumberFormat="1" applyFont="1" applyFill="1" applyBorder="1" applyAlignment="1">
      <alignment horizontal="center" vertical="center"/>
    </xf>
    <xf numFmtId="3" fontId="19" fillId="0" borderId="16" xfId="18" applyNumberFormat="1" applyFont="1" applyFill="1" applyBorder="1" applyAlignment="1">
      <alignment horizontal="center" vertical="center"/>
    </xf>
    <xf numFmtId="3" fontId="10" fillId="0" borderId="17" xfId="18" applyNumberFormat="1" applyFont="1" applyFill="1" applyBorder="1" applyAlignment="1">
      <alignment shrinkToFit="1"/>
    </xf>
    <xf numFmtId="3" fontId="19" fillId="0" borderId="17" xfId="18" applyNumberFormat="1" applyFont="1" applyFill="1" applyBorder="1" applyAlignment="1">
      <alignment shrinkToFit="1"/>
    </xf>
    <xf numFmtId="3" fontId="16" fillId="0" borderId="17" xfId="18" applyNumberFormat="1" applyFont="1" applyFill="1" applyBorder="1" applyAlignment="1"/>
    <xf numFmtId="3" fontId="16" fillId="0" borderId="23" xfId="18" applyNumberFormat="1" applyFont="1" applyFill="1" applyBorder="1" applyAlignment="1"/>
    <xf numFmtId="3" fontId="31" fillId="0" borderId="17" xfId="18" applyNumberFormat="1" applyFont="1" applyFill="1" applyBorder="1" applyAlignment="1">
      <alignment wrapText="1"/>
    </xf>
    <xf numFmtId="3" fontId="18" fillId="0" borderId="17" xfId="18" applyNumberFormat="1" applyFont="1" applyFill="1" applyBorder="1" applyAlignment="1">
      <alignment horizontal="left" wrapText="1" indent="2"/>
    </xf>
    <xf numFmtId="3" fontId="37" fillId="0" borderId="24" xfId="18" applyNumberFormat="1" applyFont="1" applyFill="1" applyBorder="1" applyAlignment="1">
      <alignment horizontal="left" wrapText="1" indent="2"/>
    </xf>
    <xf numFmtId="3" fontId="19" fillId="0" borderId="24" xfId="18" applyNumberFormat="1" applyFont="1" applyFill="1" applyBorder="1" applyAlignment="1">
      <alignment horizontal="left" wrapText="1" indent="2"/>
    </xf>
    <xf numFmtId="3" fontId="18" fillId="0" borderId="24" xfId="18" applyNumberFormat="1" applyFont="1" applyFill="1" applyBorder="1" applyAlignment="1">
      <alignment horizontal="left" wrapText="1" indent="2"/>
    </xf>
    <xf numFmtId="3" fontId="19" fillId="0" borderId="17" xfId="18" applyNumberFormat="1" applyFont="1" applyFill="1" applyBorder="1" applyAlignment="1">
      <alignment horizontal="left" wrapText="1"/>
    </xf>
    <xf numFmtId="3" fontId="16" fillId="0" borderId="16" xfId="18" applyNumberFormat="1" applyFont="1" applyFill="1" applyBorder="1" applyAlignment="1">
      <alignment horizontal="center" vertical="top"/>
    </xf>
    <xf numFmtId="49" fontId="18" fillId="0" borderId="17" xfId="18" applyNumberFormat="1" applyFont="1" applyFill="1" applyBorder="1" applyAlignment="1">
      <alignment horizontal="left" vertical="center" wrapText="1" indent="4"/>
    </xf>
    <xf numFmtId="3" fontId="38" fillId="0" borderId="27" xfId="18" applyNumberFormat="1" applyFont="1" applyFill="1" applyBorder="1" applyAlignment="1">
      <alignment horizontal="center" vertical="center"/>
    </xf>
    <xf numFmtId="3" fontId="38" fillId="0" borderId="24" xfId="18" applyNumberFormat="1" applyFont="1" applyFill="1" applyBorder="1" applyAlignment="1">
      <alignment horizontal="right"/>
    </xf>
    <xf numFmtId="3" fontId="38" fillId="0" borderId="26" xfId="18" applyNumberFormat="1" applyFont="1" applyFill="1" applyBorder="1" applyAlignment="1">
      <alignment horizontal="right"/>
    </xf>
    <xf numFmtId="3" fontId="38" fillId="0" borderId="79" xfId="18" applyNumberFormat="1" applyFont="1" applyFill="1" applyBorder="1" applyAlignment="1">
      <alignment horizontal="center"/>
    </xf>
    <xf numFmtId="3" fontId="38" fillId="0" borderId="24" xfId="0" applyNumberFormat="1" applyFont="1" applyFill="1" applyBorder="1" applyAlignment="1">
      <alignment horizontal="right" wrapText="1"/>
    </xf>
    <xf numFmtId="3" fontId="22" fillId="0" borderId="25" xfId="0" applyNumberFormat="1" applyFont="1" applyFill="1" applyBorder="1" applyAlignment="1">
      <alignment horizontal="right" wrapText="1"/>
    </xf>
    <xf numFmtId="3" fontId="22" fillId="0" borderId="24" xfId="0" applyNumberFormat="1" applyFont="1" applyFill="1" applyBorder="1" applyAlignment="1">
      <alignment horizontal="right" wrapText="1"/>
    </xf>
    <xf numFmtId="3" fontId="18" fillId="0" borderId="27" xfId="18" applyNumberFormat="1" applyFont="1" applyFill="1" applyBorder="1" applyAlignment="1">
      <alignment horizontal="center" vertical="center"/>
    </xf>
    <xf numFmtId="3" fontId="18" fillId="0" borderId="24" xfId="18" applyNumberFormat="1" applyFont="1" applyFill="1" applyBorder="1" applyAlignment="1">
      <alignment horizontal="right"/>
    </xf>
    <xf numFmtId="3" fontId="18" fillId="0" borderId="26" xfId="18" applyNumberFormat="1" applyFont="1" applyFill="1" applyBorder="1" applyAlignment="1">
      <alignment horizontal="right"/>
    </xf>
    <xf numFmtId="3" fontId="38" fillId="0" borderId="25" xfId="0" applyNumberFormat="1" applyFont="1" applyFill="1" applyBorder="1" applyAlignment="1">
      <alignment horizontal="right" wrapText="1"/>
    </xf>
    <xf numFmtId="3" fontId="18" fillId="0" borderId="27" xfId="18" applyNumberFormat="1" applyFont="1" applyFill="1" applyBorder="1" applyAlignment="1">
      <alignment horizontal="center"/>
    </xf>
    <xf numFmtId="3" fontId="38" fillId="0" borderId="27" xfId="18" applyNumberFormat="1" applyFont="1" applyFill="1" applyBorder="1" applyAlignment="1">
      <alignment horizontal="center"/>
    </xf>
    <xf numFmtId="3" fontId="37" fillId="0" borderId="17" xfId="18" applyNumberFormat="1" applyFont="1" applyFill="1" applyBorder="1" applyAlignment="1">
      <alignment horizontal="center"/>
    </xf>
    <xf numFmtId="3" fontId="37" fillId="0" borderId="17" xfId="18" applyNumberFormat="1" applyFont="1" applyFill="1" applyBorder="1" applyAlignment="1">
      <alignment wrapText="1"/>
    </xf>
    <xf numFmtId="3" fontId="37" fillId="0" borderId="18" xfId="0" applyNumberFormat="1" applyFont="1" applyFill="1" applyBorder="1" applyAlignment="1">
      <alignment horizontal="right" vertical="center" wrapText="1"/>
    </xf>
    <xf numFmtId="3" fontId="16" fillId="0" borderId="51" xfId="18" applyNumberFormat="1" applyFont="1" applyFill="1" applyBorder="1" applyAlignment="1">
      <alignment horizontal="center" vertical="center"/>
    </xf>
    <xf numFmtId="3" fontId="16" fillId="0" borderId="46" xfId="18" applyNumberFormat="1" applyFont="1" applyFill="1" applyBorder="1" applyAlignment="1">
      <alignment horizontal="center"/>
    </xf>
    <xf numFmtId="3" fontId="16" fillId="0" borderId="21" xfId="18" applyNumberFormat="1" applyFont="1" applyFill="1" applyBorder="1" applyAlignment="1">
      <alignment horizontal="center"/>
    </xf>
    <xf numFmtId="3" fontId="16" fillId="0" borderId="46" xfId="0" applyNumberFormat="1" applyFont="1" applyFill="1" applyBorder="1" applyAlignment="1">
      <alignment horizontal="right" vertical="center" wrapText="1"/>
    </xf>
    <xf numFmtId="3" fontId="16" fillId="0" borderId="47" xfId="0" applyNumberFormat="1" applyFont="1" applyFill="1" applyBorder="1" applyAlignment="1">
      <alignment horizontal="right" vertical="center" wrapText="1"/>
    </xf>
    <xf numFmtId="3" fontId="19" fillId="0" borderId="46" xfId="0" applyNumberFormat="1" applyFont="1" applyFill="1" applyBorder="1" applyAlignment="1">
      <alignment horizontal="right" vertical="center" wrapText="1"/>
    </xf>
    <xf numFmtId="3" fontId="18" fillId="0" borderId="46" xfId="0" applyNumberFormat="1" applyFont="1" applyFill="1" applyBorder="1" applyAlignment="1">
      <alignment horizontal="right" vertical="center" wrapText="1"/>
    </xf>
    <xf numFmtId="3" fontId="37" fillId="0" borderId="131" xfId="18" applyNumberFormat="1" applyFont="1" applyFill="1" applyBorder="1" applyAlignment="1">
      <alignment horizontal="right"/>
    </xf>
    <xf numFmtId="3" fontId="37" fillId="0" borderId="46" xfId="0" applyNumberFormat="1" applyFont="1" applyFill="1" applyBorder="1" applyAlignment="1">
      <alignment horizontal="right" vertical="center" wrapText="1"/>
    </xf>
    <xf numFmtId="3" fontId="16" fillId="0" borderId="59" xfId="18" applyNumberFormat="1" applyFont="1" applyFill="1" applyBorder="1" applyAlignment="1">
      <alignment horizontal="right"/>
    </xf>
    <xf numFmtId="3" fontId="16" fillId="0" borderId="46" xfId="18" applyNumberFormat="1" applyFont="1" applyFill="1" applyBorder="1" applyAlignment="1">
      <alignment horizontal="right"/>
    </xf>
    <xf numFmtId="3" fontId="18" fillId="0" borderId="174" xfId="18" applyNumberFormat="1" applyFont="1" applyFill="1" applyBorder="1" applyAlignment="1">
      <alignment horizontal="right"/>
    </xf>
    <xf numFmtId="3" fontId="16" fillId="0" borderId="174" xfId="18" applyNumberFormat="1" applyFont="1" applyFill="1" applyBorder="1" applyAlignment="1">
      <alignment horizontal="right"/>
    </xf>
    <xf numFmtId="3" fontId="18" fillId="0" borderId="47" xfId="0" applyNumberFormat="1" applyFont="1" applyFill="1" applyBorder="1" applyAlignment="1">
      <alignment horizontal="right" vertical="center" wrapText="1"/>
    </xf>
    <xf numFmtId="3" fontId="19" fillId="0" borderId="47" xfId="0" applyNumberFormat="1" applyFont="1" applyFill="1" applyBorder="1" applyAlignment="1">
      <alignment horizontal="right" vertical="center" wrapText="1"/>
    </xf>
    <xf numFmtId="3" fontId="19" fillId="0" borderId="131" xfId="18" applyNumberFormat="1" applyFont="1" applyFill="1" applyBorder="1" applyAlignment="1">
      <alignment horizontal="right"/>
    </xf>
    <xf numFmtId="3" fontId="37" fillId="0" borderId="109" xfId="18" applyNumberFormat="1" applyFont="1" applyFill="1" applyBorder="1" applyAlignment="1">
      <alignment horizontal="center" vertical="center"/>
    </xf>
    <xf numFmtId="3" fontId="37" fillId="0" borderId="110" xfId="18" applyNumberFormat="1" applyFont="1" applyFill="1" applyBorder="1" applyAlignment="1">
      <alignment horizontal="center"/>
    </xf>
    <xf numFmtId="3" fontId="37" fillId="0" borderId="110" xfId="18" applyNumberFormat="1" applyFont="1" applyFill="1" applyBorder="1" applyAlignment="1">
      <alignment wrapText="1"/>
    </xf>
    <xf numFmtId="3" fontId="37" fillId="0" borderId="141" xfId="18" applyNumberFormat="1" applyFont="1" applyFill="1" applyBorder="1" applyAlignment="1">
      <alignment horizontal="right"/>
    </xf>
    <xf numFmtId="3" fontId="37" fillId="0" borderId="110" xfId="18" applyNumberFormat="1" applyFont="1" applyFill="1" applyBorder="1" applyAlignment="1">
      <alignment horizontal="right"/>
    </xf>
    <xf numFmtId="3" fontId="37" fillId="0" borderId="193" xfId="18" applyNumberFormat="1" applyFont="1" applyFill="1" applyBorder="1" applyAlignment="1">
      <alignment horizontal="right"/>
    </xf>
    <xf numFmtId="3" fontId="37" fillId="0" borderId="134" xfId="18" applyNumberFormat="1" applyFont="1" applyFill="1" applyBorder="1" applyAlignment="1">
      <alignment horizontal="center"/>
    </xf>
    <xf numFmtId="3" fontId="37" fillId="0" borderId="135" xfId="18" applyNumberFormat="1" applyFont="1" applyFill="1" applyBorder="1" applyAlignment="1">
      <alignment horizontal="right"/>
    </xf>
    <xf numFmtId="3" fontId="37" fillId="0" borderId="110" xfId="0" applyNumberFormat="1" applyFont="1" applyFill="1" applyBorder="1" applyAlignment="1">
      <alignment horizontal="right" vertical="center" wrapText="1"/>
    </xf>
    <xf numFmtId="3" fontId="37" fillId="0" borderId="138" xfId="0" applyNumberFormat="1" applyFont="1" applyFill="1" applyBorder="1" applyAlignment="1">
      <alignment horizontal="right" vertical="center" wrapText="1"/>
    </xf>
    <xf numFmtId="3" fontId="19" fillId="0" borderId="27" xfId="18" applyNumberFormat="1" applyFont="1" applyFill="1" applyBorder="1" applyAlignment="1">
      <alignment horizontal="center"/>
    </xf>
    <xf numFmtId="3" fontId="16" fillId="0" borderId="24" xfId="18" applyNumberFormat="1" applyFont="1" applyFill="1" applyBorder="1" applyAlignment="1">
      <alignment wrapText="1"/>
    </xf>
    <xf numFmtId="3" fontId="16" fillId="0" borderId="109" xfId="18" applyNumberFormat="1" applyFont="1" applyFill="1" applyBorder="1" applyAlignment="1">
      <alignment horizontal="center" vertical="center"/>
    </xf>
    <xf numFmtId="3" fontId="16" fillId="0" borderId="110" xfId="18" applyNumberFormat="1" applyFont="1" applyFill="1" applyBorder="1" applyAlignment="1">
      <alignment horizontal="center" vertical="center"/>
    </xf>
    <xf numFmtId="3" fontId="16" fillId="0" borderId="110" xfId="18" applyNumberFormat="1" applyFont="1" applyFill="1" applyBorder="1" applyAlignment="1">
      <alignment wrapText="1"/>
    </xf>
    <xf numFmtId="3" fontId="16" fillId="0" borderId="110" xfId="18" applyNumberFormat="1" applyFont="1" applyFill="1" applyBorder="1" applyAlignment="1">
      <alignment horizontal="right"/>
    </xf>
    <xf numFmtId="3" fontId="16" fillId="0" borderId="141" xfId="18" applyNumberFormat="1" applyFont="1" applyFill="1" applyBorder="1" applyAlignment="1">
      <alignment horizontal="right"/>
    </xf>
    <xf numFmtId="3" fontId="16" fillId="0" borderId="134" xfId="18" applyNumberFormat="1" applyFont="1" applyFill="1" applyBorder="1" applyAlignment="1">
      <alignment horizontal="center"/>
    </xf>
    <xf numFmtId="3" fontId="19" fillId="0" borderId="135" xfId="18" applyNumberFormat="1" applyFont="1" applyFill="1" applyBorder="1" applyAlignment="1">
      <alignment horizontal="right"/>
    </xf>
    <xf numFmtId="3" fontId="16" fillId="0" borderId="110" xfId="0" applyNumberFormat="1" applyFont="1" applyFill="1" applyBorder="1" applyAlignment="1">
      <alignment horizontal="right" wrapText="1"/>
    </xf>
    <xf numFmtId="3" fontId="16" fillId="0" borderId="138" xfId="0" applyNumberFormat="1" applyFont="1" applyFill="1" applyBorder="1" applyAlignment="1">
      <alignment horizontal="right" wrapText="1"/>
    </xf>
    <xf numFmtId="3" fontId="16" fillId="0" borderId="17" xfId="18" applyNumberFormat="1" applyFont="1" applyFill="1" applyBorder="1" applyAlignment="1">
      <alignment wrapText="1"/>
    </xf>
    <xf numFmtId="3" fontId="18" fillId="0" borderId="79" xfId="18" applyNumberFormat="1" applyFont="1" applyFill="1" applyBorder="1" applyAlignment="1">
      <alignment horizontal="center"/>
    </xf>
    <xf numFmtId="3" fontId="16" fillId="0" borderId="79" xfId="18" applyNumberFormat="1" applyFont="1" applyFill="1" applyBorder="1" applyAlignment="1">
      <alignment horizontal="center" vertical="center"/>
    </xf>
    <xf numFmtId="3" fontId="28" fillId="0" borderId="17" xfId="18" applyNumberFormat="1" applyFont="1" applyFill="1" applyBorder="1" applyAlignment="1">
      <alignment wrapText="1"/>
    </xf>
    <xf numFmtId="3" fontId="16" fillId="0" borderId="55" xfId="18" applyNumberFormat="1" applyFont="1" applyFill="1" applyBorder="1" applyAlignment="1">
      <alignment horizontal="center" vertical="center"/>
    </xf>
    <xf numFmtId="0" fontId="16" fillId="0" borderId="52" xfId="33" applyFont="1" applyFill="1" applyBorder="1" applyAlignment="1">
      <alignment wrapText="1"/>
    </xf>
    <xf numFmtId="3" fontId="16" fillId="0" borderId="52" xfId="18" applyNumberFormat="1" applyFont="1" applyFill="1" applyBorder="1" applyAlignment="1">
      <alignment horizontal="right"/>
    </xf>
    <xf numFmtId="3" fontId="16" fillId="0" borderId="125" xfId="18" applyNumberFormat="1" applyFont="1" applyFill="1" applyBorder="1" applyAlignment="1">
      <alignment horizontal="right"/>
    </xf>
    <xf numFmtId="3" fontId="19" fillId="0" borderId="80" xfId="18" applyNumberFormat="1" applyFont="1" applyFill="1" applyBorder="1" applyAlignment="1">
      <alignment horizontal="right" vertical="center"/>
    </xf>
    <xf numFmtId="3" fontId="16" fillId="0" borderId="52" xfId="0" applyNumberFormat="1" applyFont="1" applyFill="1" applyBorder="1" applyAlignment="1">
      <alignment horizontal="right" vertical="center" wrapText="1"/>
    </xf>
    <xf numFmtId="3" fontId="16" fillId="0" borderId="53" xfId="0" applyNumberFormat="1" applyFont="1" applyFill="1" applyBorder="1" applyAlignment="1">
      <alignment horizontal="right" vertical="center" wrapText="1"/>
    </xf>
    <xf numFmtId="3" fontId="16" fillId="0" borderId="17" xfId="18" applyNumberFormat="1" applyFont="1" applyFill="1" applyBorder="1" applyAlignment="1">
      <alignment shrinkToFit="1"/>
    </xf>
    <xf numFmtId="3" fontId="19" fillId="0" borderId="24" xfId="18" applyNumberFormat="1" applyFont="1" applyFill="1" applyBorder="1" applyAlignment="1">
      <alignment horizontal="right" vertical="center"/>
    </xf>
    <xf numFmtId="3" fontId="16" fillId="0" borderId="24" xfId="0" applyNumberFormat="1" applyFont="1" applyFill="1" applyBorder="1" applyAlignment="1">
      <alignment horizontal="right" vertical="center" wrapText="1"/>
    </xf>
    <xf numFmtId="3" fontId="16" fillId="0" borderId="25" xfId="0" applyNumberFormat="1" applyFont="1" applyFill="1" applyBorder="1" applyAlignment="1">
      <alignment horizontal="right" vertical="center" wrapText="1"/>
    </xf>
    <xf numFmtId="3" fontId="19" fillId="0" borderId="17" xfId="18" applyNumberFormat="1" applyFont="1" applyFill="1" applyBorder="1" applyAlignment="1">
      <alignment horizontal="right" vertical="center"/>
    </xf>
    <xf numFmtId="3" fontId="16" fillId="0" borderId="58" xfId="18" applyNumberFormat="1" applyFont="1" applyFill="1" applyBorder="1" applyAlignment="1">
      <alignment horizontal="center" vertical="center"/>
    </xf>
    <xf numFmtId="3" fontId="16" fillId="0" borderId="110" xfId="18" applyNumberFormat="1" applyFont="1" applyFill="1" applyBorder="1" applyAlignment="1">
      <alignment horizontal="center"/>
    </xf>
    <xf numFmtId="0" fontId="16" fillId="0" borderId="110" xfId="33" applyFont="1" applyFill="1" applyBorder="1" applyAlignment="1">
      <alignment wrapText="1"/>
    </xf>
    <xf numFmtId="3" fontId="19" fillId="0" borderId="135" xfId="18" applyNumberFormat="1" applyFont="1" applyFill="1" applyBorder="1" applyAlignment="1">
      <alignment horizontal="right" vertical="center"/>
    </xf>
    <xf numFmtId="3" fontId="16" fillId="0" borderId="135" xfId="0" applyNumberFormat="1" applyFont="1" applyFill="1" applyBorder="1" applyAlignment="1">
      <alignment horizontal="right" vertical="center" wrapText="1"/>
    </xf>
    <xf numFmtId="3" fontId="16" fillId="0" borderId="136" xfId="0" applyNumberFormat="1" applyFont="1" applyFill="1" applyBorder="1" applyAlignment="1">
      <alignment horizontal="right" vertical="center" wrapText="1"/>
    </xf>
    <xf numFmtId="3" fontId="16" fillId="0" borderId="121" xfId="18" applyNumberFormat="1" applyFont="1" applyFill="1" applyBorder="1" applyAlignment="1">
      <alignment horizontal="center"/>
    </xf>
    <xf numFmtId="3" fontId="19" fillId="0" borderId="118" xfId="0" applyNumberFormat="1" applyFont="1" applyFill="1" applyBorder="1" applyAlignment="1">
      <alignment vertical="center"/>
    </xf>
    <xf numFmtId="3" fontId="19" fillId="0" borderId="233" xfId="0" applyNumberFormat="1" applyFont="1" applyFill="1" applyBorder="1" applyAlignment="1">
      <alignment vertical="center"/>
    </xf>
    <xf numFmtId="3" fontId="16" fillId="0" borderId="17" xfId="18" applyNumberFormat="1" applyFont="1" applyFill="1" applyBorder="1" applyAlignment="1">
      <alignment horizontal="center" vertical="center" wrapText="1"/>
    </xf>
    <xf numFmtId="3" fontId="37" fillId="0" borderId="116" xfId="0" applyNumberFormat="1" applyFont="1" applyFill="1" applyBorder="1" applyAlignment="1">
      <alignment vertical="center"/>
    </xf>
    <xf numFmtId="3" fontId="37" fillId="0" borderId="229" xfId="0" applyNumberFormat="1" applyFont="1" applyFill="1" applyBorder="1" applyAlignment="1">
      <alignment vertical="center"/>
    </xf>
    <xf numFmtId="3" fontId="19" fillId="0" borderId="116" xfId="0" applyNumberFormat="1" applyFont="1" applyFill="1" applyBorder="1" applyAlignment="1">
      <alignment vertical="center"/>
    </xf>
    <xf numFmtId="3" fontId="19" fillId="0" borderId="229" xfId="0" applyNumberFormat="1" applyFont="1" applyFill="1" applyBorder="1" applyAlignment="1">
      <alignment vertical="center"/>
    </xf>
    <xf numFmtId="3" fontId="18" fillId="0" borderId="81" xfId="0" applyNumberFormat="1" applyFont="1" applyFill="1" applyBorder="1" applyAlignment="1">
      <alignment vertical="center"/>
    </xf>
    <xf numFmtId="3" fontId="18" fillId="0" borderId="124" xfId="0" applyNumberFormat="1" applyFont="1" applyFill="1" applyBorder="1" applyAlignment="1">
      <alignment vertical="center"/>
    </xf>
    <xf numFmtId="3" fontId="19" fillId="0" borderId="27" xfId="18" applyNumberFormat="1" applyFont="1" applyFill="1" applyBorder="1" applyAlignment="1">
      <alignment horizontal="center" vertical="center"/>
    </xf>
    <xf numFmtId="3" fontId="16" fillId="0" borderId="52" xfId="18" applyNumberFormat="1" applyFont="1" applyFill="1" applyBorder="1" applyAlignment="1">
      <alignment horizontal="center" vertical="center" wrapText="1"/>
    </xf>
    <xf numFmtId="3" fontId="19" fillId="0" borderId="81" xfId="0" applyNumberFormat="1" applyFont="1" applyFill="1" applyBorder="1" applyAlignment="1">
      <alignment vertical="center"/>
    </xf>
    <xf numFmtId="3" fontId="19" fillId="0" borderId="124" xfId="0" applyNumberFormat="1" applyFont="1" applyFill="1" applyBorder="1" applyAlignment="1">
      <alignment vertical="center"/>
    </xf>
    <xf numFmtId="3" fontId="16" fillId="0" borderId="14" xfId="0" applyNumberFormat="1" applyFont="1" applyFill="1" applyBorder="1" applyAlignment="1">
      <alignment horizontal="center" wrapText="1"/>
    </xf>
    <xf numFmtId="3" fontId="16" fillId="0" borderId="15" xfId="0" applyNumberFormat="1" applyFont="1" applyFill="1" applyBorder="1" applyAlignment="1">
      <alignment horizontal="center" wrapText="1"/>
    </xf>
    <xf numFmtId="3" fontId="16" fillId="0" borderId="121" xfId="0" applyNumberFormat="1" applyFont="1" applyFill="1" applyBorder="1" applyAlignment="1">
      <alignment horizontal="center" wrapText="1"/>
    </xf>
    <xf numFmtId="3" fontId="19" fillId="0" borderId="118" xfId="0" applyNumberFormat="1" applyFont="1" applyFill="1" applyBorder="1" applyAlignment="1">
      <alignment horizontal="right"/>
    </xf>
    <xf numFmtId="3" fontId="16" fillId="0" borderId="15" xfId="0" applyNumberFormat="1" applyFont="1" applyFill="1" applyBorder="1" applyAlignment="1">
      <alignment horizontal="right" wrapText="1"/>
    </xf>
    <xf numFmtId="3" fontId="16" fillId="0" borderId="122" xfId="0" applyNumberFormat="1" applyFont="1" applyFill="1" applyBorder="1" applyAlignment="1">
      <alignment horizontal="right" wrapText="1"/>
    </xf>
    <xf numFmtId="3" fontId="16" fillId="0" borderId="16" xfId="0" applyNumberFormat="1" applyFont="1" applyFill="1" applyBorder="1" applyAlignment="1">
      <alignment horizontal="center" wrapText="1"/>
    </xf>
    <xf numFmtId="3" fontId="16" fillId="0" borderId="17" xfId="0" applyNumberFormat="1" applyFont="1" applyFill="1" applyBorder="1" applyAlignment="1">
      <alignment horizontal="center" wrapText="1"/>
    </xf>
    <xf numFmtId="3" fontId="16" fillId="0" borderId="58" xfId="0" applyNumberFormat="1" applyFont="1" applyFill="1" applyBorder="1" applyAlignment="1">
      <alignment horizontal="center" wrapText="1"/>
    </xf>
    <xf numFmtId="3" fontId="19" fillId="0" borderId="81" xfId="0" applyNumberFormat="1" applyFont="1" applyFill="1" applyBorder="1" applyAlignment="1">
      <alignment horizontal="right"/>
    </xf>
    <xf numFmtId="3" fontId="16" fillId="0" borderId="51" xfId="0" applyNumberFormat="1" applyFont="1" applyFill="1" applyBorder="1" applyAlignment="1">
      <alignment horizontal="center" wrapText="1"/>
    </xf>
    <xf numFmtId="3" fontId="16" fillId="0" borderId="46" xfId="0" applyNumberFormat="1" applyFont="1" applyFill="1" applyBorder="1" applyAlignment="1">
      <alignment horizontal="center" wrapText="1"/>
    </xf>
    <xf numFmtId="3" fontId="16" fillId="0" borderId="21" xfId="0" applyNumberFormat="1" applyFont="1" applyFill="1" applyBorder="1" applyAlignment="1">
      <alignment horizontal="center" wrapText="1"/>
    </xf>
    <xf numFmtId="3" fontId="37" fillId="0" borderId="46" xfId="0" applyNumberFormat="1" applyFont="1" applyFill="1" applyBorder="1" applyAlignment="1">
      <alignment horizontal="right" wrapText="1"/>
    </xf>
    <xf numFmtId="3" fontId="37" fillId="0" borderId="47" xfId="0" applyNumberFormat="1" applyFont="1" applyFill="1" applyBorder="1" applyAlignment="1">
      <alignment horizontal="right" wrapText="1"/>
    </xf>
    <xf numFmtId="3" fontId="19" fillId="0" borderId="46" xfId="0" applyNumberFormat="1" applyFont="1" applyFill="1" applyBorder="1" applyAlignment="1">
      <alignment horizontal="right" wrapText="1"/>
    </xf>
    <xf numFmtId="3" fontId="19" fillId="0" borderId="47" xfId="0" applyNumberFormat="1" applyFont="1" applyFill="1" applyBorder="1" applyAlignment="1">
      <alignment horizontal="right" wrapText="1"/>
    </xf>
    <xf numFmtId="3" fontId="16" fillId="0" borderId="46" xfId="0" applyNumberFormat="1" applyFont="1" applyFill="1" applyBorder="1" applyAlignment="1">
      <alignment horizontal="right" wrapText="1"/>
    </xf>
    <xf numFmtId="3" fontId="16" fillId="0" borderId="47" xfId="0" applyNumberFormat="1" applyFont="1" applyFill="1" applyBorder="1" applyAlignment="1">
      <alignment horizontal="right" wrapText="1"/>
    </xf>
    <xf numFmtId="3" fontId="37" fillId="0" borderId="48" xfId="18" applyNumberFormat="1" applyFont="1" applyFill="1" applyBorder="1" applyAlignment="1">
      <alignment horizontal="center" vertical="center"/>
    </xf>
    <xf numFmtId="3" fontId="37" fillId="0" borderId="49" xfId="18" applyNumberFormat="1" applyFont="1" applyFill="1" applyBorder="1" applyAlignment="1">
      <alignment horizontal="center" vertical="center"/>
    </xf>
    <xf numFmtId="3" fontId="37" fillId="0" borderId="62" xfId="18" applyNumberFormat="1" applyFont="1" applyFill="1" applyBorder="1" applyAlignment="1">
      <alignment horizontal="center"/>
    </xf>
    <xf numFmtId="3" fontId="19" fillId="0" borderId="49" xfId="18" applyNumberFormat="1" applyFont="1" applyFill="1" applyBorder="1" applyAlignment="1">
      <alignment horizontal="right"/>
    </xf>
    <xf numFmtId="3" fontId="19" fillId="0" borderId="49" xfId="0" applyNumberFormat="1" applyFont="1" applyFill="1" applyBorder="1" applyAlignment="1">
      <alignment horizontal="right" wrapText="1"/>
    </xf>
    <xf numFmtId="3" fontId="19" fillId="0" borderId="50" xfId="0" applyNumberFormat="1" applyFont="1" applyFill="1" applyBorder="1" applyAlignment="1">
      <alignment horizontal="right" wrapText="1"/>
    </xf>
    <xf numFmtId="1" fontId="24" fillId="0" borderId="0" xfId="18" applyNumberFormat="1" applyFont="1" applyFill="1" applyBorder="1" applyAlignment="1">
      <alignment horizontal="left" vertical="center"/>
    </xf>
    <xf numFmtId="3" fontId="12" fillId="0" borderId="0" xfId="0" applyNumberFormat="1" applyFont="1" applyFill="1" applyBorder="1"/>
    <xf numFmtId="3" fontId="12" fillId="0" borderId="0" xfId="0" applyNumberFormat="1" applyFont="1" applyFill="1" applyBorder="1" applyAlignment="1">
      <alignment horizontal="center"/>
    </xf>
    <xf numFmtId="3" fontId="17" fillId="0" borderId="0" xfId="0" applyNumberFormat="1" applyFont="1" applyFill="1" applyBorder="1"/>
    <xf numFmtId="3" fontId="12" fillId="0" borderId="0" xfId="0" applyNumberFormat="1" applyFont="1" applyFill="1" applyBorder="1" applyAlignment="1">
      <alignment vertical="top"/>
    </xf>
    <xf numFmtId="0" fontId="12" fillId="0" borderId="0" xfId="18" applyNumberFormat="1" applyFont="1" applyFill="1" applyBorder="1" applyAlignment="1">
      <alignment horizontal="center" vertical="center"/>
    </xf>
    <xf numFmtId="0" fontId="25" fillId="0" borderId="0" xfId="18" applyNumberFormat="1" applyFont="1" applyFill="1" applyBorder="1" applyAlignment="1">
      <alignment horizontal="center" vertical="center"/>
    </xf>
    <xf numFmtId="0" fontId="15" fillId="0" borderId="0" xfId="18" applyNumberFormat="1" applyFont="1" applyFill="1" applyBorder="1" applyAlignment="1">
      <alignment horizontal="center" vertical="center"/>
    </xf>
    <xf numFmtId="3" fontId="8" fillId="0" borderId="16" xfId="18" applyNumberFormat="1" applyFont="1" applyFill="1" applyBorder="1" applyAlignment="1">
      <alignment vertical="center" wrapText="1"/>
    </xf>
    <xf numFmtId="3" fontId="8" fillId="0" borderId="18" xfId="0" applyNumberFormat="1" applyFont="1" applyFill="1" applyBorder="1" applyAlignment="1">
      <alignment horizontal="right" vertical="center" wrapText="1"/>
    </xf>
    <xf numFmtId="3" fontId="8" fillId="0" borderId="18" xfId="0" applyNumberFormat="1" applyFont="1" applyFill="1" applyBorder="1" applyAlignment="1">
      <alignment horizontal="right" vertical="top" wrapText="1"/>
    </xf>
    <xf numFmtId="3" fontId="8" fillId="0" borderId="16" xfId="18" applyNumberFormat="1" applyFont="1" applyFill="1" applyBorder="1" applyAlignment="1">
      <alignment vertical="center" shrinkToFit="1"/>
    </xf>
    <xf numFmtId="3" fontId="8" fillId="0" borderId="53" xfId="0" applyNumberFormat="1" applyFont="1" applyFill="1" applyBorder="1" applyAlignment="1">
      <alignment horizontal="right" vertical="center" wrapText="1"/>
    </xf>
    <xf numFmtId="3" fontId="8" fillId="0" borderId="55" xfId="18" applyNumberFormat="1" applyFont="1" applyFill="1" applyBorder="1" applyAlignment="1">
      <alignment vertical="center" shrinkToFit="1"/>
    </xf>
    <xf numFmtId="3" fontId="10" fillId="0" borderId="28" xfId="18" applyNumberFormat="1" applyFont="1" applyFill="1" applyBorder="1" applyAlignment="1">
      <alignment horizontal="center" vertical="center" wrapText="1"/>
    </xf>
    <xf numFmtId="3" fontId="10" fillId="0" borderId="29" xfId="18" applyNumberFormat="1" applyFont="1" applyFill="1" applyBorder="1" applyAlignment="1">
      <alignment vertical="center"/>
    </xf>
    <xf numFmtId="0" fontId="12" fillId="0" borderId="0" xfId="32" applyFont="1" applyFill="1" applyBorder="1" applyAlignment="1">
      <alignment horizontal="center" vertical="center" wrapText="1"/>
    </xf>
    <xf numFmtId="3" fontId="12" fillId="0" borderId="0" xfId="32" applyNumberFormat="1" applyFont="1" applyFill="1" applyBorder="1" applyAlignment="1">
      <alignment horizontal="center" vertical="center"/>
    </xf>
    <xf numFmtId="3" fontId="16" fillId="0" borderId="6" xfId="31" applyNumberFormat="1" applyFont="1" applyFill="1" applyBorder="1" applyAlignment="1">
      <alignment horizontal="center" vertical="center" wrapText="1"/>
    </xf>
    <xf numFmtId="3" fontId="16" fillId="0" borderId="7" xfId="31" applyNumberFormat="1" applyFont="1" applyFill="1" applyBorder="1" applyAlignment="1">
      <alignment horizontal="center" vertical="center" wrapText="1"/>
    </xf>
    <xf numFmtId="3" fontId="12" fillId="0" borderId="0" xfId="31" applyNumberFormat="1" applyFont="1" applyFill="1" applyBorder="1" applyAlignment="1">
      <alignment horizontal="center" vertical="center"/>
    </xf>
    <xf numFmtId="0" fontId="16" fillId="0" borderId="27" xfId="31" applyFont="1" applyFill="1" applyBorder="1" applyAlignment="1">
      <alignment horizontal="center"/>
    </xf>
    <xf numFmtId="3" fontId="16" fillId="0" borderId="24" xfId="31" applyNumberFormat="1" applyFont="1" applyFill="1" applyBorder="1" applyAlignment="1">
      <alignment horizontal="right" vertical="center"/>
    </xf>
    <xf numFmtId="3" fontId="16" fillId="0" borderId="24" xfId="21" applyNumberFormat="1" applyFont="1" applyFill="1" applyBorder="1" applyAlignment="1">
      <alignment horizontal="right" vertical="center"/>
    </xf>
    <xf numFmtId="3" fontId="16" fillId="0" borderId="26" xfId="31" applyNumberFormat="1" applyFont="1" applyFill="1" applyBorder="1" applyAlignment="1">
      <alignment horizontal="right" vertical="center"/>
    </xf>
    <xf numFmtId="0" fontId="16" fillId="0" borderId="79" xfId="31" applyFont="1" applyFill="1" applyBorder="1" applyAlignment="1">
      <alignment horizontal="center" vertical="center" wrapText="1"/>
    </xf>
    <xf numFmtId="3" fontId="16" fillId="0" borderId="130" xfId="21" applyNumberFormat="1" applyFont="1" applyFill="1" applyBorder="1" applyAlignment="1">
      <alignment horizontal="right" vertical="center" wrapText="1"/>
    </xf>
    <xf numFmtId="3" fontId="16" fillId="0" borderId="44" xfId="21" applyNumberFormat="1" applyFont="1" applyFill="1" applyBorder="1" applyAlignment="1">
      <alignment horizontal="right" vertical="center" wrapText="1"/>
    </xf>
    <xf numFmtId="3" fontId="16" fillId="0" borderId="182" xfId="21" applyNumberFormat="1" applyFont="1" applyFill="1" applyBorder="1" applyAlignment="1">
      <alignment horizontal="right" vertical="center" wrapText="1"/>
    </xf>
    <xf numFmtId="3" fontId="16" fillId="0" borderId="83" xfId="31" applyNumberFormat="1" applyFont="1" applyFill="1" applyBorder="1" applyAlignment="1">
      <alignment horizontal="right" vertical="center"/>
    </xf>
    <xf numFmtId="0" fontId="16" fillId="0" borderId="16" xfId="31" applyFont="1" applyFill="1" applyBorder="1" applyAlignment="1">
      <alignment horizontal="center" vertical="center"/>
    </xf>
    <xf numFmtId="0" fontId="16" fillId="0" borderId="17" xfId="31" applyFont="1" applyFill="1" applyBorder="1" applyAlignment="1">
      <alignment horizontal="center" vertical="top"/>
    </xf>
    <xf numFmtId="0" fontId="8" fillId="0" borderId="17" xfId="21" applyFont="1" applyFill="1" applyBorder="1" applyAlignment="1">
      <alignment vertical="top" wrapText="1"/>
    </xf>
    <xf numFmtId="3" fontId="16" fillId="0" borderId="17" xfId="31" applyNumberFormat="1" applyFont="1" applyFill="1" applyBorder="1" applyAlignment="1">
      <alignment horizontal="right" vertical="center"/>
    </xf>
    <xf numFmtId="3" fontId="16" fillId="0" borderId="17" xfId="21" applyNumberFormat="1" applyFont="1" applyFill="1" applyBorder="1" applyAlignment="1">
      <alignment horizontal="right" vertical="center"/>
    </xf>
    <xf numFmtId="3" fontId="16" fillId="0" borderId="23" xfId="31" applyNumberFormat="1" applyFont="1" applyFill="1" applyBorder="1" applyAlignment="1">
      <alignment horizontal="right" vertical="center"/>
    </xf>
    <xf numFmtId="0" fontId="16" fillId="0" borderId="58" xfId="31" applyFont="1" applyFill="1" applyBorder="1" applyAlignment="1">
      <alignment horizontal="center" vertical="center" wrapText="1"/>
    </xf>
    <xf numFmtId="3" fontId="16" fillId="0" borderId="116" xfId="21" applyNumberFormat="1" applyFont="1" applyFill="1" applyBorder="1" applyAlignment="1">
      <alignment horizontal="right" vertical="center" wrapText="1"/>
    </xf>
    <xf numFmtId="3" fontId="16" fillId="0" borderId="17" xfId="21" applyNumberFormat="1" applyFont="1" applyFill="1" applyBorder="1" applyAlignment="1">
      <alignment horizontal="right" vertical="center" wrapText="1"/>
    </xf>
    <xf numFmtId="3" fontId="16" fillId="0" borderId="190" xfId="21" applyNumberFormat="1" applyFont="1" applyFill="1" applyBorder="1" applyAlignment="1">
      <alignment horizontal="right" vertical="center" wrapText="1"/>
    </xf>
    <xf numFmtId="3" fontId="16" fillId="0" borderId="84" xfId="31" applyNumberFormat="1" applyFont="1" applyFill="1" applyBorder="1" applyAlignment="1">
      <alignment horizontal="right" vertical="center"/>
    </xf>
    <xf numFmtId="3" fontId="16" fillId="0" borderId="0" xfId="31" applyNumberFormat="1" applyFont="1" applyFill="1" applyBorder="1" applyAlignment="1">
      <alignment horizontal="center" vertical="center"/>
    </xf>
    <xf numFmtId="0" fontId="37" fillId="0" borderId="16" xfId="31" applyFont="1" applyFill="1" applyBorder="1" applyAlignment="1">
      <alignment horizontal="center" vertical="center"/>
    </xf>
    <xf numFmtId="0" fontId="37" fillId="0" borderId="17" xfId="31" applyFont="1" applyFill="1" applyBorder="1" applyAlignment="1">
      <alignment horizontal="center" vertical="top"/>
    </xf>
    <xf numFmtId="0" fontId="37" fillId="0" borderId="17" xfId="21" applyFont="1" applyFill="1" applyBorder="1" applyAlignment="1">
      <alignment vertical="top" wrapText="1"/>
    </xf>
    <xf numFmtId="3" fontId="37" fillId="0" borderId="17" xfId="31" applyNumberFormat="1" applyFont="1" applyFill="1" applyBorder="1" applyAlignment="1">
      <alignment horizontal="right" vertical="center"/>
    </xf>
    <xf numFmtId="3" fontId="37" fillId="0" borderId="17" xfId="21" applyNumberFormat="1" applyFont="1" applyFill="1" applyBorder="1" applyAlignment="1">
      <alignment horizontal="right" vertical="center"/>
    </xf>
    <xf numFmtId="3" fontId="37" fillId="0" borderId="23" xfId="31" applyNumberFormat="1" applyFont="1" applyFill="1" applyBorder="1" applyAlignment="1">
      <alignment horizontal="right" vertical="center"/>
    </xf>
    <xf numFmtId="0" fontId="37" fillId="0" borderId="58" xfId="31" applyFont="1" applyFill="1" applyBorder="1" applyAlignment="1">
      <alignment horizontal="center" vertical="center" wrapText="1"/>
    </xf>
    <xf numFmtId="3" fontId="37" fillId="0" borderId="116" xfId="21" applyNumberFormat="1" applyFont="1" applyFill="1" applyBorder="1" applyAlignment="1">
      <alignment horizontal="right" vertical="center" wrapText="1"/>
    </xf>
    <xf numFmtId="3" fontId="37" fillId="0" borderId="17" xfId="21" applyNumberFormat="1" applyFont="1" applyFill="1" applyBorder="1" applyAlignment="1">
      <alignment horizontal="right" vertical="center" wrapText="1"/>
    </xf>
    <xf numFmtId="3" fontId="37" fillId="0" borderId="190" xfId="21" applyNumberFormat="1" applyFont="1" applyFill="1" applyBorder="1" applyAlignment="1">
      <alignment horizontal="right" vertical="center" wrapText="1"/>
    </xf>
    <xf numFmtId="3" fontId="37" fillId="0" borderId="84" xfId="31" applyNumberFormat="1" applyFont="1" applyFill="1" applyBorder="1" applyAlignment="1">
      <alignment horizontal="right" vertical="center"/>
    </xf>
    <xf numFmtId="0" fontId="37" fillId="0" borderId="0" xfId="31" applyFont="1" applyFill="1" applyBorder="1"/>
    <xf numFmtId="0" fontId="19" fillId="0" borderId="17" xfId="21" applyFont="1" applyFill="1" applyBorder="1" applyAlignment="1">
      <alignment vertical="top" wrapText="1"/>
    </xf>
    <xf numFmtId="3" fontId="19" fillId="0" borderId="17" xfId="21" applyNumberFormat="1" applyFont="1" applyFill="1" applyBorder="1" applyAlignment="1">
      <alignment horizontal="right" vertical="center" wrapText="1"/>
    </xf>
    <xf numFmtId="3" fontId="19" fillId="0" borderId="190" xfId="21" applyNumberFormat="1" applyFont="1" applyFill="1" applyBorder="1" applyAlignment="1">
      <alignment horizontal="right" vertical="center" wrapText="1"/>
    </xf>
    <xf numFmtId="0" fontId="18" fillId="0" borderId="16" xfId="31" applyFont="1" applyFill="1" applyBorder="1" applyAlignment="1">
      <alignment horizontal="center" vertical="center"/>
    </xf>
    <xf numFmtId="0" fontId="18" fillId="0" borderId="17" xfId="31" applyFont="1" applyFill="1" applyBorder="1" applyAlignment="1">
      <alignment horizontal="center" vertical="top"/>
    </xf>
    <xf numFmtId="0" fontId="18" fillId="0" borderId="17" xfId="21" applyFont="1" applyFill="1" applyBorder="1" applyAlignment="1">
      <alignment vertical="top" wrapText="1"/>
    </xf>
    <xf numFmtId="3" fontId="18" fillId="0" borderId="17" xfId="31" applyNumberFormat="1" applyFont="1" applyFill="1" applyBorder="1" applyAlignment="1">
      <alignment horizontal="right" vertical="center"/>
    </xf>
    <xf numFmtId="3" fontId="18" fillId="0" borderId="17" xfId="21" applyNumberFormat="1" applyFont="1" applyFill="1" applyBorder="1" applyAlignment="1">
      <alignment horizontal="right" vertical="center"/>
    </xf>
    <xf numFmtId="3" fontId="18" fillId="0" borderId="23" xfId="31" applyNumberFormat="1" applyFont="1" applyFill="1" applyBorder="1" applyAlignment="1">
      <alignment horizontal="right" vertical="center"/>
    </xf>
    <xf numFmtId="0" fontId="18" fillId="0" borderId="58" xfId="31" applyFont="1" applyFill="1" applyBorder="1" applyAlignment="1">
      <alignment horizontal="center" vertical="center" wrapText="1"/>
    </xf>
    <xf numFmtId="3" fontId="18" fillId="0" borderId="116" xfId="21" applyNumberFormat="1" applyFont="1" applyFill="1" applyBorder="1" applyAlignment="1">
      <alignment horizontal="right" vertical="center" wrapText="1"/>
    </xf>
    <xf numFmtId="3" fontId="18" fillId="0" borderId="17" xfId="21" applyNumberFormat="1" applyFont="1" applyFill="1" applyBorder="1" applyAlignment="1">
      <alignment horizontal="right" vertical="center" wrapText="1"/>
    </xf>
    <xf numFmtId="3" fontId="18" fillId="0" borderId="190" xfId="21" applyNumberFormat="1" applyFont="1" applyFill="1" applyBorder="1" applyAlignment="1">
      <alignment horizontal="right" vertical="center" wrapText="1"/>
    </xf>
    <xf numFmtId="3" fontId="18" fillId="0" borderId="84" xfId="31" applyNumberFormat="1" applyFont="1" applyFill="1" applyBorder="1" applyAlignment="1">
      <alignment horizontal="right" vertical="center"/>
    </xf>
    <xf numFmtId="0" fontId="18" fillId="0" borderId="0" xfId="31" applyFont="1" applyFill="1" applyBorder="1"/>
    <xf numFmtId="0" fontId="19" fillId="0" borderId="16" xfId="31" applyFont="1" applyFill="1" applyBorder="1" applyAlignment="1">
      <alignment horizontal="center" vertical="center"/>
    </xf>
    <xf numFmtId="0" fontId="19" fillId="0" borderId="17" xfId="31" applyFont="1" applyFill="1" applyBorder="1" applyAlignment="1">
      <alignment horizontal="center" vertical="top"/>
    </xf>
    <xf numFmtId="3" fontId="19" fillId="0" borderId="17" xfId="31" applyNumberFormat="1" applyFont="1" applyFill="1" applyBorder="1" applyAlignment="1">
      <alignment horizontal="right" vertical="center"/>
    </xf>
    <xf numFmtId="3" fontId="19" fillId="0" borderId="17" xfId="21" applyNumberFormat="1" applyFont="1" applyFill="1" applyBorder="1" applyAlignment="1">
      <alignment horizontal="right" vertical="center"/>
    </xf>
    <xf numFmtId="3" fontId="19" fillId="0" borderId="23" xfId="31" applyNumberFormat="1" applyFont="1" applyFill="1" applyBorder="1" applyAlignment="1">
      <alignment horizontal="right" vertical="center"/>
    </xf>
    <xf numFmtId="0" fontId="19" fillId="0" borderId="58" xfId="31" applyFont="1" applyFill="1" applyBorder="1" applyAlignment="1">
      <alignment horizontal="center" vertical="center" wrapText="1"/>
    </xf>
    <xf numFmtId="3" fontId="19" fillId="0" borderId="116" xfId="21" applyNumberFormat="1" applyFont="1" applyFill="1" applyBorder="1" applyAlignment="1">
      <alignment horizontal="right" vertical="center" wrapText="1"/>
    </xf>
    <xf numFmtId="3" fontId="19" fillId="0" borderId="84" xfId="31" applyNumberFormat="1" applyFont="1" applyFill="1" applyBorder="1" applyAlignment="1">
      <alignment horizontal="right" vertical="center"/>
    </xf>
    <xf numFmtId="0" fontId="19" fillId="0" borderId="0" xfId="31" applyFont="1" applyFill="1" applyBorder="1"/>
    <xf numFmtId="0" fontId="16" fillId="0" borderId="17" xfId="31" applyFont="1" applyFill="1" applyBorder="1" applyAlignment="1">
      <alignment horizontal="center"/>
    </xf>
    <xf numFmtId="3" fontId="16" fillId="0" borderId="116" xfId="31" applyNumberFormat="1" applyFont="1" applyFill="1" applyBorder="1" applyAlignment="1">
      <alignment horizontal="right" vertical="center"/>
    </xf>
    <xf numFmtId="3" fontId="16" fillId="0" borderId="190" xfId="31" applyNumberFormat="1" applyFont="1" applyFill="1" applyBorder="1" applyAlignment="1">
      <alignment horizontal="right" vertical="center"/>
    </xf>
    <xf numFmtId="0" fontId="8" fillId="0" borderId="17" xfId="31" applyFont="1" applyFill="1" applyBorder="1" applyAlignment="1">
      <alignment wrapText="1"/>
    </xf>
    <xf numFmtId="0" fontId="8" fillId="0" borderId="17" xfId="31" applyFont="1" applyFill="1" applyBorder="1" applyAlignment="1">
      <alignment vertical="top" wrapText="1"/>
    </xf>
    <xf numFmtId="0" fontId="8" fillId="0" borderId="125" xfId="21" applyFont="1" applyFill="1" applyBorder="1" applyAlignment="1">
      <alignment wrapText="1"/>
    </xf>
    <xf numFmtId="0" fontId="8" fillId="0" borderId="17" xfId="21" applyFont="1" applyFill="1" applyBorder="1" applyAlignment="1">
      <alignment shrinkToFit="1"/>
    </xf>
    <xf numFmtId="3" fontId="19" fillId="0" borderId="190" xfId="31" applyNumberFormat="1" applyFont="1" applyFill="1" applyBorder="1" applyAlignment="1">
      <alignment horizontal="right" vertical="center"/>
    </xf>
    <xf numFmtId="0" fontId="16" fillId="0" borderId="116" xfId="31" applyFont="1" applyFill="1" applyBorder="1" applyAlignment="1">
      <alignment horizontal="center" vertical="center" wrapText="1"/>
    </xf>
    <xf numFmtId="3" fontId="19" fillId="0" borderId="229" xfId="31" applyNumberFormat="1" applyFont="1" applyFill="1" applyBorder="1" applyAlignment="1">
      <alignment horizontal="right" vertical="center"/>
    </xf>
    <xf numFmtId="0" fontId="19" fillId="0" borderId="116" xfId="31" applyFont="1" applyFill="1" applyBorder="1" applyAlignment="1">
      <alignment horizontal="center" vertical="center" wrapText="1"/>
    </xf>
    <xf numFmtId="3" fontId="19" fillId="0" borderId="23" xfId="21" applyNumberFormat="1" applyFont="1" applyFill="1" applyBorder="1" applyAlignment="1">
      <alignment horizontal="right" vertical="center" wrapText="1"/>
    </xf>
    <xf numFmtId="0" fontId="19" fillId="0" borderId="51" xfId="31" applyFont="1" applyFill="1" applyBorder="1" applyAlignment="1">
      <alignment horizontal="center" vertical="center"/>
    </xf>
    <xf numFmtId="0" fontId="19" fillId="0" borderId="46" xfId="31" applyFont="1" applyFill="1" applyBorder="1" applyAlignment="1">
      <alignment horizontal="center" vertical="top"/>
    </xf>
    <xf numFmtId="0" fontId="19" fillId="0" borderId="46" xfId="21" applyFont="1" applyFill="1" applyBorder="1" applyAlignment="1">
      <alignment vertical="top" wrapText="1"/>
    </xf>
    <xf numFmtId="3" fontId="19" fillId="0" borderId="46" xfId="31" applyNumberFormat="1" applyFont="1" applyFill="1" applyBorder="1" applyAlignment="1">
      <alignment horizontal="right" vertical="center"/>
    </xf>
    <xf numFmtId="3" fontId="19" fillId="0" borderId="46" xfId="21" applyNumberFormat="1" applyFont="1" applyFill="1" applyBorder="1" applyAlignment="1">
      <alignment horizontal="right" vertical="center"/>
    </xf>
    <xf numFmtId="3" fontId="19" fillId="0" borderId="211" xfId="31" applyNumberFormat="1" applyFont="1" applyFill="1" applyBorder="1" applyAlignment="1">
      <alignment horizontal="right" vertical="center"/>
    </xf>
    <xf numFmtId="0" fontId="19" fillId="0" borderId="131" xfId="31" applyFont="1" applyFill="1" applyBorder="1" applyAlignment="1">
      <alignment horizontal="center" vertical="center" wrapText="1"/>
    </xf>
    <xf numFmtId="3" fontId="19" fillId="0" borderId="131" xfId="21" applyNumberFormat="1" applyFont="1" applyFill="1" applyBorder="1" applyAlignment="1">
      <alignment horizontal="right" vertical="center" wrapText="1"/>
    </xf>
    <xf numFmtId="3" fontId="19" fillId="0" borderId="246" xfId="31" applyNumberFormat="1" applyFont="1" applyFill="1" applyBorder="1" applyAlignment="1">
      <alignment horizontal="right" vertical="center"/>
    </xf>
    <xf numFmtId="0" fontId="16" fillId="0" borderId="46" xfId="31" applyFont="1" applyFill="1" applyBorder="1" applyAlignment="1">
      <alignment horizontal="center"/>
    </xf>
    <xf numFmtId="3" fontId="18" fillId="0" borderId="131" xfId="21" applyNumberFormat="1" applyFont="1" applyFill="1" applyBorder="1" applyAlignment="1">
      <alignment horizontal="right" vertical="center" wrapText="1"/>
    </xf>
    <xf numFmtId="0" fontId="16" fillId="0" borderId="131" xfId="31" applyFont="1" applyFill="1" applyBorder="1" applyAlignment="1">
      <alignment horizontal="center" vertical="center" wrapText="1"/>
    </xf>
    <xf numFmtId="0" fontId="19" fillId="0" borderId="48" xfId="31" applyFont="1" applyFill="1" applyBorder="1" applyAlignment="1">
      <alignment horizontal="center" vertical="center"/>
    </xf>
    <xf numFmtId="0" fontId="19" fillId="0" borderId="49" xfId="31" applyFont="1" applyFill="1" applyBorder="1" applyAlignment="1">
      <alignment horizontal="center" vertical="top"/>
    </xf>
    <xf numFmtId="3" fontId="19" fillId="0" borderId="49" xfId="31" applyNumberFormat="1" applyFont="1" applyFill="1" applyBorder="1" applyAlignment="1">
      <alignment horizontal="right" vertical="center"/>
    </xf>
    <xf numFmtId="3" fontId="19" fillId="0" borderId="49" xfId="21" applyNumberFormat="1" applyFont="1" applyFill="1" applyBorder="1" applyAlignment="1">
      <alignment horizontal="right" vertical="center"/>
    </xf>
    <xf numFmtId="3" fontId="19" fillId="0" borderId="224" xfId="31" applyNumberFormat="1" applyFont="1" applyFill="1" applyBorder="1" applyAlignment="1">
      <alignment horizontal="right" vertical="center"/>
    </xf>
    <xf numFmtId="0" fontId="19" fillId="0" borderId="117" xfId="31" applyFont="1" applyFill="1" applyBorder="1" applyAlignment="1">
      <alignment horizontal="center" vertical="center" wrapText="1"/>
    </xf>
    <xf numFmtId="3" fontId="19" fillId="0" borderId="49" xfId="21" applyNumberFormat="1" applyFont="1" applyFill="1" applyBorder="1" applyAlignment="1">
      <alignment horizontal="right" vertical="center" wrapText="1"/>
    </xf>
    <xf numFmtId="3" fontId="19" fillId="0" borderId="221" xfId="21" applyNumberFormat="1" applyFont="1" applyFill="1" applyBorder="1" applyAlignment="1">
      <alignment horizontal="right" vertical="center" wrapText="1"/>
    </xf>
    <xf numFmtId="3" fontId="19" fillId="0" borderId="120" xfId="21" applyNumberFormat="1" applyFont="1" applyFill="1" applyBorder="1" applyAlignment="1">
      <alignment horizontal="right" vertical="center" wrapText="1"/>
    </xf>
    <xf numFmtId="3" fontId="19" fillId="0" borderId="149" xfId="21" applyNumberFormat="1" applyFont="1" applyFill="1" applyBorder="1" applyAlignment="1">
      <alignment horizontal="right" vertical="center" wrapText="1"/>
    </xf>
    <xf numFmtId="0" fontId="19" fillId="0" borderId="49" xfId="21" applyFont="1" applyFill="1" applyBorder="1" applyAlignment="1">
      <alignment vertical="top" wrapText="1"/>
    </xf>
    <xf numFmtId="3" fontId="19" fillId="0" borderId="60" xfId="31" applyNumberFormat="1" applyFont="1" applyFill="1" applyBorder="1" applyAlignment="1">
      <alignment horizontal="right" vertical="center"/>
    </xf>
    <xf numFmtId="0" fontId="19" fillId="0" borderId="62" xfId="31" applyFont="1" applyFill="1" applyBorder="1" applyAlignment="1">
      <alignment horizontal="center" vertical="center" wrapText="1"/>
    </xf>
    <xf numFmtId="3" fontId="19" fillId="0" borderId="117" xfId="21" applyNumberFormat="1" applyFont="1" applyFill="1" applyBorder="1" applyAlignment="1">
      <alignment horizontal="right" vertical="center" wrapText="1"/>
    </xf>
    <xf numFmtId="3" fontId="19" fillId="0" borderId="224" xfId="21" applyNumberFormat="1" applyFont="1" applyFill="1" applyBorder="1" applyAlignment="1">
      <alignment horizontal="right" vertical="center" wrapText="1"/>
    </xf>
    <xf numFmtId="3" fontId="19" fillId="0" borderId="241" xfId="31" applyNumberFormat="1" applyFont="1" applyFill="1" applyBorder="1" applyAlignment="1">
      <alignment horizontal="right" vertical="center"/>
    </xf>
    <xf numFmtId="3" fontId="16" fillId="0" borderId="0" xfId="58" applyNumberFormat="1" applyFont="1" applyFill="1" applyBorder="1" applyAlignment="1">
      <alignment horizontal="left" vertical="top"/>
    </xf>
    <xf numFmtId="3" fontId="16" fillId="0" borderId="0" xfId="32" applyNumberFormat="1" applyFont="1" applyFill="1" applyBorder="1" applyAlignment="1">
      <alignment horizontal="right"/>
    </xf>
    <xf numFmtId="3" fontId="16" fillId="0" borderId="0" xfId="32" applyNumberFormat="1" applyFont="1" applyFill="1" applyBorder="1" applyAlignment="1">
      <alignment horizontal="right" wrapText="1"/>
    </xf>
    <xf numFmtId="3" fontId="16" fillId="0" borderId="0" xfId="58" applyNumberFormat="1" applyFont="1" applyFill="1" applyBorder="1" applyAlignment="1">
      <alignment horizontal="center" vertical="center"/>
    </xf>
    <xf numFmtId="3" fontId="16" fillId="0" borderId="0" xfId="58" applyNumberFormat="1" applyFont="1" applyFill="1" applyBorder="1" applyAlignment="1">
      <alignment horizontal="right"/>
    </xf>
    <xf numFmtId="3" fontId="16" fillId="0" borderId="123" xfId="22" applyNumberFormat="1" applyFont="1" applyFill="1" applyBorder="1" applyAlignment="1">
      <alignment horizontal="left" vertical="center" wrapText="1"/>
    </xf>
    <xf numFmtId="0" fontId="36" fillId="0" borderId="17" xfId="31" applyFont="1" applyFill="1" applyBorder="1" applyAlignment="1">
      <alignment wrapText="1"/>
    </xf>
    <xf numFmtId="3" fontId="16" fillId="0" borderId="36" xfId="31" applyNumberFormat="1" applyFont="1" applyFill="1" applyBorder="1" applyAlignment="1"/>
    <xf numFmtId="0" fontId="37" fillId="0" borderId="17" xfId="31" applyFont="1" applyFill="1" applyBorder="1" applyAlignment="1">
      <alignment horizontal="center"/>
    </xf>
    <xf numFmtId="0" fontId="37" fillId="0" borderId="17" xfId="31" applyFont="1" applyFill="1" applyBorder="1" applyAlignment="1">
      <alignment wrapText="1"/>
    </xf>
    <xf numFmtId="3" fontId="37" fillId="0" borderId="36" xfId="31" applyNumberFormat="1" applyFont="1" applyFill="1" applyBorder="1" applyAlignment="1"/>
    <xf numFmtId="0" fontId="19" fillId="0" borderId="17" xfId="31" applyFont="1" applyFill="1" applyBorder="1" applyAlignment="1">
      <alignment wrapText="1"/>
    </xf>
    <xf numFmtId="3" fontId="19" fillId="0" borderId="36" xfId="31" applyNumberFormat="1" applyFont="1" applyFill="1" applyBorder="1" applyAlignment="1"/>
    <xf numFmtId="0" fontId="18" fillId="0" borderId="17" xfId="31" applyFont="1" applyFill="1" applyBorder="1" applyAlignment="1">
      <alignment horizontal="center"/>
    </xf>
    <xf numFmtId="0" fontId="53" fillId="0" borderId="17" xfId="31" applyFont="1" applyFill="1" applyBorder="1" applyAlignment="1">
      <alignment wrapText="1"/>
    </xf>
    <xf numFmtId="3" fontId="18" fillId="0" borderId="36" xfId="31" applyNumberFormat="1" applyFont="1" applyFill="1" applyBorder="1" applyAlignment="1"/>
    <xf numFmtId="0" fontId="19" fillId="0" borderId="17" xfId="31" applyFont="1" applyFill="1" applyBorder="1" applyAlignment="1">
      <alignment horizontal="center"/>
    </xf>
    <xf numFmtId="0" fontId="54" fillId="0" borderId="17" xfId="31" applyFont="1" applyFill="1" applyBorder="1" applyAlignment="1">
      <alignment wrapText="1"/>
    </xf>
    <xf numFmtId="3" fontId="37" fillId="0" borderId="36" xfId="31" applyNumberFormat="1" applyFont="1" applyFill="1" applyBorder="1" applyAlignment="1">
      <alignment horizontal="right" vertical="center"/>
    </xf>
    <xf numFmtId="3" fontId="19" fillId="0" borderId="36" xfId="31" applyNumberFormat="1" applyFont="1" applyFill="1" applyBorder="1" applyAlignment="1">
      <alignment horizontal="right" vertical="center"/>
    </xf>
    <xf numFmtId="3" fontId="18" fillId="0" borderId="36" xfId="31" applyNumberFormat="1" applyFont="1" applyFill="1" applyBorder="1" applyAlignment="1">
      <alignment vertical="center"/>
    </xf>
    <xf numFmtId="0" fontId="32" fillId="0" borderId="17" xfId="31" applyFont="1" applyFill="1" applyBorder="1" applyAlignment="1"/>
    <xf numFmtId="0" fontId="8" fillId="0" borderId="17" xfId="31" applyFont="1" applyFill="1" applyBorder="1" applyAlignment="1">
      <alignment horizontal="left" wrapText="1" indent="1"/>
    </xf>
    <xf numFmtId="0" fontId="37" fillId="0" borderId="17" xfId="31" applyFont="1" applyFill="1" applyBorder="1" applyAlignment="1">
      <alignment horizontal="left" wrapText="1" indent="1"/>
    </xf>
    <xf numFmtId="0" fontId="54" fillId="0" borderId="17" xfId="31" applyFont="1" applyFill="1" applyBorder="1" applyAlignment="1">
      <alignment horizontal="left" wrapText="1" indent="1"/>
    </xf>
    <xf numFmtId="0" fontId="53" fillId="0" borderId="17" xfId="31" applyFont="1" applyFill="1" applyBorder="1" applyAlignment="1">
      <alignment horizontal="left" wrapText="1" indent="1"/>
    </xf>
    <xf numFmtId="0" fontId="32" fillId="0" borderId="17" xfId="31" applyFont="1" applyFill="1" applyBorder="1" applyAlignment="1">
      <alignment wrapText="1"/>
    </xf>
    <xf numFmtId="0" fontId="23" fillId="0" borderId="17" xfId="31" applyFont="1" applyFill="1" applyBorder="1" applyAlignment="1">
      <alignment wrapText="1"/>
    </xf>
    <xf numFmtId="0" fontId="8" fillId="0" borderId="17" xfId="31" applyFont="1" applyFill="1" applyBorder="1" applyAlignment="1">
      <alignment horizontal="left" indent="1" shrinkToFit="1"/>
    </xf>
    <xf numFmtId="0" fontId="32" fillId="0" borderId="17" xfId="31" applyFont="1" applyFill="1" applyBorder="1" applyAlignment="1">
      <alignment horizontal="left" wrapText="1"/>
    </xf>
    <xf numFmtId="0" fontId="23" fillId="0" borderId="17" xfId="31" applyFont="1" applyFill="1" applyBorder="1" applyAlignment="1">
      <alignment shrinkToFit="1"/>
    </xf>
    <xf numFmtId="0" fontId="32" fillId="0" borderId="17" xfId="31" applyFont="1" applyFill="1" applyBorder="1" applyAlignment="1">
      <alignment horizontal="left"/>
    </xf>
    <xf numFmtId="3" fontId="16" fillId="0" borderId="58" xfId="21" applyNumberFormat="1" applyFont="1" applyFill="1" applyBorder="1" applyAlignment="1">
      <alignment horizontal="center" vertical="center" wrapText="1"/>
    </xf>
    <xf numFmtId="3" fontId="19" fillId="0" borderId="191" xfId="21" applyNumberFormat="1" applyFont="1" applyFill="1" applyBorder="1" applyAlignment="1">
      <alignment horizontal="right" vertical="center" wrapText="1"/>
    </xf>
    <xf numFmtId="3" fontId="37" fillId="0" borderId="116" xfId="21" applyNumberFormat="1" applyFont="1" applyFill="1" applyBorder="1" applyAlignment="1">
      <alignment horizontal="right" wrapText="1"/>
    </xf>
    <xf numFmtId="0" fontId="19" fillId="0" borderId="49" xfId="31" applyFont="1" applyFill="1" applyBorder="1" applyAlignment="1">
      <alignment horizontal="center"/>
    </xf>
    <xf numFmtId="0" fontId="54" fillId="0" borderId="49" xfId="31" applyFont="1" applyFill="1" applyBorder="1" applyAlignment="1">
      <alignment wrapText="1"/>
    </xf>
    <xf numFmtId="3" fontId="19" fillId="0" borderId="175" xfId="31" applyNumberFormat="1" applyFont="1" applyFill="1" applyBorder="1" applyAlignment="1"/>
    <xf numFmtId="3" fontId="16" fillId="0" borderId="0" xfId="54" applyNumberFormat="1" applyFont="1" applyFill="1" applyBorder="1" applyAlignment="1">
      <alignment horizontal="left" vertical="top"/>
    </xf>
    <xf numFmtId="3" fontId="16" fillId="0" borderId="0" xfId="54" applyNumberFormat="1" applyFont="1" applyFill="1" applyBorder="1" applyAlignment="1">
      <alignment horizontal="center" vertical="center"/>
    </xf>
    <xf numFmtId="3" fontId="16" fillId="0" borderId="0" xfId="54" applyNumberFormat="1" applyFont="1" applyFill="1" applyBorder="1" applyAlignment="1">
      <alignment horizontal="right"/>
    </xf>
    <xf numFmtId="0" fontId="12" fillId="0" borderId="0" xfId="32" applyFont="1" applyFill="1" applyBorder="1" applyAlignment="1">
      <alignment horizontal="center" wrapText="1"/>
    </xf>
    <xf numFmtId="3" fontId="12" fillId="0" borderId="0" xfId="32" applyNumberFormat="1" applyFont="1" applyFill="1" applyBorder="1" applyAlignment="1">
      <alignment horizontal="center"/>
    </xf>
    <xf numFmtId="3" fontId="8" fillId="0" borderId="20" xfId="31" applyNumberFormat="1" applyFont="1" applyFill="1" applyBorder="1" applyAlignment="1">
      <alignment horizontal="center" vertical="center" wrapText="1"/>
    </xf>
    <xf numFmtId="3" fontId="8" fillId="0" borderId="7" xfId="31" applyNumberFormat="1" applyFont="1" applyFill="1" applyBorder="1" applyAlignment="1">
      <alignment horizontal="center" vertical="center" wrapText="1"/>
    </xf>
    <xf numFmtId="3" fontId="8" fillId="0" borderId="5" xfId="31" applyNumberFormat="1" applyFont="1" applyFill="1" applyBorder="1" applyAlignment="1">
      <alignment horizontal="center" vertical="center" wrapText="1"/>
    </xf>
    <xf numFmtId="0" fontId="10" fillId="0" borderId="27" xfId="31" applyFont="1" applyFill="1" applyBorder="1" applyAlignment="1">
      <alignment horizontal="center"/>
    </xf>
    <xf numFmtId="0" fontId="32" fillId="0" borderId="24" xfId="31" applyFont="1" applyFill="1" applyBorder="1" applyAlignment="1">
      <alignment horizontal="left"/>
    </xf>
    <xf numFmtId="3" fontId="8" fillId="0" borderId="123" xfId="22" applyNumberFormat="1" applyFont="1" applyFill="1" applyBorder="1" applyAlignment="1">
      <alignment horizontal="left"/>
    </xf>
    <xf numFmtId="3" fontId="8" fillId="0" borderId="24" xfId="31" applyNumberFormat="1" applyFont="1" applyFill="1" applyBorder="1" applyAlignment="1">
      <alignment horizontal="right"/>
    </xf>
    <xf numFmtId="3" fontId="8" fillId="0" borderId="24" xfId="21" applyNumberFormat="1" applyFont="1" applyFill="1" applyBorder="1" applyAlignment="1">
      <alignment horizontal="right"/>
    </xf>
    <xf numFmtId="3" fontId="8" fillId="0" borderId="26" xfId="31" applyNumberFormat="1" applyFont="1" applyFill="1" applyBorder="1" applyAlignment="1">
      <alignment horizontal="right"/>
    </xf>
    <xf numFmtId="0" fontId="8" fillId="0" borderId="79" xfId="31" applyFont="1" applyFill="1" applyBorder="1" applyAlignment="1">
      <alignment horizontal="center" wrapText="1"/>
    </xf>
    <xf numFmtId="3" fontId="42" fillId="0" borderId="132" xfId="21" applyNumberFormat="1" applyFont="1" applyFill="1" applyBorder="1" applyAlignment="1">
      <alignment horizontal="right" wrapText="1"/>
    </xf>
    <xf numFmtId="3" fontId="42" fillId="0" borderId="120" xfId="21" applyNumberFormat="1" applyFont="1" applyFill="1" applyBorder="1" applyAlignment="1">
      <alignment horizontal="right" wrapText="1"/>
    </xf>
    <xf numFmtId="3" fontId="41" fillId="0" borderId="191" xfId="21" applyNumberFormat="1" applyFont="1" applyFill="1" applyBorder="1" applyAlignment="1">
      <alignment horizontal="right" wrapText="1"/>
    </xf>
    <xf numFmtId="3" fontId="8" fillId="0" borderId="83" xfId="31" applyNumberFormat="1" applyFont="1" applyFill="1" applyBorder="1" applyAlignment="1">
      <alignment horizontal="right"/>
    </xf>
    <xf numFmtId="0" fontId="10" fillId="0" borderId="16" xfId="31" applyFont="1" applyFill="1" applyBorder="1" applyAlignment="1">
      <alignment horizontal="center"/>
    </xf>
    <xf numFmtId="0" fontId="8" fillId="0" borderId="17" xfId="31" applyFont="1" applyFill="1" applyBorder="1" applyAlignment="1">
      <alignment horizontal="center"/>
    </xf>
    <xf numFmtId="0" fontId="8" fillId="0" borderId="17" xfId="21" applyFont="1" applyFill="1" applyBorder="1" applyAlignment="1">
      <alignment horizontal="left"/>
    </xf>
    <xf numFmtId="3" fontId="8" fillId="0" borderId="17" xfId="31" applyNumberFormat="1" applyFont="1" applyFill="1" applyBorder="1" applyAlignment="1">
      <alignment horizontal="right"/>
    </xf>
    <xf numFmtId="3" fontId="8" fillId="0" borderId="17" xfId="21" applyNumberFormat="1" applyFont="1" applyFill="1" applyBorder="1" applyAlignment="1">
      <alignment horizontal="right"/>
    </xf>
    <xf numFmtId="3" fontId="8" fillId="0" borderId="23" xfId="31" applyNumberFormat="1" applyFont="1" applyFill="1" applyBorder="1" applyAlignment="1">
      <alignment horizontal="right"/>
    </xf>
    <xf numFmtId="0" fontId="8" fillId="0" borderId="58" xfId="31" applyFont="1" applyFill="1" applyBorder="1" applyAlignment="1">
      <alignment horizontal="center" wrapText="1"/>
    </xf>
    <xf numFmtId="3" fontId="42" fillId="0" borderId="116" xfId="21" applyNumberFormat="1" applyFont="1" applyFill="1" applyBorder="1" applyAlignment="1">
      <alignment horizontal="right" wrapText="1"/>
    </xf>
    <xf numFmtId="3" fontId="42" fillId="0" borderId="17" xfId="21" applyNumberFormat="1" applyFont="1" applyFill="1" applyBorder="1" applyAlignment="1">
      <alignment horizontal="right" wrapText="1"/>
    </xf>
    <xf numFmtId="3" fontId="41" fillId="0" borderId="190" xfId="21" applyNumberFormat="1" applyFont="1" applyFill="1" applyBorder="1" applyAlignment="1">
      <alignment horizontal="right" wrapText="1"/>
    </xf>
    <xf numFmtId="3" fontId="8" fillId="0" borderId="84" xfId="31" applyNumberFormat="1" applyFont="1" applyFill="1" applyBorder="1" applyAlignment="1">
      <alignment horizontal="right"/>
    </xf>
    <xf numFmtId="0" fontId="41" fillId="0" borderId="16" xfId="31" applyFont="1" applyFill="1" applyBorder="1" applyAlignment="1">
      <alignment horizontal="center"/>
    </xf>
    <xf numFmtId="0" fontId="41" fillId="0" borderId="17" xfId="31" applyFont="1" applyFill="1" applyBorder="1" applyAlignment="1">
      <alignment horizontal="center"/>
    </xf>
    <xf numFmtId="0" fontId="41" fillId="0" borderId="17" xfId="21" applyFont="1" applyFill="1" applyBorder="1" applyAlignment="1">
      <alignment horizontal="left"/>
    </xf>
    <xf numFmtId="3" fontId="41" fillId="0" borderId="116" xfId="21" applyNumberFormat="1" applyFont="1" applyFill="1" applyBorder="1" applyAlignment="1">
      <alignment horizontal="right" wrapText="1"/>
    </xf>
    <xf numFmtId="3" fontId="41" fillId="0" borderId="17" xfId="21" applyNumberFormat="1" applyFont="1" applyFill="1" applyBorder="1" applyAlignment="1">
      <alignment horizontal="right" wrapText="1"/>
    </xf>
    <xf numFmtId="3" fontId="41" fillId="0" borderId="84" xfId="31" applyNumberFormat="1" applyFont="1" applyFill="1" applyBorder="1" applyAlignment="1">
      <alignment horizontal="right"/>
    </xf>
    <xf numFmtId="3" fontId="8" fillId="0" borderId="17" xfId="21" applyNumberFormat="1" applyFont="1" applyFill="1" applyBorder="1" applyAlignment="1">
      <alignment horizontal="right" wrapText="1"/>
    </xf>
    <xf numFmtId="3" fontId="10" fillId="0" borderId="17" xfId="21" applyNumberFormat="1" applyFont="1" applyFill="1" applyBorder="1" applyAlignment="1">
      <alignment horizontal="right" wrapText="1"/>
    </xf>
    <xf numFmtId="3" fontId="10" fillId="0" borderId="190" xfId="21" applyNumberFormat="1" applyFont="1" applyFill="1" applyBorder="1" applyAlignment="1">
      <alignment horizontal="right" wrapText="1"/>
    </xf>
    <xf numFmtId="3" fontId="10" fillId="0" borderId="116" xfId="21" applyNumberFormat="1" applyFont="1" applyFill="1" applyBorder="1" applyAlignment="1">
      <alignment horizontal="right" wrapText="1"/>
    </xf>
    <xf numFmtId="3" fontId="11" fillId="0" borderId="190" xfId="21" applyNumberFormat="1" applyFont="1" applyFill="1" applyBorder="1" applyAlignment="1">
      <alignment horizontal="right" wrapText="1"/>
    </xf>
    <xf numFmtId="0" fontId="8" fillId="0" borderId="17" xfId="21" applyFont="1" applyFill="1" applyBorder="1" applyAlignment="1"/>
    <xf numFmtId="3" fontId="8" fillId="0" borderId="116" xfId="21" applyNumberFormat="1" applyFont="1" applyFill="1" applyBorder="1" applyAlignment="1">
      <alignment horizontal="right" wrapText="1"/>
    </xf>
    <xf numFmtId="3" fontId="11" fillId="0" borderId="17" xfId="21" applyNumberFormat="1" applyFont="1" applyFill="1" applyBorder="1" applyAlignment="1">
      <alignment horizontal="right" wrapText="1"/>
    </xf>
    <xf numFmtId="0" fontId="8" fillId="0" borderId="17" xfId="31" applyFont="1" applyFill="1" applyBorder="1" applyAlignment="1">
      <alignment horizontal="center" vertical="top"/>
    </xf>
    <xf numFmtId="0" fontId="8" fillId="0" borderId="36" xfId="21" applyFont="1" applyFill="1" applyBorder="1" applyAlignment="1">
      <alignment horizontal="left" wrapText="1"/>
    </xf>
    <xf numFmtId="0" fontId="8" fillId="0" borderId="58" xfId="31" applyFont="1" applyFill="1" applyBorder="1" applyAlignment="1">
      <alignment horizontal="center" vertical="top" wrapText="1"/>
    </xf>
    <xf numFmtId="0" fontId="41" fillId="0" borderId="36" xfId="21" applyFont="1" applyFill="1" applyBorder="1" applyAlignment="1"/>
    <xf numFmtId="3" fontId="42" fillId="0" borderId="116" xfId="31" applyNumberFormat="1" applyFont="1" applyFill="1" applyBorder="1" applyAlignment="1">
      <alignment horizontal="right"/>
    </xf>
    <xf numFmtId="3" fontId="42" fillId="0" borderId="17" xfId="31" applyNumberFormat="1" applyFont="1" applyFill="1" applyBorder="1" applyAlignment="1">
      <alignment horizontal="right"/>
    </xf>
    <xf numFmtId="3" fontId="41" fillId="0" borderId="190" xfId="31" applyNumberFormat="1" applyFont="1" applyFill="1" applyBorder="1" applyAlignment="1">
      <alignment horizontal="right"/>
    </xf>
    <xf numFmtId="0" fontId="8" fillId="0" borderId="16" xfId="31" applyFont="1" applyFill="1" applyBorder="1" applyAlignment="1">
      <alignment horizontal="center"/>
    </xf>
    <xf numFmtId="3" fontId="8" fillId="0" borderId="116" xfId="31" applyNumberFormat="1" applyFont="1" applyFill="1" applyBorder="1" applyAlignment="1">
      <alignment horizontal="right"/>
    </xf>
    <xf numFmtId="0" fontId="8" fillId="0" borderId="17" xfId="21" applyFont="1" applyFill="1" applyBorder="1" applyAlignment="1">
      <alignment horizontal="left" vertical="top" wrapText="1"/>
    </xf>
    <xf numFmtId="3" fontId="8" fillId="0" borderId="36" xfId="22" applyNumberFormat="1" applyFont="1" applyFill="1" applyBorder="1" applyAlignment="1">
      <alignment horizontal="left" vertical="top" wrapText="1"/>
    </xf>
    <xf numFmtId="0" fontId="8" fillId="0" borderId="17" xfId="21" applyFont="1" applyFill="1" applyBorder="1" applyAlignment="1">
      <alignment horizontal="left" wrapText="1"/>
    </xf>
    <xf numFmtId="0" fontId="8" fillId="0" borderId="36" xfId="21" applyFont="1" applyFill="1" applyBorder="1" applyAlignment="1">
      <alignment vertical="top" wrapText="1"/>
    </xf>
    <xf numFmtId="3" fontId="18" fillId="0" borderId="24" xfId="18" applyNumberFormat="1" applyFont="1" applyFill="1" applyBorder="1" applyAlignment="1">
      <alignment shrinkToFit="1"/>
    </xf>
    <xf numFmtId="3" fontId="11" fillId="0" borderId="116" xfId="21" applyNumberFormat="1" applyFont="1" applyFill="1" applyBorder="1" applyAlignment="1">
      <alignment horizontal="right" wrapText="1"/>
    </xf>
    <xf numFmtId="3" fontId="11" fillId="0" borderId="116" xfId="31" applyNumberFormat="1" applyFont="1" applyFill="1" applyBorder="1" applyAlignment="1">
      <alignment horizontal="right"/>
    </xf>
    <xf numFmtId="3" fontId="11" fillId="0" borderId="17" xfId="31" applyNumberFormat="1" applyFont="1" applyFill="1" applyBorder="1" applyAlignment="1">
      <alignment horizontal="right"/>
    </xf>
    <xf numFmtId="3" fontId="23" fillId="0" borderId="190" xfId="21" applyNumberFormat="1" applyFont="1" applyFill="1" applyBorder="1" applyAlignment="1">
      <alignment horizontal="right" wrapText="1"/>
    </xf>
    <xf numFmtId="2" fontId="8" fillId="0" borderId="17" xfId="21" applyNumberFormat="1" applyFont="1" applyFill="1" applyBorder="1" applyAlignment="1">
      <alignment wrapText="1"/>
    </xf>
    <xf numFmtId="3" fontId="8" fillId="0" borderId="46" xfId="31" applyNumberFormat="1" applyFont="1" applyFill="1" applyBorder="1" applyAlignment="1">
      <alignment horizontal="right"/>
    </xf>
    <xf numFmtId="0" fontId="8" fillId="0" borderId="46" xfId="31" applyFont="1" applyFill="1" applyBorder="1" applyAlignment="1">
      <alignment horizontal="center" vertical="top"/>
    </xf>
    <xf numFmtId="3" fontId="42" fillId="0" borderId="24" xfId="31" applyNumberFormat="1" applyFont="1" applyFill="1" applyBorder="1" applyAlignment="1">
      <alignment horizontal="right"/>
    </xf>
    <xf numFmtId="3" fontId="8" fillId="0" borderId="229" xfId="31" applyNumberFormat="1" applyFont="1" applyFill="1" applyBorder="1" applyAlignment="1">
      <alignment horizontal="right"/>
    </xf>
    <xf numFmtId="0" fontId="10" fillId="0" borderId="48" xfId="31" applyFont="1" applyFill="1" applyBorder="1" applyAlignment="1">
      <alignment horizontal="center"/>
    </xf>
    <xf numFmtId="0" fontId="8" fillId="0" borderId="49" xfId="31" applyFont="1" applyFill="1" applyBorder="1" applyAlignment="1">
      <alignment horizontal="center" vertical="top"/>
    </xf>
    <xf numFmtId="3" fontId="8" fillId="0" borderId="49" xfId="31" applyNumberFormat="1" applyFont="1" applyFill="1" applyBorder="1" applyAlignment="1">
      <alignment horizontal="right"/>
    </xf>
    <xf numFmtId="3" fontId="8" fillId="0" borderId="60" xfId="31" applyNumberFormat="1" applyFont="1" applyFill="1" applyBorder="1" applyAlignment="1">
      <alignment horizontal="right"/>
    </xf>
    <xf numFmtId="0" fontId="8" fillId="0" borderId="62" xfId="31" applyFont="1" applyFill="1" applyBorder="1" applyAlignment="1">
      <alignment horizontal="center" wrapText="1"/>
    </xf>
    <xf numFmtId="3" fontId="8" fillId="0" borderId="239" xfId="31" applyNumberFormat="1" applyFont="1" applyFill="1" applyBorder="1" applyAlignment="1">
      <alignment horizontal="right"/>
    </xf>
    <xf numFmtId="3" fontId="8" fillId="0" borderId="61" xfId="21" applyNumberFormat="1" applyFont="1" applyFill="1" applyBorder="1" applyAlignment="1">
      <alignment horizontal="right" vertical="center" wrapText="1"/>
    </xf>
    <xf numFmtId="3" fontId="10" fillId="0" borderId="130" xfId="21" applyNumberFormat="1" applyFont="1" applyFill="1" applyBorder="1" applyAlignment="1">
      <alignment horizontal="right" vertical="center" wrapText="1"/>
    </xf>
    <xf numFmtId="3" fontId="10" fillId="0" borderId="240" xfId="21" applyNumberFormat="1" applyFont="1" applyFill="1" applyBorder="1" applyAlignment="1">
      <alignment horizontal="right" vertical="center" wrapText="1"/>
    </xf>
    <xf numFmtId="3" fontId="10" fillId="0" borderId="27" xfId="21" applyNumberFormat="1" applyFont="1" applyFill="1" applyBorder="1" applyAlignment="1">
      <alignment horizontal="center" vertical="center" wrapText="1"/>
    </xf>
    <xf numFmtId="3" fontId="10" fillId="0" borderId="24" xfId="21" applyNumberFormat="1" applyFont="1" applyFill="1" applyBorder="1" applyAlignment="1">
      <alignment horizontal="center" vertical="center" wrapText="1"/>
    </xf>
    <xf numFmtId="3" fontId="10" fillId="0" borderId="79" xfId="21" applyNumberFormat="1" applyFont="1" applyFill="1" applyBorder="1" applyAlignment="1">
      <alignment horizontal="right" vertical="center" wrapText="1"/>
    </xf>
    <xf numFmtId="3" fontId="41" fillId="0" borderId="24" xfId="21" applyNumberFormat="1" applyFont="1" applyFill="1" applyBorder="1" applyAlignment="1">
      <alignment horizontal="right" vertical="center" wrapText="1"/>
    </xf>
    <xf numFmtId="3" fontId="41" fillId="0" borderId="222" xfId="21" applyNumberFormat="1" applyFont="1" applyFill="1" applyBorder="1" applyAlignment="1">
      <alignment horizontal="right" vertical="center" wrapText="1"/>
    </xf>
    <xf numFmtId="3" fontId="41" fillId="0" borderId="124" xfId="21" applyNumberFormat="1" applyFont="1" applyFill="1" applyBorder="1" applyAlignment="1">
      <alignment horizontal="right" vertical="center" wrapText="1"/>
    </xf>
    <xf numFmtId="3" fontId="19" fillId="0" borderId="23" xfId="18" applyNumberFormat="1" applyFont="1" applyFill="1" applyBorder="1" applyAlignment="1">
      <alignment wrapText="1"/>
    </xf>
    <xf numFmtId="3" fontId="10" fillId="0" borderId="52" xfId="21" applyNumberFormat="1" applyFont="1" applyFill="1" applyBorder="1" applyAlignment="1">
      <alignment horizontal="right" vertical="center" wrapText="1"/>
    </xf>
    <xf numFmtId="3" fontId="10" fillId="0" borderId="190" xfId="21" applyNumberFormat="1" applyFont="1" applyFill="1" applyBorder="1" applyAlignment="1">
      <alignment horizontal="right" vertical="center" wrapText="1"/>
    </xf>
    <xf numFmtId="3" fontId="10" fillId="0" borderId="16" xfId="21" applyNumberFormat="1" applyFont="1" applyFill="1" applyBorder="1" applyAlignment="1">
      <alignment horizontal="center" vertical="center" wrapText="1"/>
    </xf>
    <xf numFmtId="3" fontId="10" fillId="0" borderId="17" xfId="21" applyNumberFormat="1" applyFont="1" applyFill="1" applyBorder="1" applyAlignment="1">
      <alignment horizontal="center" vertical="center" wrapText="1"/>
    </xf>
    <xf numFmtId="3" fontId="10" fillId="0" borderId="58" xfId="21" applyNumberFormat="1" applyFont="1" applyFill="1" applyBorder="1" applyAlignment="1">
      <alignment horizontal="right" vertical="center" wrapText="1"/>
    </xf>
    <xf numFmtId="3" fontId="10" fillId="0" borderId="229" xfId="21" applyNumberFormat="1" applyFont="1" applyFill="1" applyBorder="1" applyAlignment="1">
      <alignment horizontal="right" vertical="center" wrapText="1"/>
    </xf>
    <xf numFmtId="3" fontId="10" fillId="0" borderId="48" xfId="21" applyNumberFormat="1" applyFont="1" applyFill="1" applyBorder="1" applyAlignment="1">
      <alignment horizontal="center" vertical="center" wrapText="1"/>
    </xf>
    <xf numFmtId="3" fontId="10" fillId="0" borderId="49" xfId="21" applyNumberFormat="1" applyFont="1" applyFill="1" applyBorder="1" applyAlignment="1">
      <alignment horizontal="center" vertical="center" wrapText="1"/>
    </xf>
    <xf numFmtId="3" fontId="10" fillId="0" borderId="62" xfId="21" applyNumberFormat="1" applyFont="1" applyFill="1" applyBorder="1" applyAlignment="1">
      <alignment horizontal="right" vertical="center" wrapText="1"/>
    </xf>
    <xf numFmtId="3" fontId="10" fillId="0" borderId="49" xfId="21" applyNumberFormat="1" applyFont="1" applyFill="1" applyBorder="1" applyAlignment="1">
      <alignment horizontal="right" vertical="center" wrapText="1"/>
    </xf>
    <xf numFmtId="3" fontId="10" fillId="0" borderId="224" xfId="21" applyNumberFormat="1" applyFont="1" applyFill="1" applyBorder="1" applyAlignment="1">
      <alignment horizontal="right" wrapText="1"/>
    </xf>
    <xf numFmtId="3" fontId="10" fillId="0" borderId="239" xfId="21" applyNumberFormat="1" applyFont="1" applyFill="1" applyBorder="1" applyAlignment="1">
      <alignment horizontal="right" vertical="center" wrapText="1"/>
    </xf>
    <xf numFmtId="3" fontId="8" fillId="0" borderId="0" xfId="12" applyNumberFormat="1" applyFont="1" applyFill="1" applyBorder="1" applyAlignment="1">
      <alignment horizontal="left"/>
    </xf>
    <xf numFmtId="3" fontId="35" fillId="0" borderId="0" xfId="12" applyNumberFormat="1" applyFont="1" applyFill="1" applyBorder="1" applyAlignment="1">
      <alignment horizontal="left"/>
    </xf>
    <xf numFmtId="3" fontId="8" fillId="0" borderId="0" xfId="32" applyNumberFormat="1" applyFont="1" applyFill="1" applyBorder="1" applyAlignment="1">
      <alignment horizontal="right"/>
    </xf>
    <xf numFmtId="3" fontId="8" fillId="0" borderId="0" xfId="32" applyNumberFormat="1" applyFont="1" applyFill="1" applyBorder="1" applyAlignment="1">
      <alignment horizontal="right" wrapText="1"/>
    </xf>
    <xf numFmtId="3" fontId="10" fillId="0" borderId="0" xfId="32" applyNumberFormat="1" applyFont="1" applyFill="1" applyBorder="1" applyAlignment="1">
      <alignment horizontal="right"/>
    </xf>
    <xf numFmtId="0" fontId="8" fillId="0" borderId="0" xfId="31" applyFont="1" applyFill="1" applyBorder="1" applyAlignment="1">
      <alignment horizontal="left"/>
    </xf>
    <xf numFmtId="3" fontId="8" fillId="0" borderId="132" xfId="21" applyNumberFormat="1" applyFont="1" applyFill="1" applyBorder="1" applyAlignment="1">
      <alignment horizontal="right" wrapText="1"/>
    </xf>
    <xf numFmtId="3" fontId="8" fillId="0" borderId="120" xfId="21" applyNumberFormat="1" applyFont="1" applyFill="1" applyBorder="1" applyAlignment="1">
      <alignment horizontal="right" wrapText="1"/>
    </xf>
    <xf numFmtId="3" fontId="10" fillId="0" borderId="191" xfId="21" applyNumberFormat="1" applyFont="1" applyFill="1" applyBorder="1" applyAlignment="1">
      <alignment horizontal="right" wrapText="1"/>
    </xf>
    <xf numFmtId="0" fontId="41" fillId="0" borderId="58" xfId="31" applyFont="1" applyFill="1" applyBorder="1" applyAlignment="1">
      <alignment horizontal="center" wrapText="1"/>
    </xf>
    <xf numFmtId="0" fontId="8" fillId="0" borderId="17" xfId="21" applyFont="1" applyFill="1" applyBorder="1" applyAlignment="1">
      <alignment horizontal="left" shrinkToFit="1"/>
    </xf>
    <xf numFmtId="3" fontId="10" fillId="0" borderId="190" xfId="31" applyNumberFormat="1" applyFont="1" applyFill="1" applyBorder="1" applyAlignment="1">
      <alignment horizontal="right"/>
    </xf>
    <xf numFmtId="3" fontId="10" fillId="0" borderId="17" xfId="31" applyNumberFormat="1" applyFont="1" applyFill="1" applyBorder="1" applyAlignment="1">
      <alignment horizontal="right"/>
    </xf>
    <xf numFmtId="0" fontId="8" fillId="0" borderId="36" xfId="21" applyFont="1" applyFill="1" applyBorder="1" applyAlignment="1"/>
    <xf numFmtId="3" fontId="8" fillId="0" borderId="36" xfId="22" applyNumberFormat="1" applyFont="1" applyFill="1" applyBorder="1" applyAlignment="1">
      <alignment horizontal="left"/>
    </xf>
    <xf numFmtId="0" fontId="8" fillId="0" borderId="17" xfId="31" applyFont="1" applyFill="1" applyBorder="1" applyAlignment="1">
      <alignment horizontal="center" vertical="center"/>
    </xf>
    <xf numFmtId="0" fontId="8" fillId="0" borderId="36" xfId="21" applyFont="1" applyFill="1" applyBorder="1" applyAlignment="1">
      <alignment shrinkToFit="1"/>
    </xf>
    <xf numFmtId="3" fontId="8" fillId="0" borderId="49" xfId="21" applyNumberFormat="1" applyFont="1" applyFill="1" applyBorder="1" applyAlignment="1">
      <alignment horizontal="right"/>
    </xf>
    <xf numFmtId="3" fontId="8" fillId="0" borderId="49" xfId="21" applyNumberFormat="1" applyFont="1" applyFill="1" applyBorder="1" applyAlignment="1">
      <alignment horizontal="right" wrapText="1"/>
    </xf>
    <xf numFmtId="3" fontId="10" fillId="0" borderId="49" xfId="21" applyNumberFormat="1" applyFont="1" applyFill="1" applyBorder="1" applyAlignment="1">
      <alignment horizontal="right" wrapText="1"/>
    </xf>
    <xf numFmtId="3" fontId="8" fillId="0" borderId="241" xfId="31" applyNumberFormat="1" applyFont="1" applyFill="1" applyBorder="1" applyAlignment="1">
      <alignment horizontal="right"/>
    </xf>
    <xf numFmtId="3" fontId="10" fillId="0" borderId="61" xfId="21" applyNumberFormat="1" applyFont="1" applyFill="1" applyBorder="1" applyAlignment="1">
      <alignment horizontal="right" vertical="center" wrapText="1"/>
    </xf>
    <xf numFmtId="3" fontId="41" fillId="0" borderId="209" xfId="21" applyNumberFormat="1" applyFont="1" applyFill="1" applyBorder="1" applyAlignment="1">
      <alignment horizontal="right" vertical="center" wrapText="1"/>
    </xf>
    <xf numFmtId="3" fontId="10" fillId="0" borderId="24" xfId="21" applyNumberFormat="1" applyFont="1" applyFill="1" applyBorder="1" applyAlignment="1">
      <alignment horizontal="right" vertical="center" wrapText="1"/>
    </xf>
    <xf numFmtId="3" fontId="10" fillId="0" borderId="209" xfId="21" applyNumberFormat="1" applyFont="1" applyFill="1" applyBorder="1" applyAlignment="1">
      <alignment horizontal="right" vertical="center" wrapText="1"/>
    </xf>
    <xf numFmtId="3" fontId="10" fillId="0" borderId="224" xfId="21" applyNumberFormat="1" applyFont="1" applyFill="1" applyBorder="1" applyAlignment="1">
      <alignment horizontal="right" vertical="center" wrapText="1"/>
    </xf>
    <xf numFmtId="0" fontId="8" fillId="0" borderId="24" xfId="31" applyFont="1" applyFill="1" applyBorder="1" applyAlignment="1">
      <alignment horizontal="center"/>
    </xf>
    <xf numFmtId="0" fontId="45" fillId="0" borderId="17" xfId="21" applyFont="1" applyFill="1" applyBorder="1" applyAlignment="1">
      <alignment horizontal="left"/>
    </xf>
    <xf numFmtId="0" fontId="33" fillId="0" borderId="17" xfId="21" applyFont="1" applyFill="1" applyBorder="1" applyAlignment="1">
      <alignment horizontal="left"/>
    </xf>
    <xf numFmtId="3" fontId="42" fillId="0" borderId="17" xfId="21" applyNumberFormat="1" applyFont="1" applyFill="1" applyBorder="1" applyAlignment="1">
      <alignment horizontal="right"/>
    </xf>
    <xf numFmtId="0" fontId="8" fillId="0" borderId="46" xfId="31" applyFont="1" applyFill="1" applyBorder="1" applyAlignment="1">
      <alignment horizontal="center"/>
    </xf>
    <xf numFmtId="3" fontId="42" fillId="0" borderId="46" xfId="21" applyNumberFormat="1" applyFont="1" applyFill="1" applyBorder="1" applyAlignment="1">
      <alignment horizontal="right"/>
    </xf>
    <xf numFmtId="3" fontId="8" fillId="0" borderId="59" xfId="31" applyNumberFormat="1" applyFont="1" applyFill="1" applyBorder="1" applyAlignment="1">
      <alignment horizontal="right"/>
    </xf>
    <xf numFmtId="0" fontId="41" fillId="0" borderId="21" xfId="31" applyFont="1" applyFill="1" applyBorder="1" applyAlignment="1">
      <alignment horizontal="center" wrapText="1"/>
    </xf>
    <xf numFmtId="3" fontId="41" fillId="0" borderId="131" xfId="21" applyNumberFormat="1" applyFont="1" applyFill="1" applyBorder="1" applyAlignment="1">
      <alignment horizontal="right" wrapText="1"/>
    </xf>
    <xf numFmtId="3" fontId="41" fillId="0" borderId="46" xfId="21" applyNumberFormat="1" applyFont="1" applyFill="1" applyBorder="1" applyAlignment="1">
      <alignment horizontal="right" wrapText="1"/>
    </xf>
    <xf numFmtId="3" fontId="41" fillId="0" borderId="211" xfId="21" applyNumberFormat="1" applyFont="1" applyFill="1" applyBorder="1" applyAlignment="1">
      <alignment horizontal="right" wrapText="1"/>
    </xf>
    <xf numFmtId="3" fontId="41" fillId="0" borderId="210" xfId="31" applyNumberFormat="1" applyFont="1" applyFill="1" applyBorder="1" applyAlignment="1">
      <alignment horizontal="right"/>
    </xf>
    <xf numFmtId="3" fontId="10" fillId="0" borderId="131" xfId="21" applyNumberFormat="1" applyFont="1" applyFill="1" applyBorder="1" applyAlignment="1">
      <alignment horizontal="right" wrapText="1"/>
    </xf>
    <xf numFmtId="3" fontId="10" fillId="0" borderId="211" xfId="21" applyNumberFormat="1" applyFont="1" applyFill="1" applyBorder="1" applyAlignment="1">
      <alignment horizontal="right" wrapText="1"/>
    </xf>
    <xf numFmtId="0" fontId="8" fillId="0" borderId="52" xfId="31" applyFont="1" applyFill="1" applyBorder="1" applyAlignment="1">
      <alignment horizontal="center"/>
    </xf>
    <xf numFmtId="3" fontId="8" fillId="0" borderId="52" xfId="31" applyNumberFormat="1" applyFont="1" applyFill="1" applyBorder="1" applyAlignment="1">
      <alignment horizontal="right"/>
    </xf>
    <xf numFmtId="3" fontId="42" fillId="0" borderId="52" xfId="21" applyNumberFormat="1" applyFont="1" applyFill="1" applyBorder="1" applyAlignment="1">
      <alignment horizontal="right"/>
    </xf>
    <xf numFmtId="3" fontId="8" fillId="0" borderId="125" xfId="31" applyNumberFormat="1" applyFont="1" applyFill="1" applyBorder="1" applyAlignment="1">
      <alignment horizontal="right"/>
    </xf>
    <xf numFmtId="0" fontId="41" fillId="0" borderId="223" xfId="31" applyFont="1" applyFill="1" applyBorder="1" applyAlignment="1">
      <alignment horizontal="center" wrapText="1"/>
    </xf>
    <xf numFmtId="3" fontId="10" fillId="0" borderId="80" xfId="21" applyNumberFormat="1" applyFont="1" applyFill="1" applyBorder="1" applyAlignment="1">
      <alignment horizontal="right" wrapText="1"/>
    </xf>
    <xf numFmtId="3" fontId="41" fillId="0" borderId="40" xfId="31" applyNumberFormat="1" applyFont="1" applyFill="1" applyBorder="1" applyAlignment="1">
      <alignment horizontal="right"/>
    </xf>
    <xf numFmtId="0" fontId="8" fillId="0" borderId="212" xfId="31" applyFont="1" applyFill="1" applyBorder="1" applyAlignment="1">
      <alignment horizontal="center"/>
    </xf>
    <xf numFmtId="0" fontId="52" fillId="0" borderId="212" xfId="21" applyFont="1" applyFill="1" applyBorder="1" applyAlignment="1">
      <alignment horizontal="left"/>
    </xf>
    <xf numFmtId="3" fontId="8" fillId="0" borderId="212" xfId="21" applyNumberFormat="1" applyFont="1" applyFill="1" applyBorder="1" applyAlignment="1">
      <alignment horizontal="right"/>
    </xf>
    <xf numFmtId="0" fontId="10" fillId="0" borderId="213" xfId="31" applyFont="1" applyFill="1" applyBorder="1" applyAlignment="1">
      <alignment horizontal="center" wrapText="1"/>
    </xf>
    <xf numFmtId="3" fontId="10" fillId="0" borderId="214" xfId="21" applyNumberFormat="1" applyFont="1" applyFill="1" applyBorder="1" applyAlignment="1">
      <alignment horizontal="right" wrapText="1"/>
    </xf>
    <xf numFmtId="3" fontId="41" fillId="0" borderId="215" xfId="31" applyNumberFormat="1" applyFont="1" applyFill="1" applyBorder="1" applyAlignment="1">
      <alignment horizontal="right"/>
    </xf>
    <xf numFmtId="0" fontId="8" fillId="0" borderId="15" xfId="31" applyFont="1" applyFill="1" applyBorder="1" applyAlignment="1">
      <alignment horizontal="center"/>
    </xf>
    <xf numFmtId="3" fontId="8" fillId="0" borderId="15" xfId="21" applyNumberFormat="1" applyFont="1" applyFill="1" applyBorder="1" applyAlignment="1">
      <alignment horizontal="right"/>
    </xf>
    <xf numFmtId="3" fontId="8" fillId="0" borderId="115" xfId="21" applyNumberFormat="1" applyFont="1" applyFill="1" applyBorder="1" applyAlignment="1">
      <alignment horizontal="right"/>
    </xf>
    <xf numFmtId="0" fontId="10" fillId="0" borderId="121" xfId="31" applyFont="1" applyFill="1" applyBorder="1" applyAlignment="1">
      <alignment horizontal="center" wrapText="1"/>
    </xf>
    <xf numFmtId="3" fontId="10" fillId="0" borderId="15" xfId="21" applyNumberFormat="1" applyFont="1" applyFill="1" applyBorder="1" applyAlignment="1">
      <alignment horizontal="right" wrapText="1"/>
    </xf>
    <xf numFmtId="3" fontId="10" fillId="0" borderId="195" xfId="21" applyNumberFormat="1" applyFont="1" applyFill="1" applyBorder="1" applyAlignment="1">
      <alignment horizontal="right" wrapText="1"/>
    </xf>
    <xf numFmtId="3" fontId="41" fillId="0" borderId="233" xfId="31" applyNumberFormat="1" applyFont="1" applyFill="1" applyBorder="1" applyAlignment="1">
      <alignment horizontal="right"/>
    </xf>
    <xf numFmtId="3" fontId="8" fillId="0" borderId="26" xfId="21" applyNumberFormat="1" applyFont="1" applyFill="1" applyBorder="1" applyAlignment="1">
      <alignment horizontal="right"/>
    </xf>
    <xf numFmtId="0" fontId="10" fillId="0" borderId="79" xfId="31" applyFont="1" applyFill="1" applyBorder="1" applyAlignment="1">
      <alignment horizontal="center" wrapText="1"/>
    </xf>
    <xf numFmtId="3" fontId="10" fillId="0" borderId="24" xfId="21" applyNumberFormat="1" applyFont="1" applyFill="1" applyBorder="1" applyAlignment="1">
      <alignment horizontal="right" wrapText="1"/>
    </xf>
    <xf numFmtId="3" fontId="41" fillId="0" borderId="124" xfId="31" applyNumberFormat="1" applyFont="1" applyFill="1" applyBorder="1" applyAlignment="1">
      <alignment horizontal="right"/>
    </xf>
    <xf numFmtId="3" fontId="8" fillId="0" borderId="23" xfId="21" applyNumberFormat="1" applyFont="1" applyFill="1" applyBorder="1" applyAlignment="1">
      <alignment horizontal="right"/>
    </xf>
    <xf numFmtId="0" fontId="10" fillId="0" borderId="58" xfId="31" applyFont="1" applyFill="1" applyBorder="1" applyAlignment="1">
      <alignment horizontal="center" wrapText="1"/>
    </xf>
    <xf numFmtId="3" fontId="41" fillId="0" borderId="229" xfId="31" applyNumberFormat="1" applyFont="1" applyFill="1" applyBorder="1" applyAlignment="1">
      <alignment horizontal="right"/>
    </xf>
    <xf numFmtId="0" fontId="8" fillId="0" borderId="49" xfId="31" applyFont="1" applyFill="1" applyBorder="1" applyAlignment="1">
      <alignment horizontal="center"/>
    </xf>
    <xf numFmtId="3" fontId="8" fillId="0" borderId="60" xfId="21" applyNumberFormat="1" applyFont="1" applyFill="1" applyBorder="1" applyAlignment="1">
      <alignment horizontal="right"/>
    </xf>
    <xf numFmtId="0" fontId="10" fillId="0" borderId="62" xfId="31" applyFont="1" applyFill="1" applyBorder="1" applyAlignment="1">
      <alignment horizontal="center" wrapText="1"/>
    </xf>
    <xf numFmtId="3" fontId="41" fillId="0" borderId="239" xfId="31" applyNumberFormat="1" applyFont="1" applyFill="1" applyBorder="1" applyAlignment="1">
      <alignment horizontal="right"/>
    </xf>
    <xf numFmtId="0" fontId="45" fillId="0" borderId="24" xfId="21" applyFont="1" applyFill="1" applyBorder="1" applyAlignment="1">
      <alignment horizontal="left"/>
    </xf>
    <xf numFmtId="3" fontId="42" fillId="0" borderId="24" xfId="21" applyNumberFormat="1" applyFont="1" applyFill="1" applyBorder="1" applyAlignment="1">
      <alignment horizontal="right"/>
    </xf>
    <xf numFmtId="3" fontId="42" fillId="0" borderId="26" xfId="31" applyNumberFormat="1" applyFont="1" applyFill="1" applyBorder="1" applyAlignment="1">
      <alignment horizontal="right"/>
    </xf>
    <xf numFmtId="3" fontId="41" fillId="0" borderId="81" xfId="21" applyNumberFormat="1" applyFont="1" applyFill="1" applyBorder="1" applyAlignment="1">
      <alignment horizontal="right" wrapText="1"/>
    </xf>
    <xf numFmtId="3" fontId="41" fillId="0" borderId="24" xfId="21" applyNumberFormat="1" applyFont="1" applyFill="1" applyBorder="1" applyAlignment="1">
      <alignment horizontal="right" wrapText="1"/>
    </xf>
    <xf numFmtId="3" fontId="42" fillId="0" borderId="24" xfId="21" applyNumberFormat="1" applyFont="1" applyFill="1" applyBorder="1" applyAlignment="1">
      <alignment horizontal="right" wrapText="1"/>
    </xf>
    <xf numFmtId="3" fontId="41" fillId="0" borderId="209" xfId="21" applyNumberFormat="1" applyFont="1" applyFill="1" applyBorder="1" applyAlignment="1">
      <alignment horizontal="right" wrapText="1"/>
    </xf>
    <xf numFmtId="3" fontId="41" fillId="0" borderId="83" xfId="31" applyNumberFormat="1" applyFont="1" applyFill="1" applyBorder="1" applyAlignment="1">
      <alignment horizontal="right"/>
    </xf>
    <xf numFmtId="3" fontId="41" fillId="0" borderId="17" xfId="31" applyNumberFormat="1" applyFont="1" applyFill="1" applyBorder="1" applyAlignment="1">
      <alignment horizontal="right"/>
    </xf>
    <xf numFmtId="3" fontId="41" fillId="0" borderId="17" xfId="21" applyNumberFormat="1" applyFont="1" applyFill="1" applyBorder="1" applyAlignment="1">
      <alignment horizontal="right"/>
    </xf>
    <xf numFmtId="3" fontId="41" fillId="0" borderId="23" xfId="31" applyNumberFormat="1" applyFont="1" applyFill="1" applyBorder="1" applyAlignment="1">
      <alignment horizontal="right"/>
    </xf>
    <xf numFmtId="3" fontId="23" fillId="0" borderId="17" xfId="21" applyNumberFormat="1" applyFont="1" applyFill="1" applyBorder="1" applyAlignment="1">
      <alignment horizontal="right" wrapText="1"/>
    </xf>
    <xf numFmtId="3" fontId="10" fillId="0" borderId="23" xfId="21" applyNumberFormat="1" applyFont="1" applyFill="1" applyBorder="1" applyAlignment="1">
      <alignment horizontal="right" wrapText="1"/>
    </xf>
    <xf numFmtId="0" fontId="8" fillId="0" borderId="36" xfId="21" applyFont="1" applyFill="1" applyBorder="1" applyAlignment="1">
      <alignment horizontal="left"/>
    </xf>
    <xf numFmtId="3" fontId="8" fillId="0" borderId="36" xfId="22" applyNumberFormat="1" applyFont="1" applyFill="1" applyBorder="1" applyAlignment="1">
      <alignment horizontal="left" wrapText="1"/>
    </xf>
    <xf numFmtId="0" fontId="41" fillId="0" borderId="17" xfId="21" applyFont="1" applyFill="1" applyBorder="1" applyAlignment="1"/>
    <xf numFmtId="3" fontId="8" fillId="0" borderId="46" xfId="21" applyNumberFormat="1" applyFont="1" applyFill="1" applyBorder="1" applyAlignment="1">
      <alignment horizontal="right"/>
    </xf>
    <xf numFmtId="0" fontId="8" fillId="0" borderId="21" xfId="31" applyFont="1" applyFill="1" applyBorder="1" applyAlignment="1">
      <alignment horizontal="center" wrapText="1"/>
    </xf>
    <xf numFmtId="3" fontId="8" fillId="0" borderId="131" xfId="21" applyNumberFormat="1" applyFont="1" applyFill="1" applyBorder="1" applyAlignment="1">
      <alignment horizontal="right" wrapText="1"/>
    </xf>
    <xf numFmtId="3" fontId="8" fillId="0" borderId="46" xfId="21" applyNumberFormat="1" applyFont="1" applyFill="1" applyBorder="1" applyAlignment="1">
      <alignment horizontal="right" wrapText="1"/>
    </xf>
    <xf numFmtId="3" fontId="8" fillId="0" borderId="210" xfId="31" applyNumberFormat="1" applyFont="1" applyFill="1" applyBorder="1" applyAlignment="1">
      <alignment horizontal="right"/>
    </xf>
    <xf numFmtId="0" fontId="8" fillId="0" borderId="59" xfId="31" applyFont="1" applyFill="1" applyBorder="1" applyAlignment="1">
      <alignment horizontal="center"/>
    </xf>
    <xf numFmtId="0" fontId="8" fillId="0" borderId="23" xfId="31" applyFont="1" applyFill="1" applyBorder="1" applyAlignment="1">
      <alignment horizontal="center"/>
    </xf>
    <xf numFmtId="3" fontId="8" fillId="0" borderId="52" xfId="21" applyNumberFormat="1" applyFont="1" applyFill="1" applyBorder="1" applyAlignment="1">
      <alignment horizontal="right"/>
    </xf>
    <xf numFmtId="0" fontId="8" fillId="0" borderId="223" xfId="31" applyFont="1" applyFill="1" applyBorder="1" applyAlignment="1">
      <alignment horizontal="center" wrapText="1"/>
    </xf>
    <xf numFmtId="3" fontId="8" fillId="0" borderId="80" xfId="21" applyNumberFormat="1" applyFont="1" applyFill="1" applyBorder="1" applyAlignment="1">
      <alignment horizontal="right" wrapText="1"/>
    </xf>
    <xf numFmtId="3" fontId="8" fillId="0" borderId="40" xfId="31" applyNumberFormat="1" applyFont="1" applyFill="1" applyBorder="1" applyAlignment="1">
      <alignment horizontal="right"/>
    </xf>
    <xf numFmtId="0" fontId="8" fillId="0" borderId="56" xfId="31" applyFont="1" applyFill="1" applyBorder="1" applyAlignment="1">
      <alignment horizontal="center" vertical="top"/>
    </xf>
    <xf numFmtId="0" fontId="52" fillId="0" borderId="56" xfId="21" applyFont="1" applyFill="1" applyBorder="1" applyAlignment="1">
      <alignment horizontal="left"/>
    </xf>
    <xf numFmtId="3" fontId="8" fillId="0" borderId="56" xfId="31" applyNumberFormat="1" applyFont="1" applyFill="1" applyBorder="1" applyAlignment="1">
      <alignment horizontal="right"/>
    </xf>
    <xf numFmtId="0" fontId="8" fillId="0" borderId="216" xfId="31" applyFont="1" applyFill="1" applyBorder="1" applyAlignment="1">
      <alignment horizontal="center" wrapText="1"/>
    </xf>
    <xf numFmtId="3" fontId="10" fillId="0" borderId="147" xfId="31" applyNumberFormat="1" applyFont="1" applyFill="1" applyBorder="1" applyAlignment="1">
      <alignment horizontal="right"/>
    </xf>
    <xf numFmtId="3" fontId="8" fillId="0" borderId="41" xfId="31" applyNumberFormat="1" applyFont="1" applyFill="1" applyBorder="1" applyAlignment="1">
      <alignment horizontal="right"/>
    </xf>
    <xf numFmtId="0" fontId="8" fillId="0" borderId="24" xfId="31" applyFont="1" applyFill="1" applyBorder="1" applyAlignment="1">
      <alignment horizontal="center" vertical="top"/>
    </xf>
    <xf numFmtId="0" fontId="8" fillId="0" borderId="61" xfId="31" applyFont="1" applyFill="1" applyBorder="1" applyAlignment="1">
      <alignment horizontal="center" wrapText="1"/>
    </xf>
    <xf numFmtId="3" fontId="41" fillId="0" borderId="24" xfId="31" applyNumberFormat="1" applyFont="1" applyFill="1" applyBorder="1" applyAlignment="1">
      <alignment horizontal="right"/>
    </xf>
    <xf numFmtId="3" fontId="41" fillId="0" borderId="182" xfId="31" applyNumberFormat="1" applyFont="1" applyFill="1" applyBorder="1" applyAlignment="1">
      <alignment horizontal="right"/>
    </xf>
    <xf numFmtId="3" fontId="8" fillId="0" borderId="124" xfId="31" applyNumberFormat="1" applyFont="1" applyFill="1" applyBorder="1" applyAlignment="1">
      <alignment horizontal="right"/>
    </xf>
    <xf numFmtId="3" fontId="10" fillId="0" borderId="24" xfId="31" applyNumberFormat="1" applyFont="1" applyFill="1" applyBorder="1" applyAlignment="1">
      <alignment horizontal="right"/>
    </xf>
    <xf numFmtId="3" fontId="10" fillId="0" borderId="49" xfId="31" applyNumberFormat="1" applyFont="1" applyFill="1" applyBorder="1" applyAlignment="1">
      <alignment horizontal="right"/>
    </xf>
    <xf numFmtId="3" fontId="10" fillId="0" borderId="224" xfId="31" applyNumberFormat="1" applyFont="1" applyFill="1" applyBorder="1" applyAlignment="1">
      <alignment horizontal="right"/>
    </xf>
    <xf numFmtId="0" fontId="37" fillId="0" borderId="24" xfId="31" applyFont="1" applyFill="1" applyBorder="1" applyAlignment="1">
      <alignment wrapText="1"/>
    </xf>
    <xf numFmtId="3" fontId="10" fillId="0" borderId="26" xfId="21" applyNumberFormat="1" applyFont="1" applyFill="1" applyBorder="1" applyAlignment="1">
      <alignment horizontal="center" vertical="center" wrapText="1"/>
    </xf>
    <xf numFmtId="3" fontId="8" fillId="0" borderId="79" xfId="21" applyNumberFormat="1" applyFont="1" applyFill="1" applyBorder="1" applyAlignment="1">
      <alignment horizontal="right" vertical="center" wrapText="1"/>
    </xf>
    <xf numFmtId="3" fontId="10" fillId="0" borderId="83" xfId="21" applyNumberFormat="1" applyFont="1" applyFill="1" applyBorder="1" applyAlignment="1">
      <alignment horizontal="right" vertical="center" wrapText="1"/>
    </xf>
    <xf numFmtId="3" fontId="10" fillId="0" borderId="23" xfId="21" applyNumberFormat="1" applyFont="1" applyFill="1" applyBorder="1" applyAlignment="1">
      <alignment horizontal="center" vertical="center" wrapText="1"/>
    </xf>
    <xf numFmtId="3" fontId="8" fillId="0" borderId="58" xfId="21" applyNumberFormat="1" applyFont="1" applyFill="1" applyBorder="1" applyAlignment="1">
      <alignment horizontal="right" vertical="center" wrapText="1"/>
    </xf>
    <xf numFmtId="3" fontId="11" fillId="0" borderId="17" xfId="21" applyNumberFormat="1" applyFont="1" applyFill="1" applyBorder="1" applyAlignment="1">
      <alignment horizontal="right" vertical="center" wrapText="1"/>
    </xf>
    <xf numFmtId="3" fontId="10" fillId="0" borderId="84" xfId="21" applyNumberFormat="1" applyFont="1" applyFill="1" applyBorder="1" applyAlignment="1">
      <alignment horizontal="right" vertical="center" wrapText="1"/>
    </xf>
    <xf numFmtId="3" fontId="10" fillId="0" borderId="60" xfId="21" applyNumberFormat="1" applyFont="1" applyFill="1" applyBorder="1" applyAlignment="1">
      <alignment horizontal="center" vertical="center" wrapText="1"/>
    </xf>
    <xf numFmtId="3" fontId="8" fillId="0" borderId="62" xfId="21" applyNumberFormat="1" applyFont="1" applyFill="1" applyBorder="1" applyAlignment="1">
      <alignment horizontal="right" vertical="center" wrapText="1"/>
    </xf>
    <xf numFmtId="3" fontId="10" fillId="0" borderId="241" xfId="21" applyNumberFormat="1" applyFont="1" applyFill="1" applyBorder="1" applyAlignment="1">
      <alignment horizontal="right" vertical="center" wrapText="1"/>
    </xf>
    <xf numFmtId="0" fontId="12" fillId="0" borderId="0" xfId="0" applyFont="1" applyFill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textRotation="90"/>
    </xf>
    <xf numFmtId="0" fontId="8" fillId="0" borderId="2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4" fontId="8" fillId="0" borderId="3" xfId="0" applyNumberFormat="1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left" vertical="top" wrapText="1"/>
    </xf>
    <xf numFmtId="4" fontId="8" fillId="0" borderId="0" xfId="0" applyNumberFormat="1" applyFont="1" applyFill="1" applyBorder="1" applyAlignment="1"/>
    <xf numFmtId="4" fontId="12" fillId="0" borderId="19" xfId="0" applyNumberFormat="1" applyFont="1" applyFill="1" applyBorder="1" applyAlignment="1">
      <alignment horizontal="center"/>
    </xf>
    <xf numFmtId="4" fontId="12" fillId="0" borderId="19" xfId="0" applyNumberFormat="1" applyFont="1" applyFill="1" applyBorder="1" applyAlignment="1">
      <alignment horizontal="center" wrapText="1"/>
    </xf>
    <xf numFmtId="164" fontId="11" fillId="0" borderId="0" xfId="0" applyNumberFormat="1" applyFont="1" applyFill="1" applyBorder="1" applyAlignment="1">
      <alignment horizontal="left" vertical="top" wrapText="1" indent="2"/>
    </xf>
    <xf numFmtId="4" fontId="8" fillId="0" borderId="0" xfId="0" applyNumberFormat="1" applyFont="1" applyFill="1" applyBorder="1" applyAlignment="1">
      <alignment vertical="top"/>
    </xf>
    <xf numFmtId="4" fontId="12" fillId="0" borderId="19" xfId="0" applyNumberFormat="1" applyFont="1" applyFill="1" applyBorder="1" applyAlignment="1">
      <alignment horizontal="center" vertical="top"/>
    </xf>
    <xf numFmtId="0" fontId="8" fillId="0" borderId="0" xfId="0" applyFont="1" applyFill="1" applyBorder="1" applyAlignment="1">
      <alignment vertical="top" wrapText="1"/>
    </xf>
    <xf numFmtId="49" fontId="12" fillId="0" borderId="19" xfId="0" applyNumberFormat="1" applyFont="1" applyFill="1" applyBorder="1" applyAlignment="1">
      <alignment horizontal="center" wrapText="1"/>
    </xf>
    <xf numFmtId="164" fontId="8" fillId="0" borderId="0" xfId="28" applyNumberFormat="1" applyFont="1" applyFill="1" applyBorder="1" applyAlignment="1">
      <alignment vertical="top" wrapText="1"/>
    </xf>
    <xf numFmtId="4" fontId="12" fillId="0" borderId="19" xfId="0" applyNumberFormat="1" applyFont="1" applyFill="1" applyBorder="1" applyAlignment="1">
      <alignment horizontal="center" vertical="center"/>
    </xf>
    <xf numFmtId="164" fontId="8" fillId="0" borderId="0" xfId="28" applyNumberFormat="1" applyFont="1" applyFill="1" applyBorder="1" applyAlignment="1">
      <alignment wrapText="1"/>
    </xf>
    <xf numFmtId="164" fontId="8" fillId="0" borderId="0" xfId="0" applyNumberFormat="1" applyFont="1" applyFill="1" applyBorder="1" applyAlignment="1">
      <alignment horizontal="left" wrapText="1"/>
    </xf>
    <xf numFmtId="4" fontId="12" fillId="0" borderId="19" xfId="0" applyNumberFormat="1" applyFont="1" applyFill="1" applyBorder="1" applyAlignment="1">
      <alignment horizontal="center" vertical="top" wrapText="1"/>
    </xf>
    <xf numFmtId="164" fontId="11" fillId="0" borderId="19" xfId="0" applyNumberFormat="1" applyFont="1" applyFill="1" applyBorder="1" applyAlignment="1">
      <alignment horizontal="left" vertical="top" wrapText="1" indent="2"/>
    </xf>
    <xf numFmtId="0" fontId="8" fillId="0" borderId="114" xfId="0" applyFont="1" applyFill="1" applyBorder="1" applyAlignment="1">
      <alignment horizontal="center"/>
    </xf>
    <xf numFmtId="164" fontId="8" fillId="0" borderId="128" xfId="28" applyNumberFormat="1" applyFont="1" applyFill="1" applyBorder="1" applyAlignment="1">
      <alignment wrapText="1"/>
    </xf>
    <xf numFmtId="4" fontId="8" fillId="0" borderId="128" xfId="0" applyNumberFormat="1" applyFont="1" applyFill="1" applyBorder="1" applyAlignment="1">
      <alignment vertical="center"/>
    </xf>
    <xf numFmtId="4" fontId="12" fillId="0" borderId="129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164" fontId="10" fillId="0" borderId="6" xfId="0" applyNumberFormat="1" applyFont="1" applyFill="1" applyBorder="1" applyAlignment="1">
      <alignment vertical="center" wrapText="1"/>
    </xf>
    <xf numFmtId="4" fontId="10" fillId="0" borderId="6" xfId="0" applyNumberFormat="1" applyFont="1" applyFill="1" applyBorder="1" applyAlignment="1">
      <alignment vertical="center"/>
    </xf>
    <xf numFmtId="4" fontId="17" fillId="0" borderId="20" xfId="0" applyNumberFormat="1" applyFont="1" applyFill="1" applyBorder="1" applyAlignment="1">
      <alignment horizontal="center" vertical="center"/>
    </xf>
    <xf numFmtId="4" fontId="12" fillId="0" borderId="19" xfId="0" applyNumberFormat="1" applyFont="1" applyFill="1" applyBorder="1" applyAlignment="1">
      <alignment horizontal="center" vertical="center" wrapText="1"/>
    </xf>
    <xf numFmtId="164" fontId="11" fillId="0" borderId="0" xfId="0" applyNumberFormat="1" applyFont="1" applyFill="1" applyBorder="1" applyAlignment="1">
      <alignment horizontal="left" vertical="center" wrapText="1" indent="2"/>
    </xf>
    <xf numFmtId="0" fontId="8" fillId="0" borderId="112" xfId="0" applyFont="1" applyFill="1" applyBorder="1" applyAlignment="1">
      <alignment horizontal="center" vertical="center"/>
    </xf>
    <xf numFmtId="164" fontId="10" fillId="0" borderId="39" xfId="0" applyNumberFormat="1" applyFont="1" applyFill="1" applyBorder="1" applyAlignment="1">
      <alignment vertical="center" wrapText="1"/>
    </xf>
    <xf numFmtId="4" fontId="10" fillId="0" borderId="39" xfId="0" applyNumberFormat="1" applyFont="1" applyFill="1" applyBorder="1" applyAlignment="1">
      <alignment vertical="center"/>
    </xf>
    <xf numFmtId="4" fontId="17" fillId="0" borderId="113" xfId="0" applyNumberFormat="1" applyFont="1" applyFill="1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left" vertical="center" wrapText="1" indent="3"/>
    </xf>
    <xf numFmtId="164" fontId="11" fillId="0" borderId="6" xfId="0" applyNumberFormat="1" applyFont="1" applyFill="1" applyBorder="1" applyAlignment="1">
      <alignment horizontal="left" vertical="center" wrapText="1" indent="3"/>
    </xf>
    <xf numFmtId="4" fontId="8" fillId="0" borderId="6" xfId="0" applyNumberFormat="1" applyFont="1" applyFill="1" applyBorder="1" applyAlignment="1">
      <alignment vertical="center"/>
    </xf>
    <xf numFmtId="4" fontId="12" fillId="0" borderId="20" xfId="0" applyNumberFormat="1" applyFont="1" applyFill="1" applyBorder="1" applyAlignment="1">
      <alignment horizontal="center" vertical="center"/>
    </xf>
    <xf numFmtId="3" fontId="16" fillId="0" borderId="0" xfId="22" applyNumberFormat="1" applyFont="1" applyBorder="1" applyAlignment="1">
      <alignment horizontal="center"/>
    </xf>
    <xf numFmtId="0" fontId="8" fillId="0" borderId="65" xfId="22" applyNumberFormat="1" applyFont="1" applyBorder="1" applyAlignment="1">
      <alignment horizontal="center" vertical="center" wrapText="1"/>
    </xf>
    <xf numFmtId="3" fontId="16" fillId="0" borderId="0" xfId="22" applyNumberFormat="1" applyFont="1" applyBorder="1" applyAlignment="1">
      <alignment horizontal="center" vertical="center" wrapText="1"/>
    </xf>
    <xf numFmtId="3" fontId="8" fillId="0" borderId="0" xfId="22" applyNumberFormat="1" applyFont="1" applyBorder="1" applyAlignment="1">
      <alignment horizontal="center" vertical="center" wrapText="1"/>
    </xf>
    <xf numFmtId="0" fontId="8" fillId="0" borderId="120" xfId="22" applyNumberFormat="1" applyFont="1" applyBorder="1" applyAlignment="1">
      <alignment horizontal="center" vertical="center" wrapText="1"/>
    </xf>
    <xf numFmtId="3" fontId="8" fillId="0" borderId="18" xfId="22" applyNumberFormat="1" applyFont="1" applyFill="1" applyBorder="1" applyAlignment="1">
      <alignment horizontal="right" vertical="center" wrapText="1"/>
    </xf>
    <xf numFmtId="3" fontId="8" fillId="0" borderId="17" xfId="22" applyNumberFormat="1" applyFont="1" applyFill="1" applyBorder="1" applyAlignment="1">
      <alignment horizontal="left" vertical="center" wrapText="1"/>
    </xf>
    <xf numFmtId="3" fontId="35" fillId="0" borderId="17" xfId="22" applyNumberFormat="1" applyFont="1" applyBorder="1" applyAlignment="1">
      <alignment horizontal="right" vertical="center" wrapText="1"/>
    </xf>
    <xf numFmtId="3" fontId="8" fillId="0" borderId="58" xfId="22" applyNumberFormat="1" applyFont="1" applyFill="1" applyBorder="1" applyAlignment="1">
      <alignment horizontal="right" vertical="center" wrapText="1"/>
    </xf>
    <xf numFmtId="3" fontId="8" fillId="0" borderId="17" xfId="22" applyNumberFormat="1" applyFont="1" applyFill="1" applyBorder="1" applyAlignment="1">
      <alignment horizontal="right" vertical="center" wrapText="1"/>
    </xf>
    <xf numFmtId="0" fontId="8" fillId="0" borderId="52" xfId="0" applyFont="1" applyFill="1" applyBorder="1" applyAlignment="1">
      <alignment vertical="center" wrapText="1"/>
    </xf>
    <xf numFmtId="3" fontId="8" fillId="0" borderId="79" xfId="22" applyNumberFormat="1" applyFont="1" applyFill="1" applyBorder="1" applyAlignment="1">
      <alignment horizontal="right" vertical="center" wrapText="1"/>
    </xf>
    <xf numFmtId="3" fontId="8" fillId="0" borderId="81" xfId="22" applyNumberFormat="1" applyFont="1" applyFill="1" applyBorder="1" applyAlignment="1">
      <alignment horizontal="right" vertical="center" wrapText="1"/>
    </xf>
    <xf numFmtId="14" fontId="8" fillId="0" borderId="190" xfId="22" applyNumberFormat="1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wrapText="1"/>
    </xf>
    <xf numFmtId="3" fontId="8" fillId="0" borderId="16" xfId="22" applyNumberFormat="1" applyFont="1" applyFill="1" applyBorder="1" applyAlignment="1">
      <alignment horizontal="center" vertical="center" wrapText="1"/>
    </xf>
    <xf numFmtId="3" fontId="8" fillId="0" borderId="17" xfId="22" applyNumberFormat="1" applyFont="1" applyFill="1" applyBorder="1" applyAlignment="1">
      <alignment horizontal="center" vertical="center" wrapText="1"/>
    </xf>
    <xf numFmtId="0" fontId="8" fillId="0" borderId="17" xfId="21" applyFont="1" applyFill="1" applyBorder="1" applyAlignment="1">
      <alignment vertical="center"/>
    </xf>
    <xf numFmtId="3" fontId="8" fillId="0" borderId="0" xfId="22" applyNumberFormat="1" applyFont="1" applyBorder="1" applyAlignment="1">
      <alignment horizontal="right" vertical="center" wrapText="1"/>
    </xf>
    <xf numFmtId="0" fontId="8" fillId="0" borderId="52" xfId="22" applyNumberFormat="1" applyFont="1" applyBorder="1" applyAlignment="1">
      <alignment horizontal="center" vertical="center" wrapText="1"/>
    </xf>
    <xf numFmtId="3" fontId="8" fillId="0" borderId="53" xfId="22" applyNumberFormat="1" applyFont="1" applyFill="1" applyBorder="1" applyAlignment="1">
      <alignment horizontal="center" vertical="center" wrapText="1"/>
    </xf>
    <xf numFmtId="0" fontId="10" fillId="0" borderId="67" xfId="0" applyFont="1" applyFill="1" applyBorder="1" applyAlignment="1">
      <alignment horizontal="left"/>
    </xf>
    <xf numFmtId="0" fontId="10" fillId="0" borderId="85" xfId="0" applyFont="1" applyFill="1" applyBorder="1" applyAlignment="1">
      <alignment horizontal="center"/>
    </xf>
    <xf numFmtId="3" fontId="10" fillId="0" borderId="86" xfId="0" applyNumberFormat="1" applyFont="1" applyFill="1" applyBorder="1" applyAlignment="1">
      <alignment horizontal="center" wrapText="1"/>
    </xf>
    <xf numFmtId="0" fontId="10" fillId="0" borderId="87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/>
    </xf>
    <xf numFmtId="3" fontId="10" fillId="0" borderId="88" xfId="0" applyNumberFormat="1" applyFont="1" applyFill="1" applyBorder="1" applyAlignment="1">
      <alignment horizontal="center" wrapText="1"/>
    </xf>
    <xf numFmtId="3" fontId="8" fillId="0" borderId="89" xfId="0" applyNumberFormat="1" applyFont="1" applyFill="1" applyBorder="1"/>
    <xf numFmtId="0" fontId="8" fillId="0" borderId="90" xfId="0" applyFont="1" applyFill="1" applyBorder="1" applyAlignment="1">
      <alignment horizontal="center"/>
    </xf>
    <xf numFmtId="3" fontId="8" fillId="0" borderId="161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wrapText="1"/>
    </xf>
    <xf numFmtId="0" fontId="8" fillId="0" borderId="9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vertical="top"/>
    </xf>
    <xf numFmtId="0" fontId="10" fillId="0" borderId="68" xfId="0" applyFont="1" applyFill="1" applyBorder="1" applyAlignment="1">
      <alignment horizontal="right" vertical="center"/>
    </xf>
    <xf numFmtId="0" fontId="10" fillId="0" borderId="8" xfId="0" applyFont="1" applyFill="1" applyBorder="1" applyAlignment="1">
      <alignment horizontal="left" vertical="center"/>
    </xf>
    <xf numFmtId="3" fontId="10" fillId="0" borderId="91" xfId="0" applyNumberFormat="1" applyFont="1" applyFill="1" applyBorder="1" applyAlignment="1">
      <alignment vertical="center"/>
    </xf>
    <xf numFmtId="3" fontId="10" fillId="0" borderId="92" xfId="0" applyNumberFormat="1" applyFont="1" applyFill="1" applyBorder="1" applyAlignment="1">
      <alignment horizontal="center" vertical="center"/>
    </xf>
    <xf numFmtId="3" fontId="10" fillId="0" borderId="157" xfId="0" applyNumberFormat="1" applyFont="1" applyFill="1" applyBorder="1" applyAlignment="1">
      <alignment horizontal="right" vertical="center"/>
    </xf>
    <xf numFmtId="0" fontId="10" fillId="0" borderId="4" xfId="0" applyFont="1" applyFill="1" applyBorder="1" applyAlignment="1">
      <alignment horizontal="left"/>
    </xf>
    <xf numFmtId="3" fontId="10" fillId="0" borderId="89" xfId="0" applyNumberFormat="1" applyFont="1" applyFill="1" applyBorder="1" applyAlignment="1">
      <alignment horizontal="right"/>
    </xf>
    <xf numFmtId="0" fontId="10" fillId="0" borderId="90" xfId="0" applyFont="1" applyFill="1" applyBorder="1" applyAlignment="1">
      <alignment horizontal="center"/>
    </xf>
    <xf numFmtId="3" fontId="8" fillId="0" borderId="161" xfId="0" applyNumberFormat="1" applyFont="1" applyFill="1" applyBorder="1" applyAlignment="1">
      <alignment horizontal="right" vertical="center" textRotation="180"/>
    </xf>
    <xf numFmtId="3" fontId="8" fillId="0" borderId="19" xfId="0" applyNumberFormat="1" applyFont="1" applyFill="1" applyBorder="1" applyAlignment="1">
      <alignment horizontal="right" vertical="center" textRotation="180"/>
    </xf>
    <xf numFmtId="0" fontId="8" fillId="0" borderId="0" xfId="0" applyFont="1" applyFill="1" applyBorder="1" applyAlignment="1">
      <alignment horizontal="left"/>
    </xf>
    <xf numFmtId="3" fontId="8" fillId="0" borderId="89" xfId="0" applyNumberFormat="1" applyFont="1" applyFill="1" applyBorder="1" applyAlignment="1">
      <alignment horizontal="right"/>
    </xf>
    <xf numFmtId="1" fontId="8" fillId="0" borderId="90" xfId="0" applyNumberFormat="1" applyFont="1" applyFill="1" applyBorder="1" applyAlignment="1">
      <alignment horizontal="center"/>
    </xf>
    <xf numFmtId="0" fontId="10" fillId="0" borderId="69" xfId="0" applyFont="1" applyFill="1" applyBorder="1" applyAlignment="1">
      <alignment horizontal="right" vertical="center"/>
    </xf>
    <xf numFmtId="0" fontId="10" fillId="0" borderId="34" xfId="0" applyFont="1" applyFill="1" applyBorder="1" applyAlignment="1">
      <alignment horizontal="left" vertical="center"/>
    </xf>
    <xf numFmtId="3" fontId="10" fillId="0" borderId="104" xfId="0" applyNumberFormat="1" applyFont="1" applyFill="1" applyBorder="1" applyAlignment="1">
      <alignment horizontal="right" vertical="center"/>
    </xf>
    <xf numFmtId="3" fontId="10" fillId="0" borderId="94" xfId="0" applyNumberFormat="1" applyFont="1" applyFill="1" applyBorder="1" applyAlignment="1">
      <alignment horizontal="center" vertical="center"/>
    </xf>
    <xf numFmtId="3" fontId="10" fillId="0" borderId="236" xfId="0" applyNumberFormat="1" applyFont="1" applyFill="1" applyBorder="1" applyAlignment="1">
      <alignment horizontal="right" vertical="center"/>
    </xf>
    <xf numFmtId="0" fontId="10" fillId="0" borderId="95" xfId="0" applyFont="1" applyFill="1" applyBorder="1" applyAlignment="1">
      <alignment vertical="center"/>
    </xf>
    <xf numFmtId="0" fontId="10" fillId="0" borderId="96" xfId="0" applyFont="1" applyFill="1" applyBorder="1" applyAlignment="1">
      <alignment horizontal="center" vertical="center"/>
    </xf>
    <xf numFmtId="3" fontId="10" fillId="0" borderId="105" xfId="0" applyNumberFormat="1" applyFont="1" applyFill="1" applyBorder="1" applyAlignment="1">
      <alignment horizontal="right" vertical="center"/>
    </xf>
    <xf numFmtId="0" fontId="10" fillId="0" borderId="97" xfId="0" applyFont="1" applyFill="1" applyBorder="1" applyAlignment="1">
      <alignment vertical="center"/>
    </xf>
    <xf numFmtId="3" fontId="10" fillId="0" borderId="237" xfId="0" applyNumberFormat="1" applyFont="1" applyFill="1" applyBorder="1" applyAlignment="1">
      <alignment horizontal="right" vertical="center"/>
    </xf>
    <xf numFmtId="0" fontId="8" fillId="0" borderId="4" xfId="0" applyFont="1" applyFill="1" applyBorder="1" applyAlignment="1">
      <alignment horizontal="right" vertical="center"/>
    </xf>
    <xf numFmtId="3" fontId="8" fillId="0" borderId="89" xfId="0" applyNumberFormat="1" applyFont="1" applyFill="1" applyBorder="1" applyAlignment="1">
      <alignment horizontal="right" vertical="center"/>
    </xf>
    <xf numFmtId="0" fontId="8" fillId="0" borderId="90" xfId="0" applyFont="1" applyFill="1" applyBorder="1" applyAlignment="1">
      <alignment horizontal="center" vertical="center"/>
    </xf>
    <xf numFmtId="3" fontId="8" fillId="0" borderId="161" xfId="0" applyNumberFormat="1" applyFont="1" applyFill="1" applyBorder="1" applyAlignment="1">
      <alignment horizontal="right" vertical="center"/>
    </xf>
    <xf numFmtId="3" fontId="8" fillId="0" borderId="19" xfId="0" applyNumberFormat="1" applyFont="1" applyFill="1" applyBorder="1" applyAlignment="1">
      <alignment horizontal="right" vertical="center"/>
    </xf>
    <xf numFmtId="3" fontId="8" fillId="0" borderId="104" xfId="0" applyNumberFormat="1" applyFont="1" applyFill="1" applyBorder="1" applyAlignment="1">
      <alignment horizontal="right" vertical="center"/>
    </xf>
    <xf numFmtId="0" fontId="8" fillId="0" borderId="94" xfId="0" applyFont="1" applyFill="1" applyBorder="1" applyAlignment="1">
      <alignment horizontal="center" vertical="center"/>
    </xf>
    <xf numFmtId="3" fontId="8" fillId="0" borderId="236" xfId="0" applyNumberFormat="1" applyFont="1" applyFill="1" applyBorder="1" applyAlignment="1">
      <alignment horizontal="right" vertical="center"/>
    </xf>
    <xf numFmtId="0" fontId="8" fillId="0" borderId="69" xfId="0" applyFont="1" applyFill="1" applyBorder="1" applyAlignment="1">
      <alignment horizontal="right" vertical="center"/>
    </xf>
    <xf numFmtId="0" fontId="10" fillId="0" borderId="94" xfId="0" applyFont="1" applyFill="1" applyBorder="1" applyAlignment="1">
      <alignment horizontal="right" vertical="center"/>
    </xf>
    <xf numFmtId="0" fontId="10" fillId="0" borderId="98" xfId="0" applyFont="1" applyFill="1" applyBorder="1" applyAlignment="1">
      <alignment horizontal="right" vertical="center"/>
    </xf>
    <xf numFmtId="0" fontId="10" fillId="0" borderId="99" xfId="0" applyFont="1" applyFill="1" applyBorder="1" applyAlignment="1">
      <alignment horizontal="left" vertical="center"/>
    </xf>
    <xf numFmtId="3" fontId="10" fillId="0" borderId="106" xfId="0" applyNumberFormat="1" applyFont="1" applyFill="1" applyBorder="1" applyAlignment="1">
      <alignment horizontal="right" vertical="center"/>
    </xf>
    <xf numFmtId="3" fontId="10" fillId="0" borderId="9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left" indent="2"/>
    </xf>
    <xf numFmtId="3" fontId="10" fillId="0" borderId="89" xfId="0" applyNumberFormat="1" applyFont="1" applyFill="1" applyBorder="1" applyAlignment="1">
      <alignment horizontal="right" vertical="center"/>
    </xf>
    <xf numFmtId="0" fontId="10" fillId="0" borderId="10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wrapText="1"/>
    </xf>
    <xf numFmtId="0" fontId="10" fillId="0" borderId="101" xfId="0" applyFont="1" applyFill="1" applyBorder="1" applyAlignment="1">
      <alignment horizontal="right" vertical="center"/>
    </xf>
    <xf numFmtId="0" fontId="10" fillId="0" borderId="10" xfId="0" applyFont="1" applyFill="1" applyBorder="1" applyAlignment="1">
      <alignment horizontal="left" vertical="center" wrapText="1"/>
    </xf>
    <xf numFmtId="3" fontId="10" fillId="0" borderId="107" xfId="0" applyNumberFormat="1" applyFont="1" applyFill="1" applyBorder="1" applyAlignment="1">
      <alignment horizontal="right" vertical="center"/>
    </xf>
    <xf numFmtId="3" fontId="10" fillId="0" borderId="102" xfId="0" applyNumberFormat="1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left" vertical="center"/>
    </xf>
    <xf numFmtId="3" fontId="8" fillId="0" borderId="238" xfId="0" applyNumberFormat="1" applyFont="1" applyFill="1" applyBorder="1" applyAlignment="1">
      <alignment horizontal="right" vertical="center"/>
    </xf>
    <xf numFmtId="3" fontId="8" fillId="0" borderId="63" xfId="0" applyNumberFormat="1" applyFont="1" applyFill="1" applyBorder="1" applyAlignment="1">
      <alignment horizontal="right" vertical="center"/>
    </xf>
    <xf numFmtId="0" fontId="8" fillId="0" borderId="4" xfId="0" applyFont="1" applyFill="1" applyBorder="1" applyAlignment="1">
      <alignment horizontal="right"/>
    </xf>
    <xf numFmtId="165" fontId="8" fillId="0" borderId="89" xfId="34" applyNumberFormat="1" applyFont="1" applyFill="1" applyBorder="1" applyAlignment="1">
      <alignment horizontal="right"/>
    </xf>
    <xf numFmtId="0" fontId="8" fillId="0" borderId="90" xfId="0" applyFont="1" applyFill="1" applyBorder="1" applyAlignment="1">
      <alignment horizontal="right"/>
    </xf>
    <xf numFmtId="165" fontId="8" fillId="0" borderId="161" xfId="34" applyNumberFormat="1" applyFont="1" applyFill="1" applyBorder="1" applyAlignment="1">
      <alignment horizontal="right"/>
    </xf>
    <xf numFmtId="0" fontId="8" fillId="0" borderId="5" xfId="0" applyFont="1" applyFill="1" applyBorder="1" applyAlignment="1">
      <alignment horizontal="right"/>
    </xf>
    <xf numFmtId="0" fontId="8" fillId="0" borderId="6" xfId="0" applyFont="1" applyFill="1" applyBorder="1"/>
    <xf numFmtId="165" fontId="8" fillId="0" borderId="108" xfId="34" applyNumberFormat="1" applyFont="1" applyFill="1" applyBorder="1" applyAlignment="1">
      <alignment horizontal="right"/>
    </xf>
    <xf numFmtId="0" fontId="8" fillId="0" borderId="103" xfId="0" applyFont="1" applyFill="1" applyBorder="1" applyAlignment="1">
      <alignment horizontal="right"/>
    </xf>
    <xf numFmtId="165" fontId="8" fillId="0" borderId="145" xfId="34" applyNumberFormat="1" applyFont="1" applyFill="1" applyBorder="1" applyAlignment="1">
      <alignment horizontal="right"/>
    </xf>
    <xf numFmtId="0" fontId="8" fillId="0" borderId="0" xfId="0" applyFont="1" applyAlignment="1">
      <alignment horizontal="left"/>
    </xf>
    <xf numFmtId="0" fontId="10" fillId="0" borderId="0" xfId="0" applyFont="1" applyFill="1" applyBorder="1" applyAlignment="1">
      <alignment horizontal="center" vertical="center"/>
    </xf>
    <xf numFmtId="3" fontId="16" fillId="0" borderId="23" xfId="28" applyNumberFormat="1" applyFont="1" applyFill="1" applyBorder="1" applyAlignment="1">
      <alignment horizontal="left"/>
    </xf>
    <xf numFmtId="3" fontId="16" fillId="0" borderId="116" xfId="28" applyNumberFormat="1" applyFont="1" applyFill="1" applyBorder="1" applyAlignment="1">
      <alignment horizontal="left"/>
    </xf>
    <xf numFmtId="3" fontId="8" fillId="0" borderId="0" xfId="0" applyNumberFormat="1" applyFont="1" applyFill="1" applyAlignment="1">
      <alignment horizontal="left" vertical="center"/>
    </xf>
    <xf numFmtId="3" fontId="16" fillId="0" borderId="7" xfId="0" applyNumberFormat="1" applyFont="1" applyFill="1" applyBorder="1" applyAlignment="1">
      <alignment horizontal="center" vertical="center" wrapText="1"/>
    </xf>
    <xf numFmtId="3" fontId="8" fillId="0" borderId="0" xfId="0" applyNumberFormat="1" applyFont="1" applyAlignment="1">
      <alignment horizontal="left" vertical="center"/>
    </xf>
    <xf numFmtId="3" fontId="16" fillId="0" borderId="145" xfId="0" applyNumberFormat="1" applyFont="1" applyFill="1" applyBorder="1" applyAlignment="1">
      <alignment horizontal="center" vertical="center" wrapText="1"/>
    </xf>
    <xf numFmtId="0" fontId="0" fillId="0" borderId="36" xfId="0" applyFill="1" applyBorder="1" applyAlignment="1">
      <alignment horizontal="left" wrapText="1"/>
    </xf>
    <xf numFmtId="0" fontId="0" fillId="0" borderId="226" xfId="0" applyFill="1" applyBorder="1" applyAlignment="1">
      <alignment horizontal="left" wrapText="1"/>
    </xf>
    <xf numFmtId="3" fontId="37" fillId="0" borderId="36" xfId="18" applyNumberFormat="1" applyFont="1" applyFill="1" applyBorder="1" applyAlignment="1">
      <alignment horizontal="left" wrapText="1"/>
    </xf>
    <xf numFmtId="3" fontId="37" fillId="0" borderId="226" xfId="18" applyNumberFormat="1" applyFont="1" applyFill="1" applyBorder="1" applyAlignment="1">
      <alignment horizontal="left" wrapText="1"/>
    </xf>
    <xf numFmtId="3" fontId="8" fillId="0" borderId="0" xfId="18" applyNumberFormat="1" applyFont="1" applyFill="1" applyAlignment="1">
      <alignment horizontal="right"/>
    </xf>
    <xf numFmtId="0" fontId="8" fillId="0" borderId="0" xfId="32" applyFont="1" applyFill="1" applyBorder="1" applyAlignment="1">
      <alignment horizontal="left" vertical="center"/>
    </xf>
    <xf numFmtId="3" fontId="8" fillId="0" borderId="0" xfId="31" applyNumberFormat="1" applyFont="1" applyFill="1" applyBorder="1" applyAlignment="1">
      <alignment horizontal="right"/>
    </xf>
    <xf numFmtId="3" fontId="16" fillId="0" borderId="205" xfId="31" applyNumberFormat="1" applyFont="1" applyFill="1" applyBorder="1" applyAlignment="1">
      <alignment horizontal="center" vertical="center" wrapText="1"/>
    </xf>
    <xf numFmtId="0" fontId="8" fillId="0" borderId="0" xfId="32" applyFont="1" applyFill="1" applyBorder="1" applyAlignment="1">
      <alignment horizontal="left"/>
    </xf>
    <xf numFmtId="0" fontId="8" fillId="0" borderId="0" xfId="31" applyFont="1" applyFill="1" applyBorder="1" applyAlignment="1">
      <alignment horizontal="center"/>
    </xf>
    <xf numFmtId="0" fontId="8" fillId="0" borderId="0" xfId="0" applyFont="1" applyFill="1" applyBorder="1" applyAlignment="1">
      <alignment horizontal="left" vertical="top"/>
    </xf>
    <xf numFmtId="0" fontId="8" fillId="0" borderId="0" xfId="0" applyFont="1" applyAlignment="1">
      <alignment horizontal="left"/>
    </xf>
    <xf numFmtId="3" fontId="10" fillId="0" borderId="249" xfId="0" applyNumberFormat="1" applyFont="1" applyFill="1" applyBorder="1" applyAlignment="1">
      <alignment horizontal="right" vertical="center"/>
    </xf>
    <xf numFmtId="3" fontId="10" fillId="0" borderId="9" xfId="0" applyNumberFormat="1" applyFont="1" applyFill="1" applyBorder="1" applyAlignment="1">
      <alignment horizontal="right" vertical="center"/>
    </xf>
    <xf numFmtId="3" fontId="10" fillId="0" borderId="248" xfId="0" applyNumberFormat="1" applyFont="1" applyFill="1" applyBorder="1" applyAlignment="1">
      <alignment horizontal="right" vertical="center"/>
    </xf>
    <xf numFmtId="3" fontId="18" fillId="0" borderId="17" xfId="28" applyNumberFormat="1" applyFont="1" applyFill="1" applyBorder="1" applyAlignment="1">
      <alignment wrapText="1"/>
    </xf>
    <xf numFmtId="3" fontId="18" fillId="0" borderId="18" xfId="0" applyNumberFormat="1" applyFont="1" applyFill="1" applyBorder="1" applyAlignment="1">
      <alignment vertical="top"/>
    </xf>
    <xf numFmtId="3" fontId="19" fillId="0" borderId="23" xfId="28" applyNumberFormat="1" applyFont="1" applyFill="1" applyBorder="1" applyAlignment="1"/>
    <xf numFmtId="0" fontId="16" fillId="0" borderId="17" xfId="31" applyFont="1" applyFill="1" applyBorder="1" applyAlignment="1" applyProtection="1">
      <alignment horizontal="center"/>
      <protection locked="0"/>
    </xf>
    <xf numFmtId="0" fontId="16" fillId="0" borderId="17" xfId="31" applyFont="1" applyFill="1" applyBorder="1" applyAlignment="1" applyProtection="1">
      <alignment horizontal="left" shrinkToFit="1"/>
      <protection locked="0"/>
    </xf>
    <xf numFmtId="3" fontId="56" fillId="0" borderId="17" xfId="0" applyNumberFormat="1" applyFont="1" applyFill="1" applyBorder="1" applyAlignment="1">
      <alignment horizontal="right" wrapText="1"/>
    </xf>
    <xf numFmtId="3" fontId="57" fillId="0" borderId="18" xfId="0" applyNumberFormat="1" applyFont="1" applyFill="1" applyBorder="1" applyAlignment="1">
      <alignment horizontal="right" wrapText="1"/>
    </xf>
    <xf numFmtId="3" fontId="58" fillId="0" borderId="17" xfId="18" applyNumberFormat="1" applyFont="1" applyFill="1" applyBorder="1" applyAlignment="1">
      <alignment horizontal="right"/>
    </xf>
    <xf numFmtId="3" fontId="58" fillId="0" borderId="23" xfId="18" applyNumberFormat="1" applyFont="1" applyFill="1" applyBorder="1" applyAlignment="1">
      <alignment horizontal="right"/>
    </xf>
    <xf numFmtId="3" fontId="58" fillId="0" borderId="58" xfId="18" applyNumberFormat="1" applyFont="1" applyFill="1" applyBorder="1" applyAlignment="1">
      <alignment horizontal="center"/>
    </xf>
    <xf numFmtId="3" fontId="59" fillId="0" borderId="17" xfId="0" applyNumberFormat="1" applyFont="1" applyFill="1" applyBorder="1" applyAlignment="1">
      <alignment horizontal="right" wrapText="1"/>
    </xf>
    <xf numFmtId="3" fontId="32" fillId="0" borderId="16" xfId="18" applyNumberFormat="1" applyFont="1" applyFill="1" applyBorder="1" applyAlignment="1">
      <alignment vertical="center" shrinkToFit="1"/>
    </xf>
    <xf numFmtId="0" fontId="60" fillId="0" borderId="4" xfId="0" applyFont="1" applyFill="1" applyBorder="1"/>
    <xf numFmtId="0" fontId="16" fillId="0" borderId="46" xfId="31" applyFont="1" applyFill="1" applyBorder="1" applyAlignment="1">
      <alignment horizontal="center" vertical="top"/>
    </xf>
    <xf numFmtId="3" fontId="22" fillId="0" borderId="190" xfId="21" applyNumberFormat="1" applyFont="1" applyFill="1" applyBorder="1" applyAlignment="1">
      <alignment horizontal="right" vertical="center" wrapText="1"/>
    </xf>
    <xf numFmtId="3" fontId="19" fillId="0" borderId="19" xfId="31" applyNumberFormat="1" applyFont="1" applyFill="1" applyBorder="1" applyAlignment="1">
      <alignment horizontal="right" vertical="center"/>
    </xf>
    <xf numFmtId="3" fontId="19" fillId="0" borderId="17" xfId="31" applyNumberFormat="1" applyFont="1" applyFill="1" applyBorder="1" applyAlignment="1"/>
    <xf numFmtId="3" fontId="18" fillId="0" borderId="190" xfId="21" applyNumberFormat="1" applyFont="1" applyFill="1" applyBorder="1" applyAlignment="1">
      <alignment horizontal="right" wrapText="1"/>
    </xf>
    <xf numFmtId="3" fontId="23" fillId="0" borderId="209" xfId="21" applyNumberFormat="1" applyFont="1" applyFill="1" applyBorder="1" applyAlignment="1">
      <alignment horizontal="right" wrapText="1"/>
    </xf>
    <xf numFmtId="3" fontId="61" fillId="0" borderId="17" xfId="21" applyNumberFormat="1" applyFont="1" applyFill="1" applyBorder="1" applyAlignment="1">
      <alignment horizontal="right" wrapText="1"/>
    </xf>
    <xf numFmtId="3" fontId="23" fillId="0" borderId="190" xfId="21" applyNumberFormat="1" applyFont="1" applyFill="1" applyBorder="1" applyAlignment="1">
      <alignment horizontal="right" vertical="center" wrapText="1"/>
    </xf>
    <xf numFmtId="3" fontId="8" fillId="0" borderId="81" xfId="22" applyNumberFormat="1" applyFont="1" applyFill="1" applyBorder="1" applyAlignment="1">
      <alignment horizontal="center" vertical="center" wrapText="1"/>
    </xf>
    <xf numFmtId="3" fontId="8" fillId="0" borderId="123" xfId="22" applyNumberFormat="1" applyFont="1" applyBorder="1" applyAlignment="1">
      <alignment horizontal="right" vertical="center" wrapText="1"/>
    </xf>
    <xf numFmtId="3" fontId="8" fillId="0" borderId="24" xfId="22" applyNumberFormat="1" applyFont="1" applyBorder="1" applyAlignment="1">
      <alignment horizontal="right" vertical="center" wrapText="1"/>
    </xf>
    <xf numFmtId="14" fontId="8" fillId="0" borderId="209" xfId="22" applyNumberFormat="1" applyFont="1" applyBorder="1" applyAlignment="1">
      <alignment horizontal="center" vertical="center" wrapText="1"/>
    </xf>
    <xf numFmtId="3" fontId="35" fillId="0" borderId="16" xfId="18" applyNumberFormat="1" applyFont="1" applyFill="1" applyBorder="1" applyAlignment="1">
      <alignment vertical="center" shrinkToFit="1"/>
    </xf>
    <xf numFmtId="3" fontId="35" fillId="0" borderId="18" xfId="0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horizontal="left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6" fillId="0" borderId="39" xfId="20" applyFont="1" applyFill="1" applyBorder="1" applyAlignment="1">
      <alignment horizontal="left" wrapText="1"/>
    </xf>
    <xf numFmtId="0" fontId="10" fillId="0" borderId="0" xfId="20" applyFont="1" applyAlignment="1">
      <alignment horizontal="center"/>
    </xf>
    <xf numFmtId="0" fontId="10" fillId="0" borderId="0" xfId="2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3" fontId="8" fillId="0" borderId="0" xfId="20" applyNumberFormat="1" applyFont="1" applyAlignment="1">
      <alignment horizontal="right" vertical="center"/>
    </xf>
    <xf numFmtId="0" fontId="10" fillId="0" borderId="142" xfId="0" applyFont="1" applyBorder="1" applyAlignment="1">
      <alignment horizontal="center" vertical="center" wrapText="1"/>
    </xf>
    <xf numFmtId="0" fontId="10" fillId="0" borderId="143" xfId="0" applyFont="1" applyBorder="1" applyAlignment="1">
      <alignment horizontal="center" vertical="center" wrapText="1"/>
    </xf>
    <xf numFmtId="3" fontId="10" fillId="0" borderId="144" xfId="0" applyNumberFormat="1" applyFont="1" applyBorder="1" applyAlignment="1">
      <alignment horizontal="center" vertical="center"/>
    </xf>
    <xf numFmtId="3" fontId="10" fillId="0" borderId="145" xfId="0" applyNumberFormat="1" applyFont="1" applyBorder="1" applyAlignment="1">
      <alignment horizontal="center" vertical="center"/>
    </xf>
    <xf numFmtId="3" fontId="10" fillId="0" borderId="144" xfId="0" applyNumberFormat="1" applyFont="1" applyBorder="1" applyAlignment="1">
      <alignment horizontal="center" vertical="center" wrapText="1"/>
    </xf>
    <xf numFmtId="3" fontId="10" fillId="0" borderId="145" xfId="0" applyNumberFormat="1" applyFont="1" applyBorder="1" applyAlignment="1">
      <alignment horizontal="center" vertical="center" wrapText="1"/>
    </xf>
    <xf numFmtId="3" fontId="8" fillId="0" borderId="0" xfId="17" applyNumberFormat="1" applyFont="1" applyFill="1" applyAlignment="1">
      <alignment horizontal="left"/>
    </xf>
    <xf numFmtId="3" fontId="10" fillId="0" borderId="0" xfId="17" applyNumberFormat="1" applyFont="1" applyFill="1" applyAlignment="1">
      <alignment horizontal="center" vertical="center"/>
    </xf>
    <xf numFmtId="3" fontId="8" fillId="0" borderId="0" xfId="0" applyNumberFormat="1" applyFont="1" applyFill="1" applyAlignment="1">
      <alignment horizontal="left" vertical="center"/>
    </xf>
    <xf numFmtId="3" fontId="10" fillId="0" borderId="0" xfId="0" applyNumberFormat="1" applyFont="1" applyFill="1" applyAlignment="1">
      <alignment horizontal="center" vertical="center"/>
    </xf>
    <xf numFmtId="3" fontId="16" fillId="0" borderId="142" xfId="0" applyNumberFormat="1" applyFont="1" applyFill="1" applyBorder="1" applyAlignment="1">
      <alignment horizontal="center" vertical="center" textRotation="90"/>
    </xf>
    <xf numFmtId="3" fontId="16" fillId="0" borderId="143" xfId="0" applyNumberFormat="1" applyFont="1" applyFill="1" applyBorder="1" applyAlignment="1">
      <alignment horizontal="center" vertical="center" textRotation="90"/>
    </xf>
    <xf numFmtId="3" fontId="16" fillId="0" borderId="146" xfId="0" applyNumberFormat="1" applyFont="1" applyFill="1" applyBorder="1" applyAlignment="1">
      <alignment horizontal="center" vertical="center" wrapText="1"/>
    </xf>
    <xf numFmtId="3" fontId="19" fillId="0" borderId="30" xfId="0" applyNumberFormat="1" applyFont="1" applyFill="1" applyBorder="1" applyAlignment="1">
      <alignment horizontal="center" vertical="center" wrapText="1"/>
    </xf>
    <xf numFmtId="3" fontId="19" fillId="0" borderId="31" xfId="0" applyNumberFormat="1" applyFont="1" applyFill="1" applyBorder="1" applyAlignment="1">
      <alignment horizontal="center" vertical="center" wrapText="1"/>
    </xf>
    <xf numFmtId="3" fontId="16" fillId="0" borderId="148" xfId="0" applyNumberFormat="1" applyFont="1" applyFill="1" applyBorder="1" applyAlignment="1">
      <alignment horizontal="center" vertical="center" textRotation="90"/>
    </xf>
    <xf numFmtId="0" fontId="0" fillId="0" borderId="108" xfId="0" applyFont="1" applyFill="1" applyBorder="1" applyAlignment="1">
      <alignment horizontal="center" vertical="center"/>
    </xf>
    <xf numFmtId="3" fontId="19" fillId="0" borderId="148" xfId="0" applyNumberFormat="1" applyFont="1" applyFill="1" applyBorder="1" applyAlignment="1">
      <alignment horizontal="center" vertical="center"/>
    </xf>
    <xf numFmtId="3" fontId="19" fillId="0" borderId="113" xfId="0" applyNumberFormat="1" applyFont="1" applyFill="1" applyBorder="1" applyAlignment="1">
      <alignment horizontal="center" vertical="center"/>
    </xf>
    <xf numFmtId="3" fontId="19" fillId="0" borderId="108" xfId="0" applyNumberFormat="1" applyFont="1" applyFill="1" applyBorder="1" applyAlignment="1">
      <alignment horizontal="center" vertical="center"/>
    </xf>
    <xf numFmtId="3" fontId="19" fillId="0" borderId="20" xfId="0" applyNumberFormat="1" applyFont="1" applyFill="1" applyBorder="1" applyAlignment="1">
      <alignment horizontal="center" vertical="center"/>
    </xf>
    <xf numFmtId="3" fontId="16" fillId="0" borderId="146" xfId="0" applyNumberFormat="1" applyFont="1" applyFill="1" applyBorder="1" applyAlignment="1">
      <alignment horizontal="center" vertical="center"/>
    </xf>
    <xf numFmtId="3" fontId="16" fillId="0" borderId="7" xfId="0" applyNumberFormat="1" applyFont="1" applyFill="1" applyBorder="1" applyAlignment="1">
      <alignment horizontal="center" vertical="center" wrapText="1"/>
    </xf>
    <xf numFmtId="3" fontId="19" fillId="0" borderId="176" xfId="28" applyNumberFormat="1" applyFont="1" applyFill="1" applyBorder="1" applyAlignment="1">
      <alignment horizontal="center" vertical="center"/>
    </xf>
    <xf numFmtId="3" fontId="19" fillId="0" borderId="173" xfId="28" applyNumberFormat="1" applyFont="1" applyFill="1" applyBorder="1" applyAlignment="1">
      <alignment horizontal="center" vertical="center"/>
    </xf>
    <xf numFmtId="3" fontId="19" fillId="0" borderId="130" xfId="28" applyNumberFormat="1" applyFont="1" applyFill="1" applyBorder="1" applyAlignment="1">
      <alignment horizontal="center" vertical="center"/>
    </xf>
    <xf numFmtId="3" fontId="18" fillId="0" borderId="0" xfId="0" applyNumberFormat="1" applyFont="1" applyFill="1" applyAlignment="1">
      <alignment horizontal="right" vertical="center"/>
    </xf>
    <xf numFmtId="3" fontId="12" fillId="0" borderId="6" xfId="0" applyNumberFormat="1" applyFont="1" applyFill="1" applyBorder="1" applyAlignment="1">
      <alignment horizontal="center" vertical="center"/>
    </xf>
    <xf numFmtId="3" fontId="16" fillId="0" borderId="23" xfId="28" applyNumberFormat="1" applyFont="1" applyFill="1" applyBorder="1" applyAlignment="1">
      <alignment horizontal="left"/>
    </xf>
    <xf numFmtId="3" fontId="16" fillId="0" borderId="116" xfId="28" applyNumberFormat="1" applyFont="1" applyFill="1" applyBorder="1" applyAlignment="1">
      <alignment horizontal="left"/>
    </xf>
    <xf numFmtId="3" fontId="22" fillId="0" borderId="115" xfId="0" applyNumberFormat="1" applyFont="1" applyFill="1" applyBorder="1" applyAlignment="1">
      <alignment horizontal="left" vertical="center"/>
    </xf>
    <xf numFmtId="3" fontId="22" fillId="0" borderId="194" xfId="0" applyNumberFormat="1" applyFont="1" applyFill="1" applyBorder="1" applyAlignment="1">
      <alignment horizontal="left" vertical="center"/>
    </xf>
    <xf numFmtId="3" fontId="22" fillId="0" borderId="118" xfId="0" applyNumberFormat="1" applyFont="1" applyFill="1" applyBorder="1" applyAlignment="1">
      <alignment horizontal="left" vertical="center"/>
    </xf>
    <xf numFmtId="3" fontId="16" fillId="0" borderId="23" xfId="28" applyNumberFormat="1" applyFont="1" applyFill="1" applyBorder="1" applyAlignment="1">
      <alignment horizontal="left" wrapText="1"/>
    </xf>
    <xf numFmtId="3" fontId="16" fillId="0" borderId="116" xfId="28" applyNumberFormat="1" applyFont="1" applyFill="1" applyBorder="1" applyAlignment="1">
      <alignment horizontal="left" wrapText="1"/>
    </xf>
    <xf numFmtId="3" fontId="19" fillId="0" borderId="176" xfId="0" applyNumberFormat="1" applyFont="1" applyFill="1" applyBorder="1" applyAlignment="1">
      <alignment horizontal="center" vertical="center"/>
    </xf>
    <xf numFmtId="3" fontId="19" fillId="0" borderId="173" xfId="0" applyNumberFormat="1" applyFont="1" applyFill="1" applyBorder="1" applyAlignment="1">
      <alignment horizontal="center" vertical="center"/>
    </xf>
    <xf numFmtId="3" fontId="19" fillId="0" borderId="130" xfId="0" applyNumberFormat="1" applyFont="1" applyFill="1" applyBorder="1" applyAlignment="1">
      <alignment horizontal="center" vertical="center"/>
    </xf>
    <xf numFmtId="3" fontId="19" fillId="0" borderId="12" xfId="0" applyNumberFormat="1" applyFont="1" applyFill="1" applyBorder="1" applyAlignment="1">
      <alignment horizontal="center" vertical="center"/>
    </xf>
    <xf numFmtId="3" fontId="19" fillId="0" borderId="13" xfId="0" applyNumberFormat="1" applyFont="1" applyFill="1" applyBorder="1" applyAlignment="1">
      <alignment horizontal="center" vertical="center"/>
    </xf>
    <xf numFmtId="3" fontId="19" fillId="0" borderId="133" xfId="0" applyNumberFormat="1" applyFont="1" applyFill="1" applyBorder="1" applyAlignment="1">
      <alignment horizontal="center" vertical="center"/>
    </xf>
    <xf numFmtId="3" fontId="19" fillId="0" borderId="70" xfId="0" applyNumberFormat="1" applyFont="1" applyFill="1" applyBorder="1" applyAlignment="1">
      <alignment horizontal="center" vertical="center"/>
    </xf>
    <xf numFmtId="3" fontId="19" fillId="0" borderId="9" xfId="0" applyNumberFormat="1" applyFont="1" applyFill="1" applyBorder="1" applyAlignment="1">
      <alignment horizontal="center" vertical="center"/>
    </xf>
    <xf numFmtId="3" fontId="19" fillId="0" borderId="147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left" vertical="center"/>
    </xf>
    <xf numFmtId="3" fontId="16" fillId="0" borderId="144" xfId="0" applyNumberFormat="1" applyFont="1" applyFill="1" applyBorder="1" applyAlignment="1">
      <alignment horizontal="center" vertical="center" textRotation="90"/>
    </xf>
    <xf numFmtId="0" fontId="0" fillId="0" borderId="145" xfId="0" applyFont="1" applyFill="1" applyBorder="1" applyAlignment="1">
      <alignment horizontal="center" vertical="center"/>
    </xf>
    <xf numFmtId="3" fontId="19" fillId="0" borderId="144" xfId="0" applyNumberFormat="1" applyFont="1" applyFill="1" applyBorder="1" applyAlignment="1">
      <alignment horizontal="center" vertical="center"/>
    </xf>
    <xf numFmtId="3" fontId="19" fillId="0" borderId="145" xfId="0" applyNumberFormat="1" applyFont="1" applyFill="1" applyBorder="1" applyAlignment="1">
      <alignment horizontal="center" vertical="center"/>
    </xf>
    <xf numFmtId="3" fontId="16" fillId="0" borderId="144" xfId="0" applyNumberFormat="1" applyFont="1" applyFill="1" applyBorder="1" applyAlignment="1">
      <alignment horizontal="center" vertical="center" wrapText="1"/>
    </xf>
    <xf numFmtId="3" fontId="16" fillId="0" borderId="145" xfId="0" applyNumberFormat="1" applyFont="1" applyFill="1" applyBorder="1" applyAlignment="1">
      <alignment horizontal="center" vertical="center" wrapText="1"/>
    </xf>
    <xf numFmtId="3" fontId="16" fillId="0" borderId="148" xfId="0" applyNumberFormat="1" applyFont="1" applyFill="1" applyBorder="1" applyAlignment="1">
      <alignment horizontal="center" vertical="center" wrapText="1"/>
    </xf>
    <xf numFmtId="3" fontId="16" fillId="0" borderId="108" xfId="0" applyNumberFormat="1" applyFont="1" applyFill="1" applyBorder="1" applyAlignment="1">
      <alignment horizontal="center" vertical="center" wrapText="1"/>
    </xf>
    <xf numFmtId="3" fontId="16" fillId="0" borderId="112" xfId="0" applyNumberFormat="1" applyFont="1" applyFill="1" applyBorder="1" applyAlignment="1">
      <alignment horizontal="center" vertical="center"/>
    </xf>
    <xf numFmtId="3" fontId="16" fillId="0" borderId="39" xfId="0" applyNumberFormat="1" applyFont="1" applyFill="1" applyBorder="1" applyAlignment="1">
      <alignment horizontal="center" vertical="center"/>
    </xf>
    <xf numFmtId="3" fontId="16" fillId="0" borderId="113" xfId="0" applyNumberFormat="1" applyFont="1" applyFill="1" applyBorder="1" applyAlignment="1">
      <alignment horizontal="center" vertical="center"/>
    </xf>
    <xf numFmtId="3" fontId="16" fillId="0" borderId="146" xfId="17" applyNumberFormat="1" applyFont="1" applyFill="1" applyBorder="1" applyAlignment="1">
      <alignment horizontal="center" vertical="center" wrapText="1"/>
    </xf>
    <xf numFmtId="3" fontId="16" fillId="0" borderId="171" xfId="0" applyNumberFormat="1" applyFont="1" applyFill="1" applyBorder="1" applyAlignment="1">
      <alignment horizontal="center" vertical="center" wrapText="1"/>
    </xf>
    <xf numFmtId="3" fontId="16" fillId="0" borderId="172" xfId="0" applyNumberFormat="1" applyFont="1" applyFill="1" applyBorder="1" applyAlignment="1">
      <alignment horizontal="center" vertical="center" wrapText="1"/>
    </xf>
    <xf numFmtId="3" fontId="19" fillId="0" borderId="149" xfId="0" applyNumberFormat="1" applyFont="1" applyFill="1" applyBorder="1" applyAlignment="1">
      <alignment horizontal="center" vertical="center" wrapText="1"/>
    </xf>
    <xf numFmtId="3" fontId="19" fillId="0" borderId="111" xfId="0" applyNumberFormat="1" applyFont="1" applyFill="1" applyBorder="1" applyAlignment="1">
      <alignment horizontal="center" vertical="center" wrapText="1"/>
    </xf>
    <xf numFmtId="3" fontId="18" fillId="0" borderId="0" xfId="0" applyNumberFormat="1" applyFont="1" applyFill="1" applyAlignment="1">
      <alignment horizontal="right"/>
    </xf>
    <xf numFmtId="3" fontId="16" fillId="0" borderId="144" xfId="0" applyNumberFormat="1" applyFont="1" applyFill="1" applyBorder="1" applyAlignment="1">
      <alignment horizontal="center" vertical="center" textRotation="90" wrapText="1"/>
    </xf>
    <xf numFmtId="0" fontId="0" fillId="0" borderId="145" xfId="0" applyFont="1" applyFill="1" applyBorder="1" applyAlignment="1">
      <alignment horizontal="center" vertical="center" textRotation="90" wrapText="1"/>
    </xf>
    <xf numFmtId="3" fontId="16" fillId="0" borderId="145" xfId="0" applyNumberFormat="1" applyFont="1" applyFill="1" applyBorder="1" applyAlignment="1">
      <alignment horizontal="center" vertical="center" textRotation="90"/>
    </xf>
    <xf numFmtId="3" fontId="19" fillId="0" borderId="178" xfId="0" applyNumberFormat="1" applyFont="1" applyFill="1" applyBorder="1" applyAlignment="1">
      <alignment horizontal="center" vertical="center"/>
    </xf>
    <xf numFmtId="3" fontId="19" fillId="0" borderId="179" xfId="0" applyNumberFormat="1" applyFont="1" applyFill="1" applyBorder="1" applyAlignment="1">
      <alignment horizontal="center" vertical="center"/>
    </xf>
    <xf numFmtId="3" fontId="16" fillId="0" borderId="23" xfId="28" applyNumberFormat="1" applyFont="1" applyFill="1" applyBorder="1" applyAlignment="1">
      <alignment horizontal="left" vertical="top" wrapText="1"/>
    </xf>
    <xf numFmtId="3" fontId="16" fillId="0" borderId="116" xfId="28" applyNumberFormat="1" applyFont="1" applyFill="1" applyBorder="1" applyAlignment="1">
      <alignment horizontal="left" vertical="top" wrapText="1"/>
    </xf>
    <xf numFmtId="3" fontId="16" fillId="0" borderId="141" xfId="28" applyNumberFormat="1" applyFont="1" applyFill="1" applyBorder="1" applyAlignment="1">
      <alignment horizontal="left" wrapText="1"/>
    </xf>
    <xf numFmtId="3" fontId="16" fillId="0" borderId="135" xfId="28" applyNumberFormat="1" applyFont="1" applyFill="1" applyBorder="1" applyAlignment="1">
      <alignment horizontal="left" wrapText="1"/>
    </xf>
    <xf numFmtId="3" fontId="22" fillId="0" borderId="115" xfId="28" applyNumberFormat="1" applyFont="1" applyFill="1" applyBorder="1" applyAlignment="1">
      <alignment horizontal="left" vertical="center"/>
    </xf>
    <xf numFmtId="3" fontId="22" fillId="0" borderId="194" xfId="28" applyNumberFormat="1" applyFont="1" applyFill="1" applyBorder="1" applyAlignment="1">
      <alignment horizontal="left" vertical="center"/>
    </xf>
    <xf numFmtId="3" fontId="22" fillId="0" borderId="118" xfId="28" applyNumberFormat="1" applyFont="1" applyFill="1" applyBorder="1" applyAlignment="1">
      <alignment horizontal="left" vertical="center"/>
    </xf>
    <xf numFmtId="3" fontId="18" fillId="0" borderId="16" xfId="0" applyNumberFormat="1" applyFont="1" applyFill="1" applyBorder="1" applyAlignment="1">
      <alignment horizontal="left" vertical="top" wrapText="1"/>
    </xf>
    <xf numFmtId="3" fontId="18" fillId="0" borderId="116" xfId="0" applyNumberFormat="1" applyFont="1" applyFill="1" applyBorder="1" applyAlignment="1">
      <alignment horizontal="left" vertical="top" wrapText="1"/>
    </xf>
    <xf numFmtId="3" fontId="18" fillId="0" borderId="17" xfId="0" applyNumberFormat="1" applyFont="1" applyFill="1" applyBorder="1" applyAlignment="1">
      <alignment horizontal="left" vertical="top" wrapText="1"/>
    </xf>
    <xf numFmtId="3" fontId="18" fillId="0" borderId="16" xfId="0" applyNumberFormat="1" applyFont="1" applyFill="1" applyBorder="1" applyAlignment="1">
      <alignment horizontal="left" vertical="center" wrapText="1"/>
    </xf>
    <xf numFmtId="3" fontId="18" fillId="0" borderId="116" xfId="0" applyNumberFormat="1" applyFont="1" applyFill="1" applyBorder="1" applyAlignment="1">
      <alignment horizontal="left" vertical="center" wrapText="1"/>
    </xf>
    <xf numFmtId="3" fontId="18" fillId="0" borderId="17" xfId="0" applyNumberFormat="1" applyFont="1" applyFill="1" applyBorder="1" applyAlignment="1">
      <alignment horizontal="left" vertical="center" wrapText="1"/>
    </xf>
    <xf numFmtId="3" fontId="18" fillId="0" borderId="43" xfId="0" applyNumberFormat="1" applyFont="1" applyFill="1" applyBorder="1" applyAlignment="1">
      <alignment horizontal="left" vertical="center"/>
    </xf>
    <xf numFmtId="3" fontId="18" fillId="0" borderId="130" xfId="0" applyNumberFormat="1" applyFont="1" applyFill="1" applyBorder="1" applyAlignment="1">
      <alignment horizontal="left" vertical="center"/>
    </xf>
    <xf numFmtId="3" fontId="18" fillId="0" borderId="44" xfId="0" applyNumberFormat="1" applyFont="1" applyFill="1" applyBorder="1" applyAlignment="1">
      <alignment horizontal="left" vertical="center"/>
    </xf>
    <xf numFmtId="3" fontId="16" fillId="0" borderId="36" xfId="28" applyNumberFormat="1" applyFont="1" applyFill="1" applyBorder="1" applyAlignment="1">
      <alignment horizontal="left" wrapText="1"/>
    </xf>
    <xf numFmtId="0" fontId="8" fillId="0" borderId="0" xfId="32" applyFont="1" applyFill="1" applyBorder="1" applyAlignment="1" applyProtection="1">
      <alignment horizontal="left" vertical="center"/>
      <protection locked="0"/>
    </xf>
    <xf numFmtId="0" fontId="10" fillId="0" borderId="0" xfId="31" applyFont="1" applyFill="1" applyBorder="1" applyAlignment="1" applyProtection="1">
      <alignment horizontal="center"/>
      <protection locked="0"/>
    </xf>
    <xf numFmtId="0" fontId="10" fillId="0" borderId="0" xfId="32" applyFont="1" applyFill="1" applyBorder="1" applyAlignment="1" applyProtection="1">
      <alignment horizontal="center" vertical="center"/>
      <protection locked="0"/>
    </xf>
    <xf numFmtId="3" fontId="16" fillId="0" borderId="142" xfId="18" applyNumberFormat="1" applyFont="1" applyFill="1" applyBorder="1" applyAlignment="1" applyProtection="1">
      <alignment horizontal="center" vertical="center" textRotation="90"/>
      <protection locked="0"/>
    </xf>
    <xf numFmtId="3" fontId="16" fillId="0" borderId="143" xfId="18" applyNumberFormat="1" applyFont="1" applyFill="1" applyBorder="1" applyAlignment="1" applyProtection="1">
      <alignment horizontal="center" vertical="center" textRotation="90"/>
      <protection locked="0"/>
    </xf>
    <xf numFmtId="3" fontId="16" fillId="0" borderId="144" xfId="18" applyNumberFormat="1" applyFont="1" applyFill="1" applyBorder="1" applyAlignment="1" applyProtection="1">
      <alignment horizontal="center" vertical="center" textRotation="90"/>
      <protection locked="0"/>
    </xf>
    <xf numFmtId="3" fontId="16" fillId="0" borderId="145" xfId="18" applyNumberFormat="1" applyFont="1" applyFill="1" applyBorder="1" applyAlignment="1" applyProtection="1">
      <alignment horizontal="center" vertical="center" textRotation="90"/>
      <protection locked="0"/>
    </xf>
    <xf numFmtId="0" fontId="19" fillId="0" borderId="144" xfId="31" applyFont="1" applyFill="1" applyBorder="1" applyAlignment="1" applyProtection="1">
      <alignment horizontal="center" vertical="center" wrapText="1"/>
      <protection locked="0"/>
    </xf>
    <xf numFmtId="0" fontId="19" fillId="0" borderId="145" xfId="31" applyFont="1" applyFill="1" applyBorder="1" applyAlignment="1" applyProtection="1">
      <alignment horizontal="center" vertical="center" wrapText="1"/>
      <protection locked="0"/>
    </xf>
    <xf numFmtId="0" fontId="16" fillId="0" borderId="144" xfId="31" applyFont="1" applyFill="1" applyBorder="1" applyAlignment="1" applyProtection="1">
      <alignment horizontal="center" vertical="center" textRotation="90" wrapText="1"/>
      <protection locked="0"/>
    </xf>
    <xf numFmtId="0" fontId="16" fillId="0" borderId="145" xfId="31" applyFont="1" applyFill="1" applyBorder="1" applyAlignment="1" applyProtection="1">
      <alignment horizontal="center" vertical="center" textRotation="90" wrapText="1"/>
      <protection locked="0"/>
    </xf>
    <xf numFmtId="3" fontId="16" fillId="0" borderId="144" xfId="31" applyNumberFormat="1" applyFont="1" applyFill="1" applyBorder="1" applyAlignment="1" applyProtection="1">
      <alignment horizontal="center" vertical="center" wrapText="1"/>
      <protection locked="0"/>
    </xf>
    <xf numFmtId="3" fontId="16" fillId="0" borderId="145" xfId="31" applyNumberFormat="1" applyFont="1" applyFill="1" applyBorder="1" applyAlignment="1" applyProtection="1">
      <alignment horizontal="center" vertical="center" wrapText="1"/>
      <protection locked="0"/>
    </xf>
    <xf numFmtId="3" fontId="19" fillId="0" borderId="113" xfId="31" applyNumberFormat="1" applyFont="1" applyFill="1" applyBorder="1" applyAlignment="1" applyProtection="1">
      <alignment horizontal="center" vertical="center" wrapText="1"/>
      <protection locked="0"/>
    </xf>
    <xf numFmtId="3" fontId="19" fillId="0" borderId="20" xfId="31" applyNumberFormat="1" applyFont="1" applyFill="1" applyBorder="1" applyAlignment="1" applyProtection="1">
      <alignment horizontal="center" vertical="center" wrapText="1"/>
      <protection locked="0"/>
    </xf>
    <xf numFmtId="3" fontId="19" fillId="0" borderId="144" xfId="31" applyNumberFormat="1" applyFont="1" applyFill="1" applyBorder="1" applyAlignment="1" applyProtection="1">
      <alignment horizontal="center" vertical="center" wrapText="1"/>
      <protection locked="0"/>
    </xf>
    <xf numFmtId="3" fontId="19" fillId="0" borderId="145" xfId="31" applyNumberFormat="1" applyFont="1" applyFill="1" applyBorder="1" applyAlignment="1" applyProtection="1">
      <alignment horizontal="center" vertical="center" wrapText="1"/>
      <protection locked="0"/>
    </xf>
    <xf numFmtId="3" fontId="18" fillId="0" borderId="144" xfId="31" applyNumberFormat="1" applyFont="1" applyFill="1" applyBorder="1" applyAlignment="1" applyProtection="1">
      <alignment horizontal="center" vertical="center" wrapText="1"/>
      <protection locked="0"/>
    </xf>
    <xf numFmtId="3" fontId="18" fillId="0" borderId="145" xfId="31" applyNumberFormat="1" applyFont="1" applyFill="1" applyBorder="1" applyAlignment="1" applyProtection="1">
      <alignment horizontal="center" vertical="center" wrapText="1"/>
      <protection locked="0"/>
    </xf>
    <xf numFmtId="3" fontId="55" fillId="0" borderId="82" xfId="18" applyNumberFormat="1" applyFont="1" applyFill="1" applyBorder="1" applyAlignment="1" applyProtection="1">
      <alignment horizontal="left" vertical="center"/>
      <protection locked="0"/>
    </xf>
    <xf numFmtId="3" fontId="55" fillId="0" borderId="130" xfId="18" applyNumberFormat="1" applyFont="1" applyFill="1" applyBorder="1" applyAlignment="1" applyProtection="1">
      <alignment horizontal="left" vertical="center"/>
      <protection locked="0"/>
    </xf>
    <xf numFmtId="0" fontId="22" fillId="0" borderId="23" xfId="32" applyFont="1" applyFill="1" applyBorder="1" applyAlignment="1" applyProtection="1">
      <alignment horizontal="left"/>
      <protection locked="0"/>
    </xf>
    <xf numFmtId="0" fontId="22" fillId="0" borderId="116" xfId="32" applyFont="1" applyFill="1" applyBorder="1" applyAlignment="1" applyProtection="1">
      <alignment horizontal="left"/>
      <protection locked="0"/>
    </xf>
    <xf numFmtId="3" fontId="19" fillId="0" borderId="235" xfId="31" applyNumberFormat="1" applyFont="1" applyFill="1" applyBorder="1" applyAlignment="1" applyProtection="1">
      <alignment horizontal="center" vertical="center" wrapText="1"/>
      <protection locked="0"/>
    </xf>
    <xf numFmtId="3" fontId="19" fillId="0" borderId="103" xfId="31" applyNumberFormat="1" applyFont="1" applyFill="1" applyBorder="1" applyAlignment="1" applyProtection="1">
      <alignment horizontal="center" vertical="center" wrapText="1"/>
      <protection locked="0"/>
    </xf>
    <xf numFmtId="3" fontId="16" fillId="0" borderId="148" xfId="31" applyNumberFormat="1" applyFont="1" applyFill="1" applyBorder="1" applyAlignment="1" applyProtection="1">
      <alignment horizontal="center" vertical="center" wrapText="1"/>
      <protection locked="0"/>
    </xf>
    <xf numFmtId="3" fontId="16" fillId="0" borderId="108" xfId="31" applyNumberFormat="1" applyFont="1" applyFill="1" applyBorder="1" applyAlignment="1" applyProtection="1">
      <alignment horizontal="center" vertical="center" wrapText="1"/>
      <protection locked="0"/>
    </xf>
    <xf numFmtId="0" fontId="19" fillId="0" borderId="12" xfId="32" applyFont="1" applyFill="1" applyBorder="1" applyAlignment="1" applyProtection="1">
      <alignment horizontal="center" vertical="center"/>
      <protection locked="0"/>
    </xf>
    <xf numFmtId="0" fontId="19" fillId="0" borderId="13" xfId="32" applyFont="1" applyFill="1" applyBorder="1" applyAlignment="1" applyProtection="1">
      <alignment horizontal="center" vertical="center"/>
      <protection locked="0"/>
    </xf>
    <xf numFmtId="0" fontId="19" fillId="0" borderId="133" xfId="32" applyFont="1" applyFill="1" applyBorder="1" applyAlignment="1" applyProtection="1">
      <alignment horizontal="center" vertical="center"/>
      <protection locked="0"/>
    </xf>
    <xf numFmtId="0" fontId="19" fillId="0" borderId="70" xfId="32" applyFont="1" applyFill="1" applyBorder="1" applyAlignment="1" applyProtection="1">
      <alignment horizontal="center" vertical="center"/>
      <protection locked="0"/>
    </xf>
    <xf numFmtId="0" fontId="19" fillId="0" borderId="9" xfId="32" applyFont="1" applyFill="1" applyBorder="1" applyAlignment="1" applyProtection="1">
      <alignment horizontal="center" vertical="center"/>
      <protection locked="0"/>
    </xf>
    <xf numFmtId="0" fontId="19" fillId="0" borderId="147" xfId="32" applyFont="1" applyFill="1" applyBorder="1" applyAlignment="1" applyProtection="1">
      <alignment horizontal="center" vertical="center"/>
      <protection locked="0"/>
    </xf>
    <xf numFmtId="3" fontId="55" fillId="0" borderId="44" xfId="18" applyNumberFormat="1" applyFont="1" applyFill="1" applyBorder="1" applyAlignment="1" applyProtection="1">
      <alignment horizontal="left" vertical="center"/>
      <protection locked="0"/>
    </xf>
    <xf numFmtId="3" fontId="8" fillId="0" borderId="0" xfId="18" applyNumberFormat="1" applyFont="1" applyFill="1" applyAlignment="1">
      <alignment horizontal="left"/>
    </xf>
    <xf numFmtId="3" fontId="8" fillId="0" borderId="0" xfId="18" applyNumberFormat="1" applyFont="1" applyFill="1" applyAlignment="1">
      <alignment horizontal="right"/>
    </xf>
    <xf numFmtId="3" fontId="10" fillId="0" borderId="0" xfId="18" applyNumberFormat="1" applyFont="1" applyFill="1" applyAlignment="1">
      <alignment horizontal="center"/>
    </xf>
    <xf numFmtId="3" fontId="10" fillId="0" borderId="0" xfId="18" applyNumberFormat="1" applyFont="1" applyFill="1" applyAlignment="1">
      <alignment horizontal="center" vertical="center"/>
    </xf>
    <xf numFmtId="3" fontId="18" fillId="0" borderId="0" xfId="18" applyNumberFormat="1" applyFont="1" applyFill="1" applyAlignment="1">
      <alignment horizontal="right"/>
    </xf>
    <xf numFmtId="3" fontId="19" fillId="0" borderId="98" xfId="18" applyNumberFormat="1" applyFont="1" applyFill="1" applyBorder="1" applyAlignment="1">
      <alignment horizontal="center" vertical="center" wrapText="1"/>
    </xf>
    <xf numFmtId="3" fontId="19" fillId="0" borderId="99" xfId="18" applyNumberFormat="1" applyFont="1" applyFill="1" applyBorder="1" applyAlignment="1">
      <alignment horizontal="center" vertical="center" wrapText="1"/>
    </xf>
    <xf numFmtId="3" fontId="19" fillId="0" borderId="243" xfId="18" applyNumberFormat="1" applyFont="1" applyFill="1" applyBorder="1" applyAlignment="1">
      <alignment horizontal="center" vertical="center" wrapText="1"/>
    </xf>
    <xf numFmtId="3" fontId="37" fillId="0" borderId="23" xfId="18" applyNumberFormat="1" applyFont="1" applyFill="1" applyBorder="1" applyAlignment="1">
      <alignment horizontal="left" wrapText="1"/>
    </xf>
    <xf numFmtId="3" fontId="37" fillId="0" borderId="36" xfId="18" applyNumberFormat="1" applyFont="1" applyFill="1" applyBorder="1" applyAlignment="1">
      <alignment horizontal="left" wrapText="1"/>
    </xf>
    <xf numFmtId="3" fontId="37" fillId="0" borderId="226" xfId="18" applyNumberFormat="1" applyFont="1" applyFill="1" applyBorder="1" applyAlignment="1">
      <alignment horizontal="left" wrapText="1"/>
    </xf>
    <xf numFmtId="3" fontId="18" fillId="0" borderId="23" xfId="18" applyNumberFormat="1" applyFont="1" applyFill="1" applyBorder="1" applyAlignment="1">
      <alignment horizontal="left" wrapText="1"/>
    </xf>
    <xf numFmtId="0" fontId="0" fillId="0" borderId="36" xfId="0" applyFill="1" applyBorder="1" applyAlignment="1">
      <alignment horizontal="left" wrapText="1"/>
    </xf>
    <xf numFmtId="0" fontId="0" fillId="0" borderId="226" xfId="0" applyFill="1" applyBorder="1" applyAlignment="1">
      <alignment horizontal="left" wrapText="1"/>
    </xf>
    <xf numFmtId="3" fontId="19" fillId="0" borderId="141" xfId="18" applyNumberFormat="1" applyFont="1" applyFill="1" applyBorder="1" applyAlignment="1">
      <alignment horizontal="left" wrapText="1"/>
    </xf>
    <xf numFmtId="0" fontId="0" fillId="0" borderId="193" xfId="0" applyFill="1" applyBorder="1" applyAlignment="1">
      <alignment horizontal="left" wrapText="1"/>
    </xf>
    <xf numFmtId="0" fontId="0" fillId="0" borderId="244" xfId="0" applyFill="1" applyBorder="1" applyAlignment="1">
      <alignment horizontal="left" wrapText="1"/>
    </xf>
    <xf numFmtId="3" fontId="19" fillId="0" borderId="197" xfId="18" applyNumberFormat="1" applyFont="1" applyFill="1" applyBorder="1" applyAlignment="1">
      <alignment horizontal="center" vertical="center" wrapText="1"/>
    </xf>
    <xf numFmtId="3" fontId="19" fillId="0" borderId="201" xfId="18" applyNumberFormat="1" applyFont="1" applyFill="1" applyBorder="1" applyAlignment="1">
      <alignment horizontal="center" vertical="center" wrapText="1"/>
    </xf>
    <xf numFmtId="3" fontId="16" fillId="0" borderId="198" xfId="0" applyNumberFormat="1" applyFont="1" applyFill="1" applyBorder="1" applyAlignment="1">
      <alignment horizontal="center" vertical="center"/>
    </xf>
    <xf numFmtId="3" fontId="16" fillId="0" borderId="199" xfId="0" applyNumberFormat="1" applyFont="1" applyFill="1" applyBorder="1" applyAlignment="1">
      <alignment horizontal="center" vertical="center"/>
    </xf>
    <xf numFmtId="3" fontId="16" fillId="0" borderId="197" xfId="18" applyNumberFormat="1" applyFont="1" applyFill="1" applyBorder="1" applyAlignment="1">
      <alignment horizontal="center" vertical="center" wrapText="1"/>
    </xf>
    <xf numFmtId="3" fontId="16" fillId="0" borderId="201" xfId="18" applyNumberFormat="1" applyFont="1" applyFill="1" applyBorder="1" applyAlignment="1">
      <alignment horizontal="center" vertical="center" wrapText="1"/>
    </xf>
    <xf numFmtId="3" fontId="16" fillId="0" borderId="196" xfId="18" applyNumberFormat="1" applyFont="1" applyFill="1" applyBorder="1" applyAlignment="1">
      <alignment horizontal="center" vertical="center" textRotation="90"/>
    </xf>
    <xf numFmtId="3" fontId="16" fillId="0" borderId="200" xfId="18" applyNumberFormat="1" applyFont="1" applyFill="1" applyBorder="1" applyAlignment="1">
      <alignment horizontal="center" vertical="center" textRotation="90"/>
    </xf>
    <xf numFmtId="3" fontId="16" fillId="0" borderId="197" xfId="18" applyNumberFormat="1" applyFont="1" applyFill="1" applyBorder="1" applyAlignment="1">
      <alignment horizontal="center" vertical="center" textRotation="90"/>
    </xf>
    <xf numFmtId="3" fontId="16" fillId="0" borderId="201" xfId="18" applyNumberFormat="1" applyFont="1" applyFill="1" applyBorder="1" applyAlignment="1">
      <alignment horizontal="center" vertical="center" textRotation="90"/>
    </xf>
    <xf numFmtId="3" fontId="16" fillId="0" borderId="202" xfId="18" applyNumberFormat="1" applyFont="1" applyFill="1" applyBorder="1" applyAlignment="1">
      <alignment horizontal="center" vertical="center" wrapText="1"/>
    </xf>
    <xf numFmtId="3" fontId="16" fillId="0" borderId="203" xfId="18" applyNumberFormat="1" applyFont="1" applyFill="1" applyBorder="1" applyAlignment="1">
      <alignment horizontal="center" vertical="center" wrapText="1"/>
    </xf>
    <xf numFmtId="0" fontId="19" fillId="0" borderId="197" xfId="18" applyFont="1" applyFill="1" applyBorder="1" applyAlignment="1">
      <alignment horizontal="center" vertical="center" wrapText="1"/>
    </xf>
    <xf numFmtId="0" fontId="19" fillId="0" borderId="201" xfId="18" applyFont="1" applyFill="1" applyBorder="1" applyAlignment="1">
      <alignment horizontal="center" vertical="center" wrapText="1"/>
    </xf>
    <xf numFmtId="3" fontId="16" fillId="0" borderId="178" xfId="0" applyNumberFormat="1" applyFont="1" applyFill="1" applyBorder="1" applyAlignment="1">
      <alignment horizontal="center" vertical="center" textRotation="90" wrapText="1"/>
    </xf>
    <xf numFmtId="0" fontId="16" fillId="0" borderId="179" xfId="0" applyFont="1" applyFill="1" applyBorder="1" applyAlignment="1">
      <alignment horizontal="center" vertical="center" textRotation="90" wrapText="1"/>
    </xf>
    <xf numFmtId="3" fontId="18" fillId="0" borderId="115" xfId="0" applyNumberFormat="1" applyFont="1" applyFill="1" applyBorder="1" applyAlignment="1">
      <alignment horizontal="left" wrapText="1"/>
    </xf>
    <xf numFmtId="3" fontId="18" fillId="0" borderId="194" xfId="0" applyNumberFormat="1" applyFont="1" applyFill="1" applyBorder="1" applyAlignment="1">
      <alignment horizontal="left" wrapText="1"/>
    </xf>
    <xf numFmtId="3" fontId="18" fillId="0" borderId="225" xfId="0" applyNumberFormat="1" applyFont="1" applyFill="1" applyBorder="1" applyAlignment="1">
      <alignment horizontal="left" wrapText="1"/>
    </xf>
    <xf numFmtId="3" fontId="18" fillId="0" borderId="36" xfId="18" applyNumberFormat="1" applyFont="1" applyFill="1" applyBorder="1" applyAlignment="1">
      <alignment horizontal="left" wrapText="1"/>
    </xf>
    <xf numFmtId="3" fontId="18" fillId="0" borderId="226" xfId="18" applyNumberFormat="1" applyFont="1" applyFill="1" applyBorder="1" applyAlignment="1">
      <alignment horizontal="left" wrapText="1"/>
    </xf>
    <xf numFmtId="3" fontId="19" fillId="0" borderId="23" xfId="18" applyNumberFormat="1" applyFont="1" applyFill="1" applyBorder="1" applyAlignment="1">
      <alignment horizontal="left" wrapText="1"/>
    </xf>
    <xf numFmtId="3" fontId="18" fillId="0" borderId="23" xfId="0" applyNumberFormat="1" applyFont="1" applyFill="1" applyBorder="1" applyAlignment="1">
      <alignment horizontal="left" wrapText="1"/>
    </xf>
    <xf numFmtId="3" fontId="19" fillId="0" borderId="60" xfId="18" applyNumberFormat="1" applyFont="1" applyFill="1" applyBorder="1" applyAlignment="1">
      <alignment horizontal="left" wrapText="1"/>
    </xf>
    <xf numFmtId="0" fontId="0" fillId="0" borderId="175" xfId="0" applyFill="1" applyBorder="1" applyAlignment="1">
      <alignment horizontal="left" wrapText="1"/>
    </xf>
    <xf numFmtId="0" fontId="0" fillId="0" borderId="227" xfId="0" applyFill="1" applyBorder="1" applyAlignment="1">
      <alignment horizontal="left" wrapText="1"/>
    </xf>
    <xf numFmtId="3" fontId="12" fillId="0" borderId="0" xfId="0" applyNumberFormat="1" applyFont="1" applyFill="1" applyBorder="1" applyAlignment="1">
      <alignment horizontal="left" vertical="top"/>
    </xf>
    <xf numFmtId="0" fontId="18" fillId="0" borderId="0" xfId="18" applyFont="1" applyFill="1" applyBorder="1" applyAlignment="1">
      <alignment horizontal="right" wrapText="1"/>
    </xf>
    <xf numFmtId="0" fontId="10" fillId="0" borderId="150" xfId="18" applyFont="1" applyFill="1" applyBorder="1" applyAlignment="1">
      <alignment horizontal="center" vertical="center" wrapText="1"/>
    </xf>
    <xf numFmtId="0" fontId="10" fillId="0" borderId="151" xfId="18" applyFont="1" applyFill="1" applyBorder="1" applyAlignment="1">
      <alignment horizontal="center" vertical="center" wrapText="1"/>
    </xf>
    <xf numFmtId="3" fontId="8" fillId="0" borderId="140" xfId="0" applyNumberFormat="1" applyFont="1" applyFill="1" applyBorder="1" applyAlignment="1">
      <alignment horizontal="center" vertical="center" wrapText="1"/>
    </xf>
    <xf numFmtId="3" fontId="8" fillId="0" borderId="22" xfId="0" applyNumberFormat="1" applyFont="1" applyFill="1" applyBorder="1" applyAlignment="1">
      <alignment horizontal="center" vertical="center" wrapText="1"/>
    </xf>
    <xf numFmtId="3" fontId="19" fillId="0" borderId="0" xfId="18" applyNumberFormat="1" applyFont="1" applyFill="1" applyAlignment="1">
      <alignment horizontal="center" vertical="center" wrapText="1"/>
    </xf>
    <xf numFmtId="3" fontId="19" fillId="0" borderId="112" xfId="21" applyNumberFormat="1" applyFont="1" applyFill="1" applyBorder="1" applyAlignment="1">
      <alignment horizontal="center" vertical="center" wrapText="1"/>
    </xf>
    <xf numFmtId="3" fontId="19" fillId="0" borderId="39" xfId="21" applyNumberFormat="1" applyFont="1" applyFill="1" applyBorder="1" applyAlignment="1">
      <alignment horizontal="center" vertical="center" wrapText="1"/>
    </xf>
    <xf numFmtId="3" fontId="19" fillId="0" borderId="207" xfId="21" applyNumberFormat="1" applyFont="1" applyFill="1" applyBorder="1" applyAlignment="1">
      <alignment horizontal="center" vertical="center" wrapText="1"/>
    </xf>
    <xf numFmtId="3" fontId="16" fillId="0" borderId="86" xfId="31" applyNumberFormat="1" applyFont="1" applyFill="1" applyBorder="1" applyAlignment="1">
      <alignment horizontal="center" vertical="center" wrapText="1"/>
    </xf>
    <xf numFmtId="3" fontId="16" fillId="0" borderId="91" xfId="31" applyNumberFormat="1" applyFont="1" applyFill="1" applyBorder="1" applyAlignment="1">
      <alignment horizontal="center" vertical="center" wrapText="1"/>
    </xf>
    <xf numFmtId="3" fontId="16" fillId="0" borderId="181" xfId="31" applyNumberFormat="1" applyFont="1" applyFill="1" applyBorder="1" applyAlignment="1">
      <alignment horizontal="center" vertical="center" wrapText="1"/>
    </xf>
    <xf numFmtId="3" fontId="16" fillId="0" borderId="163" xfId="31" applyNumberFormat="1" applyFont="1" applyFill="1" applyBorder="1" applyAlignment="1">
      <alignment horizontal="center" vertical="center" wrapText="1"/>
    </xf>
    <xf numFmtId="3" fontId="16" fillId="0" borderId="157" xfId="31" applyNumberFormat="1" applyFont="1" applyFill="1" applyBorder="1" applyAlignment="1">
      <alignment horizontal="center" vertical="center" wrapText="1"/>
    </xf>
    <xf numFmtId="3" fontId="16" fillId="0" borderId="65" xfId="31" applyNumberFormat="1" applyFont="1" applyFill="1" applyBorder="1" applyAlignment="1">
      <alignment horizontal="center" vertical="center" wrapText="1"/>
    </xf>
    <xf numFmtId="0" fontId="8" fillId="0" borderId="0" xfId="32" applyFont="1" applyFill="1" applyBorder="1" applyAlignment="1">
      <alignment horizontal="left" vertical="center"/>
    </xf>
    <xf numFmtId="3" fontId="8" fillId="0" borderId="0" xfId="31" applyNumberFormat="1" applyFont="1" applyFill="1" applyBorder="1" applyAlignment="1">
      <alignment horizontal="right"/>
    </xf>
    <xf numFmtId="0" fontId="10" fillId="0" borderId="0" xfId="31" applyFont="1" applyFill="1" applyBorder="1" applyAlignment="1">
      <alignment horizontal="center"/>
    </xf>
    <xf numFmtId="0" fontId="10" fillId="0" borderId="0" xfId="32" applyFont="1" applyFill="1" applyBorder="1" applyAlignment="1">
      <alignment horizontal="center" vertical="center"/>
    </xf>
    <xf numFmtId="3" fontId="19" fillId="0" borderId="178" xfId="31" applyNumberFormat="1" applyFont="1" applyFill="1" applyBorder="1" applyAlignment="1">
      <alignment horizontal="center" vertical="center" wrapText="1"/>
    </xf>
    <xf numFmtId="3" fontId="19" fillId="0" borderId="144" xfId="31" applyNumberFormat="1" applyFont="1" applyFill="1" applyBorder="1" applyAlignment="1">
      <alignment horizontal="center" vertical="center" wrapText="1"/>
    </xf>
    <xf numFmtId="3" fontId="19" fillId="0" borderId="171" xfId="31" applyNumberFormat="1" applyFont="1" applyFill="1" applyBorder="1" applyAlignment="1">
      <alignment horizontal="center" vertical="center" wrapText="1"/>
    </xf>
    <xf numFmtId="3" fontId="16" fillId="0" borderId="183" xfId="31" applyNumberFormat="1" applyFont="1" applyFill="1" applyBorder="1" applyAlignment="1">
      <alignment horizontal="center" vertical="center" wrapText="1"/>
    </xf>
    <xf numFmtId="3" fontId="16" fillId="0" borderId="184" xfId="31" applyNumberFormat="1" applyFont="1" applyFill="1" applyBorder="1" applyAlignment="1">
      <alignment horizontal="center" vertical="center" wrapText="1"/>
    </xf>
    <xf numFmtId="3" fontId="16" fillId="0" borderId="185" xfId="31" applyNumberFormat="1" applyFont="1" applyFill="1" applyBorder="1" applyAlignment="1">
      <alignment horizontal="center" vertical="center" wrapText="1"/>
    </xf>
    <xf numFmtId="3" fontId="16" fillId="0" borderId="162" xfId="18" applyNumberFormat="1" applyFont="1" applyFill="1" applyBorder="1" applyAlignment="1">
      <alignment horizontal="center" vertical="center" textRotation="90"/>
    </xf>
    <xf numFmtId="3" fontId="16" fillId="0" borderId="168" xfId="18" applyNumberFormat="1" applyFont="1" applyFill="1" applyBorder="1" applyAlignment="1">
      <alignment horizontal="center" vertical="center" textRotation="90"/>
    </xf>
    <xf numFmtId="3" fontId="16" fillId="0" borderId="169" xfId="18" applyNumberFormat="1" applyFont="1" applyFill="1" applyBorder="1" applyAlignment="1">
      <alignment horizontal="center" vertical="center" textRotation="90"/>
    </xf>
    <xf numFmtId="3" fontId="16" fillId="0" borderId="163" xfId="18" applyNumberFormat="1" applyFont="1" applyFill="1" applyBorder="1" applyAlignment="1">
      <alignment horizontal="center" vertical="center" textRotation="90"/>
    </xf>
    <xf numFmtId="3" fontId="16" fillId="0" borderId="157" xfId="18" applyNumberFormat="1" applyFont="1" applyFill="1" applyBorder="1" applyAlignment="1">
      <alignment horizontal="center" vertical="center" textRotation="90"/>
    </xf>
    <xf numFmtId="3" fontId="16" fillId="0" borderId="65" xfId="18" applyNumberFormat="1" applyFont="1" applyFill="1" applyBorder="1" applyAlignment="1">
      <alignment horizontal="center" vertical="center" textRotation="90"/>
    </xf>
    <xf numFmtId="0" fontId="19" fillId="0" borderId="144" xfId="31" applyFont="1" applyFill="1" applyBorder="1" applyAlignment="1">
      <alignment horizontal="center" vertical="center" wrapText="1"/>
    </xf>
    <xf numFmtId="0" fontId="19" fillId="0" borderId="161" xfId="31" applyFont="1" applyFill="1" applyBorder="1" applyAlignment="1">
      <alignment horizontal="center" vertical="center" wrapText="1"/>
    </xf>
    <xf numFmtId="0" fontId="19" fillId="0" borderId="145" xfId="31" applyFont="1" applyFill="1" applyBorder="1" applyAlignment="1">
      <alignment horizontal="center" vertical="center" wrapText="1"/>
    </xf>
    <xf numFmtId="3" fontId="16" fillId="0" borderId="205" xfId="31" applyNumberFormat="1" applyFont="1" applyFill="1" applyBorder="1" applyAlignment="1">
      <alignment horizontal="center" vertical="center" wrapText="1"/>
    </xf>
    <xf numFmtId="3" fontId="19" fillId="0" borderId="206" xfId="31" applyNumberFormat="1" applyFont="1" applyFill="1" applyBorder="1" applyAlignment="1">
      <alignment horizontal="center" vertical="center" wrapText="1"/>
    </xf>
    <xf numFmtId="3" fontId="19" fillId="0" borderId="186" xfId="31" applyNumberFormat="1" applyFont="1" applyFill="1" applyBorder="1" applyAlignment="1">
      <alignment horizontal="center" vertical="center" wrapText="1"/>
    </xf>
    <xf numFmtId="0" fontId="16" fillId="0" borderId="165" xfId="31" applyFont="1" applyFill="1" applyBorder="1" applyAlignment="1">
      <alignment horizontal="center" vertical="center" textRotation="90" wrapText="1"/>
    </xf>
    <xf numFmtId="0" fontId="16" fillId="0" borderId="166" xfId="31" applyFont="1" applyFill="1" applyBorder="1" applyAlignment="1">
      <alignment horizontal="center" vertical="center" textRotation="90" wrapText="1"/>
    </xf>
    <xf numFmtId="0" fontId="16" fillId="0" borderId="66" xfId="31" applyFont="1" applyFill="1" applyBorder="1" applyAlignment="1">
      <alignment horizontal="center" vertical="center" textRotation="90" wrapText="1"/>
    </xf>
    <xf numFmtId="3" fontId="19" fillId="0" borderId="176" xfId="21" applyNumberFormat="1" applyFont="1" applyFill="1" applyBorder="1" applyAlignment="1">
      <alignment horizontal="center" vertical="center" wrapText="1"/>
    </xf>
    <xf numFmtId="3" fontId="19" fillId="0" borderId="173" xfId="21" applyNumberFormat="1" applyFont="1" applyFill="1" applyBorder="1" applyAlignment="1">
      <alignment horizontal="center" vertical="center" wrapText="1"/>
    </xf>
    <xf numFmtId="3" fontId="19" fillId="0" borderId="242" xfId="21" applyNumberFormat="1" applyFont="1" applyFill="1" applyBorder="1" applyAlignment="1">
      <alignment horizontal="center" vertical="center" wrapText="1"/>
    </xf>
    <xf numFmtId="0" fontId="32" fillId="0" borderId="23" xfId="31" applyFont="1" applyFill="1" applyBorder="1" applyAlignment="1">
      <alignment horizontal="left" wrapText="1"/>
    </xf>
    <xf numFmtId="0" fontId="32" fillId="0" borderId="36" xfId="31" applyFont="1" applyFill="1" applyBorder="1" applyAlignment="1">
      <alignment horizontal="left" wrapText="1"/>
    </xf>
    <xf numFmtId="0" fontId="32" fillId="0" borderId="116" xfId="31" applyFont="1" applyFill="1" applyBorder="1" applyAlignment="1">
      <alignment horizontal="left" wrapText="1"/>
    </xf>
    <xf numFmtId="3" fontId="19" fillId="0" borderId="39" xfId="31" applyNumberFormat="1" applyFont="1" applyFill="1" applyBorder="1" applyAlignment="1">
      <alignment horizontal="center" vertical="center" wrapText="1"/>
    </xf>
    <xf numFmtId="3" fontId="19" fillId="0" borderId="207" xfId="31" applyNumberFormat="1" applyFont="1" applyFill="1" applyBorder="1" applyAlignment="1">
      <alignment horizontal="center" vertical="center" wrapText="1"/>
    </xf>
    <xf numFmtId="0" fontId="8" fillId="0" borderId="0" xfId="32" applyFont="1" applyFill="1" applyBorder="1" applyAlignment="1">
      <alignment horizontal="left"/>
    </xf>
    <xf numFmtId="0" fontId="10" fillId="0" borderId="0" xfId="32" applyFont="1" applyFill="1" applyBorder="1" applyAlignment="1">
      <alignment horizontal="center"/>
    </xf>
    <xf numFmtId="0" fontId="8" fillId="0" borderId="0" xfId="31" applyFont="1" applyFill="1" applyBorder="1" applyAlignment="1">
      <alignment horizontal="center"/>
    </xf>
    <xf numFmtId="3" fontId="8" fillId="0" borderId="162" xfId="18" applyNumberFormat="1" applyFont="1" applyFill="1" applyBorder="1" applyAlignment="1">
      <alignment horizontal="center" vertical="center" textRotation="90"/>
    </xf>
    <xf numFmtId="3" fontId="8" fillId="0" borderId="168" xfId="18" applyNumberFormat="1" applyFont="1" applyFill="1" applyBorder="1" applyAlignment="1">
      <alignment horizontal="center" vertical="center" textRotation="90"/>
    </xf>
    <xf numFmtId="3" fontId="8" fillId="0" borderId="169" xfId="18" applyNumberFormat="1" applyFont="1" applyFill="1" applyBorder="1" applyAlignment="1">
      <alignment horizontal="center" vertical="center" textRotation="90"/>
    </xf>
    <xf numFmtId="3" fontId="8" fillId="0" borderId="163" xfId="18" applyNumberFormat="1" applyFont="1" applyFill="1" applyBorder="1" applyAlignment="1">
      <alignment horizontal="center" vertical="center" textRotation="90"/>
    </xf>
    <xf numFmtId="3" fontId="8" fillId="0" borderId="157" xfId="18" applyNumberFormat="1" applyFont="1" applyFill="1" applyBorder="1" applyAlignment="1">
      <alignment horizontal="center" vertical="center" textRotation="90"/>
    </xf>
    <xf numFmtId="3" fontId="8" fillId="0" borderId="65" xfId="18" applyNumberFormat="1" applyFont="1" applyFill="1" applyBorder="1" applyAlignment="1">
      <alignment horizontal="center" vertical="center" textRotation="90"/>
    </xf>
    <xf numFmtId="0" fontId="8" fillId="0" borderId="144" xfId="31" applyFont="1" applyFill="1" applyBorder="1" applyAlignment="1">
      <alignment horizontal="center" vertical="center"/>
    </xf>
    <xf numFmtId="0" fontId="8" fillId="0" borderId="161" xfId="31" applyFont="1" applyFill="1" applyBorder="1" applyAlignment="1">
      <alignment horizontal="center" vertical="center"/>
    </xf>
    <xf numFmtId="0" fontId="8" fillId="0" borderId="145" xfId="31" applyFont="1" applyFill="1" applyBorder="1" applyAlignment="1">
      <alignment horizontal="center" vertical="center"/>
    </xf>
    <xf numFmtId="3" fontId="8" fillId="0" borderId="163" xfId="31" applyNumberFormat="1" applyFont="1" applyFill="1" applyBorder="1" applyAlignment="1">
      <alignment horizontal="center" vertical="center" wrapText="1"/>
    </xf>
    <xf numFmtId="3" fontId="8" fillId="0" borderId="157" xfId="31" applyNumberFormat="1" applyFont="1" applyFill="1" applyBorder="1" applyAlignment="1">
      <alignment horizontal="center" vertical="center" wrapText="1"/>
    </xf>
    <xf numFmtId="3" fontId="8" fillId="0" borderId="65" xfId="31" applyNumberFormat="1" applyFont="1" applyFill="1" applyBorder="1" applyAlignment="1">
      <alignment horizontal="center" vertical="center" wrapText="1"/>
    </xf>
    <xf numFmtId="3" fontId="8" fillId="0" borderId="86" xfId="31" applyNumberFormat="1" applyFont="1" applyFill="1" applyBorder="1" applyAlignment="1">
      <alignment horizontal="center" vertical="center" wrapText="1"/>
    </xf>
    <xf numFmtId="3" fontId="8" fillId="0" borderId="91" xfId="31" applyNumberFormat="1" applyFont="1" applyFill="1" applyBorder="1" applyAlignment="1">
      <alignment horizontal="center" vertical="center" wrapText="1"/>
    </xf>
    <xf numFmtId="3" fontId="8" fillId="0" borderId="181" xfId="31" applyNumberFormat="1" applyFont="1" applyFill="1" applyBorder="1" applyAlignment="1">
      <alignment horizontal="center" vertical="center" wrapText="1"/>
    </xf>
    <xf numFmtId="3" fontId="8" fillId="0" borderId="85" xfId="31" applyNumberFormat="1" applyFont="1" applyFill="1" applyBorder="1" applyAlignment="1">
      <alignment horizontal="center" vertical="center" wrapText="1"/>
    </xf>
    <xf numFmtId="3" fontId="8" fillId="0" borderId="164" xfId="31" applyNumberFormat="1" applyFont="1" applyFill="1" applyBorder="1" applyAlignment="1">
      <alignment horizontal="center" vertical="center" wrapText="1"/>
    </xf>
    <xf numFmtId="3" fontId="8" fillId="0" borderId="183" xfId="31" applyNumberFormat="1" applyFont="1" applyFill="1" applyBorder="1" applyAlignment="1">
      <alignment horizontal="center" vertical="center" wrapText="1"/>
    </xf>
    <xf numFmtId="3" fontId="8" fillId="0" borderId="184" xfId="31" applyNumberFormat="1" applyFont="1" applyFill="1" applyBorder="1" applyAlignment="1">
      <alignment horizontal="center" vertical="center" wrapText="1"/>
    </xf>
    <xf numFmtId="3" fontId="8" fillId="0" borderId="185" xfId="31" applyNumberFormat="1" applyFont="1" applyFill="1" applyBorder="1" applyAlignment="1">
      <alignment horizontal="center" vertical="center" wrapText="1"/>
    </xf>
    <xf numFmtId="3" fontId="8" fillId="0" borderId="204" xfId="31" applyNumberFormat="1" applyFont="1" applyFill="1" applyBorder="1" applyAlignment="1">
      <alignment horizontal="center" vertical="center" wrapText="1"/>
    </xf>
    <xf numFmtId="3" fontId="8" fillId="0" borderId="187" xfId="31" applyNumberFormat="1" applyFont="1" applyFill="1" applyBorder="1" applyAlignment="1">
      <alignment horizontal="center" vertical="center" wrapText="1"/>
    </xf>
    <xf numFmtId="3" fontId="8" fillId="0" borderId="188" xfId="31" applyNumberFormat="1" applyFont="1" applyFill="1" applyBorder="1" applyAlignment="1">
      <alignment horizontal="center" vertical="center" wrapText="1"/>
    </xf>
    <xf numFmtId="3" fontId="8" fillId="0" borderId="189" xfId="31" applyNumberFormat="1" applyFont="1" applyFill="1" applyBorder="1" applyAlignment="1">
      <alignment horizontal="center" vertical="center" wrapText="1"/>
    </xf>
    <xf numFmtId="0" fontId="0" fillId="0" borderId="175" xfId="0" applyBorder="1" applyAlignment="1">
      <alignment horizontal="left" wrapText="1"/>
    </xf>
    <xf numFmtId="0" fontId="0" fillId="0" borderId="227" xfId="0" applyBorder="1" applyAlignment="1">
      <alignment horizontal="left" wrapText="1"/>
    </xf>
    <xf numFmtId="3" fontId="10" fillId="0" borderId="119" xfId="31" applyNumberFormat="1" applyFont="1" applyFill="1" applyBorder="1" applyAlignment="1">
      <alignment horizontal="center" vertical="center" wrapText="1"/>
    </xf>
    <xf numFmtId="3" fontId="10" fillId="0" borderId="186" xfId="31" applyNumberFormat="1" applyFont="1" applyFill="1" applyBorder="1" applyAlignment="1">
      <alignment horizontal="center" vertical="center" wrapText="1"/>
    </xf>
    <xf numFmtId="0" fontId="0" fillId="0" borderId="36" xfId="0" applyBorder="1" applyAlignment="1">
      <alignment horizontal="left" wrapText="1"/>
    </xf>
    <xf numFmtId="0" fontId="0" fillId="0" borderId="226" xfId="0" applyBorder="1" applyAlignment="1">
      <alignment horizontal="left" wrapText="1"/>
    </xf>
    <xf numFmtId="3" fontId="10" fillId="0" borderId="176" xfId="21" applyNumberFormat="1" applyFont="1" applyFill="1" applyBorder="1" applyAlignment="1">
      <alignment horizontal="center" vertical="center" wrapText="1"/>
    </xf>
    <xf numFmtId="3" fontId="10" fillId="0" borderId="173" xfId="21" applyNumberFormat="1" applyFont="1" applyFill="1" applyBorder="1" applyAlignment="1">
      <alignment horizontal="center" vertical="center" wrapText="1"/>
    </xf>
    <xf numFmtId="3" fontId="10" fillId="0" borderId="242" xfId="21" applyNumberFormat="1" applyFont="1" applyFill="1" applyBorder="1" applyAlignment="1">
      <alignment horizontal="center" vertical="center" wrapText="1"/>
    </xf>
    <xf numFmtId="3" fontId="37" fillId="0" borderId="26" xfId="18" applyNumberFormat="1" applyFont="1" applyFill="1" applyBorder="1" applyAlignment="1">
      <alignment horizontal="left" wrapText="1"/>
    </xf>
    <xf numFmtId="3" fontId="37" fillId="0" borderId="123" xfId="18" applyNumberFormat="1" applyFont="1" applyFill="1" applyBorder="1" applyAlignment="1">
      <alignment horizontal="left" wrapText="1"/>
    </xf>
    <xf numFmtId="3" fontId="37" fillId="0" borderId="247" xfId="18" applyNumberFormat="1" applyFont="1" applyFill="1" applyBorder="1" applyAlignment="1">
      <alignment horizontal="left" wrapText="1"/>
    </xf>
    <xf numFmtId="0" fontId="8" fillId="0" borderId="0" xfId="0" applyFont="1" applyBorder="1" applyAlignment="1">
      <alignment horizontal="left" vertical="center"/>
    </xf>
    <xf numFmtId="0" fontId="10" fillId="0" borderId="12" xfId="21" applyFont="1" applyFill="1" applyBorder="1" applyAlignment="1">
      <alignment horizontal="center" vertical="center" wrapText="1"/>
    </xf>
    <xf numFmtId="0" fontId="10" fillId="0" borderId="133" xfId="21" applyFont="1" applyFill="1" applyBorder="1" applyAlignment="1">
      <alignment horizontal="center" vertical="center" wrapText="1"/>
    </xf>
    <xf numFmtId="0" fontId="10" fillId="0" borderId="12" xfId="31" applyFont="1" applyFill="1" applyBorder="1" applyAlignment="1">
      <alignment horizontal="center" vertical="center"/>
    </xf>
    <xf numFmtId="0" fontId="10" fillId="0" borderId="133" xfId="31" applyFont="1" applyFill="1" applyBorder="1" applyAlignment="1">
      <alignment horizontal="center" vertical="center"/>
    </xf>
    <xf numFmtId="0" fontId="10" fillId="0" borderId="12" xfId="31" applyFont="1" applyFill="1" applyBorder="1" applyAlignment="1">
      <alignment horizontal="center" vertical="center" wrapText="1"/>
    </xf>
    <xf numFmtId="0" fontId="10" fillId="0" borderId="133" xfId="31" applyFont="1" applyFill="1" applyBorder="1" applyAlignment="1">
      <alignment horizontal="center" vertical="center" wrapText="1"/>
    </xf>
    <xf numFmtId="3" fontId="10" fillId="0" borderId="132" xfId="19" applyNumberFormat="1" applyFont="1" applyFill="1" applyBorder="1" applyAlignment="1">
      <alignment horizontal="center" vertical="center" wrapText="1"/>
    </xf>
    <xf numFmtId="3" fontId="10" fillId="0" borderId="152" xfId="19" applyNumberFormat="1" applyFont="1" applyFill="1" applyBorder="1" applyAlignment="1">
      <alignment horizontal="center" vertical="center" wrapText="1"/>
    </xf>
    <xf numFmtId="0" fontId="8" fillId="0" borderId="0" xfId="45" applyFont="1" applyFill="1" applyBorder="1" applyAlignment="1">
      <alignment horizontal="left" vertical="center"/>
    </xf>
    <xf numFmtId="0" fontId="10" fillId="0" borderId="0" xfId="31" applyFont="1" applyFill="1" applyBorder="1" applyAlignment="1">
      <alignment horizontal="center" vertical="center"/>
    </xf>
    <xf numFmtId="0" fontId="11" fillId="0" borderId="0" xfId="31" applyFont="1" applyFill="1" applyBorder="1" applyAlignment="1">
      <alignment horizontal="center" vertical="center"/>
    </xf>
    <xf numFmtId="0" fontId="8" fillId="0" borderId="142" xfId="19" applyFont="1" applyFill="1" applyBorder="1" applyAlignment="1">
      <alignment horizontal="center" vertical="center" textRotation="90"/>
    </xf>
    <xf numFmtId="0" fontId="8" fillId="0" borderId="143" xfId="19" applyFont="1" applyFill="1" applyBorder="1" applyAlignment="1">
      <alignment horizontal="center" vertical="center" textRotation="90"/>
    </xf>
    <xf numFmtId="0" fontId="10" fillId="0" borderId="153" xfId="19" applyFont="1" applyFill="1" applyBorder="1" applyAlignment="1">
      <alignment horizontal="center" vertical="center" wrapText="1"/>
    </xf>
    <xf numFmtId="0" fontId="10" fillId="0" borderId="154" xfId="19" applyFont="1" applyFill="1" applyBorder="1" applyAlignment="1">
      <alignment horizontal="center" vertical="center" wrapText="1"/>
    </xf>
    <xf numFmtId="3" fontId="10" fillId="0" borderId="120" xfId="19" applyNumberFormat="1" applyFont="1" applyFill="1" applyBorder="1" applyAlignment="1">
      <alignment horizontal="center" vertical="center" wrapText="1"/>
    </xf>
    <xf numFmtId="3" fontId="10" fillId="0" borderId="76" xfId="19" applyNumberFormat="1" applyFont="1" applyFill="1" applyBorder="1" applyAlignment="1">
      <alignment horizontal="center" vertical="center" wrapText="1"/>
    </xf>
    <xf numFmtId="3" fontId="10" fillId="0" borderId="82" xfId="19" applyNumberFormat="1" applyFont="1" applyFill="1" applyBorder="1" applyAlignment="1">
      <alignment horizontal="center" vertical="center" wrapText="1"/>
    </xf>
    <xf numFmtId="0" fontId="8" fillId="0" borderId="60" xfId="46" applyFont="1" applyFill="1" applyBorder="1" applyAlignment="1">
      <alignment horizontal="center" vertical="center" wrapText="1"/>
    </xf>
    <xf numFmtId="3" fontId="10" fillId="0" borderId="140" xfId="19" applyNumberFormat="1" applyFont="1" applyFill="1" applyBorder="1" applyAlignment="1">
      <alignment horizontal="center" vertical="center" wrapText="1"/>
    </xf>
    <xf numFmtId="3" fontId="10" fillId="0" borderId="139" xfId="19" applyNumberFormat="1" applyFont="1" applyFill="1" applyBorder="1" applyAlignment="1">
      <alignment horizontal="center" vertical="center" wrapText="1"/>
    </xf>
    <xf numFmtId="0" fontId="8" fillId="0" borderId="6" xfId="25" applyFont="1" applyFill="1" applyBorder="1" applyAlignment="1">
      <alignment horizontal="center"/>
    </xf>
    <xf numFmtId="0" fontId="8" fillId="0" borderId="155" xfId="24" applyFont="1" applyFill="1" applyBorder="1" applyAlignment="1">
      <alignment horizontal="center" vertical="center" wrapText="1"/>
    </xf>
    <xf numFmtId="0" fontId="8" fillId="0" borderId="156" xfId="24" applyFont="1" applyFill="1" applyBorder="1" applyAlignment="1">
      <alignment horizontal="center" vertical="center" wrapText="1"/>
    </xf>
    <xf numFmtId="0" fontId="10" fillId="0" borderId="0" xfId="24" applyFont="1" applyFill="1" applyAlignment="1">
      <alignment horizontal="center" vertical="center"/>
    </xf>
    <xf numFmtId="0" fontId="11" fillId="0" borderId="0" xfId="27" applyFont="1" applyFill="1" applyAlignment="1">
      <alignment horizontal="right"/>
    </xf>
    <xf numFmtId="0" fontId="48" fillId="0" borderId="112" xfId="0" applyFont="1" applyBorder="1" applyAlignment="1">
      <alignment horizontal="center" vertical="center" wrapText="1"/>
    </xf>
    <xf numFmtId="0" fontId="48" fillId="0" borderId="39" xfId="0" applyFont="1" applyBorder="1" applyAlignment="1">
      <alignment horizontal="center" vertical="center" wrapText="1"/>
    </xf>
    <xf numFmtId="0" fontId="47" fillId="0" borderId="113" xfId="0" applyFont="1" applyBorder="1" applyAlignment="1">
      <alignment horizontal="center" vertical="center" wrapText="1"/>
    </xf>
    <xf numFmtId="0" fontId="8" fillId="0" borderId="0" xfId="42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0" fillId="0" borderId="0" xfId="23" applyFont="1" applyFill="1" applyBorder="1" applyAlignment="1">
      <alignment horizontal="center"/>
    </xf>
    <xf numFmtId="0" fontId="10" fillId="0" borderId="0" xfId="23" applyFont="1" applyFill="1" applyBorder="1" applyAlignment="1">
      <alignment horizontal="center" vertical="center"/>
    </xf>
    <xf numFmtId="0" fontId="48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3" fontId="48" fillId="0" borderId="12" xfId="0" applyNumberFormat="1" applyFont="1" applyBorder="1" applyAlignment="1">
      <alignment horizontal="center" vertical="center"/>
    </xf>
    <xf numFmtId="0" fontId="48" fillId="0" borderId="217" xfId="0" applyFont="1" applyBorder="1" applyAlignment="1">
      <alignment horizontal="center" vertical="center"/>
    </xf>
    <xf numFmtId="0" fontId="8" fillId="0" borderId="6" xfId="23" applyFont="1" applyFill="1" applyBorder="1" applyAlignment="1">
      <alignment horizontal="center"/>
    </xf>
    <xf numFmtId="0" fontId="16" fillId="0" borderId="39" xfId="23" applyFont="1" applyFill="1" applyBorder="1" applyAlignment="1">
      <alignment horizontal="left" vertical="center" wrapText="1"/>
    </xf>
    <xf numFmtId="0" fontId="36" fillId="0" borderId="19" xfId="0" applyFont="1" applyBorder="1" applyAlignment="1">
      <alignment horizontal="center" vertical="center"/>
    </xf>
    <xf numFmtId="0" fontId="36" fillId="0" borderId="112" xfId="0" applyFont="1" applyBorder="1" applyAlignment="1">
      <alignment horizontal="center" vertical="center"/>
    </xf>
    <xf numFmtId="0" fontId="36" fillId="0" borderId="4" xfId="0" applyFont="1" applyBorder="1" applyAlignment="1">
      <alignment horizontal="center" vertical="center"/>
    </xf>
    <xf numFmtId="0" fontId="36" fillId="0" borderId="5" xfId="0" applyFont="1" applyBorder="1" applyAlignment="1">
      <alignment horizontal="center" vertical="center"/>
    </xf>
    <xf numFmtId="0" fontId="49" fillId="0" borderId="112" xfId="0" applyFont="1" applyBorder="1" applyAlignment="1">
      <alignment horizontal="left" vertical="center" wrapText="1"/>
    </xf>
    <xf numFmtId="0" fontId="0" fillId="0" borderId="113" xfId="0" applyBorder="1" applyAlignment="1">
      <alignment horizontal="left" vertical="center" wrapText="1"/>
    </xf>
    <xf numFmtId="3" fontId="36" fillId="0" borderId="113" xfId="0" applyNumberFormat="1" applyFont="1" applyBorder="1" applyAlignment="1">
      <alignment horizontal="right" vertical="center"/>
    </xf>
    <xf numFmtId="3" fontId="36" fillId="0" borderId="19" xfId="0" applyNumberFormat="1" applyFont="1" applyBorder="1" applyAlignment="1">
      <alignment horizontal="right" vertical="center"/>
    </xf>
    <xf numFmtId="3" fontId="36" fillId="0" borderId="20" xfId="0" applyNumberFormat="1" applyFont="1" applyBorder="1" applyAlignment="1">
      <alignment horizontal="right" vertical="center"/>
    </xf>
    <xf numFmtId="3" fontId="36" fillId="0" borderId="146" xfId="0" applyNumberFormat="1" applyFont="1" applyBorder="1" applyAlignment="1">
      <alignment horizontal="right" vertical="center"/>
    </xf>
    <xf numFmtId="3" fontId="36" fillId="0" borderId="205" xfId="0" applyNumberFormat="1" applyFont="1" applyBorder="1" applyAlignment="1">
      <alignment horizontal="right" vertical="center"/>
    </xf>
    <xf numFmtId="3" fontId="36" fillId="0" borderId="7" xfId="0" applyNumberFormat="1" applyFont="1" applyBorder="1" applyAlignment="1">
      <alignment horizontal="right" vertical="center"/>
    </xf>
    <xf numFmtId="0" fontId="36" fillId="0" borderId="112" xfId="0" applyFont="1" applyBorder="1" applyAlignment="1">
      <alignment horizontal="left" vertical="center" wrapText="1"/>
    </xf>
    <xf numFmtId="0" fontId="36" fillId="0" borderId="113" xfId="0" applyFont="1" applyBorder="1" applyAlignment="1">
      <alignment vertical="center"/>
    </xf>
    <xf numFmtId="0" fontId="36" fillId="0" borderId="19" xfId="0" applyFont="1" applyBorder="1" applyAlignment="1">
      <alignment vertical="center"/>
    </xf>
    <xf numFmtId="0" fontId="36" fillId="0" borderId="146" xfId="0" applyFont="1" applyBorder="1" applyAlignment="1">
      <alignment vertical="center"/>
    </xf>
    <xf numFmtId="0" fontId="36" fillId="0" borderId="7" xfId="0" applyFont="1" applyBorder="1" applyAlignment="1">
      <alignment vertical="center"/>
    </xf>
    <xf numFmtId="0" fontId="8" fillId="0" borderId="0" xfId="23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top"/>
    </xf>
    <xf numFmtId="3" fontId="10" fillId="0" borderId="0" xfId="22" applyNumberFormat="1" applyFont="1" applyAlignment="1">
      <alignment horizontal="center"/>
    </xf>
    <xf numFmtId="3" fontId="18" fillId="0" borderId="0" xfId="22" applyNumberFormat="1" applyFont="1" applyBorder="1" applyAlignment="1">
      <alignment horizontal="right"/>
    </xf>
    <xf numFmtId="3" fontId="8" fillId="0" borderId="0" xfId="22" applyNumberFormat="1" applyFont="1" applyAlignment="1">
      <alignment horizontal="left" wrapText="1"/>
    </xf>
    <xf numFmtId="3" fontId="8" fillId="0" borderId="142" xfId="22" applyNumberFormat="1" applyFont="1" applyBorder="1" applyAlignment="1">
      <alignment horizontal="center" vertical="center" textRotation="90" wrapText="1"/>
    </xf>
    <xf numFmtId="3" fontId="8" fillId="0" borderId="160" xfId="22" applyNumberFormat="1" applyFont="1" applyBorder="1" applyAlignment="1">
      <alignment horizontal="center" vertical="center" textRotation="90" wrapText="1"/>
    </xf>
    <xf numFmtId="3" fontId="8" fillId="0" borderId="143" xfId="22" applyNumberFormat="1" applyFont="1" applyBorder="1" applyAlignment="1">
      <alignment horizontal="center" vertical="center" textRotation="90" wrapText="1"/>
    </xf>
    <xf numFmtId="3" fontId="8" fillId="0" borderId="144" xfId="22" applyNumberFormat="1" applyFont="1" applyBorder="1" applyAlignment="1">
      <alignment horizontal="center" vertical="center" textRotation="90" wrapText="1"/>
    </xf>
    <xf numFmtId="3" fontId="8" fillId="0" borderId="161" xfId="22" applyNumberFormat="1" applyFont="1" applyBorder="1" applyAlignment="1">
      <alignment horizontal="center" vertical="center" textRotation="90" wrapText="1"/>
    </xf>
    <xf numFmtId="3" fontId="8" fillId="0" borderId="145" xfId="22" applyNumberFormat="1" applyFont="1" applyBorder="1" applyAlignment="1">
      <alignment horizontal="center" vertical="center" textRotation="90" wrapText="1"/>
    </xf>
    <xf numFmtId="3" fontId="8" fillId="0" borderId="178" xfId="22" applyNumberFormat="1" applyFont="1" applyBorder="1" applyAlignment="1">
      <alignment horizontal="center" vertical="center" wrapText="1"/>
    </xf>
    <xf numFmtId="3" fontId="8" fillId="0" borderId="100" xfId="22" applyNumberFormat="1" applyFont="1" applyBorder="1" applyAlignment="1">
      <alignment horizontal="center" vertical="center" wrapText="1"/>
    </xf>
    <xf numFmtId="3" fontId="8" fillId="0" borderId="179" xfId="22" applyNumberFormat="1" applyFont="1" applyBorder="1" applyAlignment="1">
      <alignment horizontal="center" vertical="center" wrapText="1"/>
    </xf>
    <xf numFmtId="14" fontId="8" fillId="0" borderId="148" xfId="22" applyNumberFormat="1" applyFont="1" applyBorder="1" applyAlignment="1">
      <alignment horizontal="center" vertical="center" wrapText="1"/>
    </xf>
    <xf numFmtId="14" fontId="8" fillId="0" borderId="89" xfId="22" applyNumberFormat="1" applyFont="1" applyBorder="1" applyAlignment="1">
      <alignment horizontal="center" vertical="center" wrapText="1"/>
    </xf>
    <xf numFmtId="14" fontId="8" fillId="0" borderId="108" xfId="22" applyNumberFormat="1" applyFont="1" applyBorder="1" applyAlignment="1">
      <alignment horizontal="center" vertical="center" wrapText="1"/>
    </xf>
    <xf numFmtId="3" fontId="8" fillId="0" borderId="0" xfId="22" applyNumberFormat="1" applyFont="1" applyBorder="1" applyAlignment="1">
      <alignment horizontal="left" wrapText="1"/>
    </xf>
    <xf numFmtId="3" fontId="8" fillId="0" borderId="85" xfId="22" applyNumberFormat="1" applyFont="1" applyBorder="1" applyAlignment="1">
      <alignment horizontal="center" vertical="center" wrapText="1"/>
    </xf>
    <xf numFmtId="3" fontId="8" fillId="0" borderId="163" xfId="22" applyNumberFormat="1" applyFont="1" applyBorder="1" applyAlignment="1">
      <alignment horizontal="center" vertical="center" wrapText="1"/>
    </xf>
    <xf numFmtId="3" fontId="8" fillId="0" borderId="164" xfId="22" applyNumberFormat="1" applyFont="1" applyBorder="1" applyAlignment="1">
      <alignment horizontal="center" vertical="center" wrapText="1"/>
    </xf>
    <xf numFmtId="3" fontId="8" fillId="0" borderId="165" xfId="22" applyNumberFormat="1" applyFont="1" applyBorder="1" applyAlignment="1">
      <alignment horizontal="center" vertical="center" wrapText="1"/>
    </xf>
    <xf numFmtId="3" fontId="8" fillId="0" borderId="166" xfId="22" applyNumberFormat="1" applyFont="1" applyBorder="1" applyAlignment="1">
      <alignment horizontal="center" vertical="center" wrapText="1"/>
    </xf>
    <xf numFmtId="3" fontId="8" fillId="0" borderId="157" xfId="22" applyNumberFormat="1" applyFont="1" applyBorder="1" applyAlignment="1">
      <alignment horizontal="center" vertical="center" wrapText="1"/>
    </xf>
    <xf numFmtId="3" fontId="8" fillId="0" borderId="88" xfId="22" applyNumberFormat="1" applyFont="1" applyBorder="1" applyAlignment="1">
      <alignment horizontal="center" vertical="center" wrapText="1"/>
    </xf>
    <xf numFmtId="3" fontId="8" fillId="0" borderId="93" xfId="22" applyNumberFormat="1" applyFont="1" applyBorder="1" applyAlignment="1">
      <alignment horizontal="center" vertical="center" wrapText="1"/>
    </xf>
    <xf numFmtId="3" fontId="8" fillId="0" borderId="167" xfId="22" applyNumberFormat="1" applyFont="1" applyBorder="1" applyAlignment="1">
      <alignment horizontal="center" vertical="center" wrapText="1"/>
    </xf>
    <xf numFmtId="3" fontId="8" fillId="0" borderId="219" xfId="22" applyNumberFormat="1" applyFont="1" applyBorder="1" applyAlignment="1">
      <alignment horizontal="center" vertical="center" wrapText="1"/>
    </xf>
    <xf numFmtId="3" fontId="8" fillId="0" borderId="220" xfId="22" applyNumberFormat="1" applyFont="1" applyBorder="1" applyAlignment="1">
      <alignment horizontal="center" vertical="center" wrapText="1"/>
    </xf>
    <xf numFmtId="3" fontId="8" fillId="0" borderId="187" xfId="22" applyNumberFormat="1" applyFont="1" applyFill="1" applyBorder="1" applyAlignment="1">
      <alignment horizontal="center" vertical="center" wrapText="1"/>
    </xf>
    <xf numFmtId="3" fontId="8" fillId="0" borderId="145" xfId="22" applyNumberFormat="1" applyFont="1" applyFill="1" applyBorder="1" applyAlignment="1">
      <alignment horizontal="center" vertical="center" wrapText="1"/>
    </xf>
    <xf numFmtId="0" fontId="8" fillId="0" borderId="157" xfId="22" applyNumberFormat="1" applyFont="1" applyBorder="1" applyAlignment="1">
      <alignment horizontal="center" vertical="center" wrapText="1"/>
    </xf>
    <xf numFmtId="3" fontId="8" fillId="0" borderId="158" xfId="22" applyNumberFormat="1" applyFont="1" applyBorder="1" applyAlignment="1">
      <alignment horizontal="center" vertical="center" wrapText="1"/>
    </xf>
    <xf numFmtId="3" fontId="8" fillId="0" borderId="159" xfId="22" applyNumberFormat="1" applyFont="1" applyBorder="1" applyAlignment="1">
      <alignment horizontal="center" vertical="center" wrapText="1"/>
    </xf>
    <xf numFmtId="3" fontId="10" fillId="0" borderId="12" xfId="22" applyNumberFormat="1" applyFont="1" applyBorder="1" applyAlignment="1">
      <alignment horizontal="center" vertical="center"/>
    </xf>
    <xf numFmtId="3" fontId="10" fillId="0" borderId="13" xfId="22" applyNumberFormat="1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70" xfId="0" applyFont="1" applyBorder="1" applyAlignment="1">
      <alignment horizontal="center" vertical="center"/>
    </xf>
    <xf numFmtId="0" fontId="8" fillId="0" borderId="0" xfId="0" applyFont="1" applyAlignment="1">
      <alignment horizontal="left" vertical="top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12" fillId="0" borderId="6" xfId="0" applyFont="1" applyBorder="1" applyAlignment="1">
      <alignment horizontal="center"/>
    </xf>
    <xf numFmtId="0" fontId="10" fillId="0" borderId="12" xfId="0" applyFont="1" applyBorder="1" applyAlignment="1">
      <alignment horizontal="center" vertical="center" wrapText="1"/>
    </xf>
    <xf numFmtId="0" fontId="10" fillId="0" borderId="170" xfId="0" applyFont="1" applyBorder="1" applyAlignment="1">
      <alignment horizontal="center" vertical="center" wrapText="1"/>
    </xf>
  </cellXfs>
  <cellStyles count="60">
    <cellStyle name="Ezres 2" xfId="1"/>
    <cellStyle name="Ezres 3" xfId="2"/>
    <cellStyle name="Ezres 4" xfId="3"/>
    <cellStyle name="Ezres 4 2" xfId="4"/>
    <cellStyle name="Ezres 4 2 2" xfId="48"/>
    <cellStyle name="Ezres 4 3" xfId="39"/>
    <cellStyle name="Ezres 4 4" xfId="47"/>
    <cellStyle name="Ezres 5" xfId="43"/>
    <cellStyle name="Normál" xfId="0" builtinId="0"/>
    <cellStyle name="Normál 10" xfId="42"/>
    <cellStyle name="Normál 10 2" xfId="57"/>
    <cellStyle name="Normál 2" xfId="5"/>
    <cellStyle name="Normál 3" xfId="6"/>
    <cellStyle name="Normál 4" xfId="7"/>
    <cellStyle name="Normál 5" xfId="8"/>
    <cellStyle name="Normál 5 2" xfId="49"/>
    <cellStyle name="Normál 6" xfId="9"/>
    <cellStyle name="Normál 6 2" xfId="10"/>
    <cellStyle name="Normál 6 2 2" xfId="51"/>
    <cellStyle name="Normál 6 3" xfId="11"/>
    <cellStyle name="Normál 6 3 2" xfId="12"/>
    <cellStyle name="Normál 6 3 2 2" xfId="37"/>
    <cellStyle name="Normál 6 3 2 3" xfId="38"/>
    <cellStyle name="Normál 6 3 2 3 2" xfId="59"/>
    <cellStyle name="Normál 6 3 2 4" xfId="54"/>
    <cellStyle name="Normál 6 3 2 5" xfId="58"/>
    <cellStyle name="Normál 6 3 3" xfId="52"/>
    <cellStyle name="Normál 6 4" xfId="50"/>
    <cellStyle name="Normál 7" xfId="13"/>
    <cellStyle name="Normál 8" xfId="14"/>
    <cellStyle name="Normál 8 2" xfId="15"/>
    <cellStyle name="Normál 8 2 2" xfId="41"/>
    <cellStyle name="Normál 8 2 3" xfId="46"/>
    <cellStyle name="Normál 8 2 4" xfId="56"/>
    <cellStyle name="Normál 8 3" xfId="53"/>
    <cellStyle name="Normál 9" xfId="16"/>
    <cellStyle name="Normál 9 2" xfId="40"/>
    <cellStyle name="Normál 9 3" xfId="45"/>
    <cellStyle name="Normál 9 4" xfId="55"/>
    <cellStyle name="Normál_2007.évi konc. összefoglaló bevétel" xfId="17"/>
    <cellStyle name="Normál_2007.évi konc. összefoglaló bevétel 2" xfId="18"/>
    <cellStyle name="Normál_2008.évi költségvetési javaslat" xfId="19"/>
    <cellStyle name="Normál_2011koltsegvetes (2) 2" xfId="20"/>
    <cellStyle name="Normál_Beruházási tábla 2007" xfId="21"/>
    <cellStyle name="Normál_EU-s tábla kv-hez_EU projektek tábla" xfId="22"/>
    <cellStyle name="Normál_fejlesztesi hitel" xfId="23"/>
    <cellStyle name="Normál_Hitel tábla 2012 terv" xfId="24"/>
    <cellStyle name="Normál_Hitel tábla 2012 terv (2)" xfId="25"/>
    <cellStyle name="Normál_hitelállomány07_12" xfId="26"/>
    <cellStyle name="Normál_hiteltörl költségvetés 2014" xfId="27"/>
    <cellStyle name="Normál_Intézményi bevétel-kiadás" xfId="28"/>
    <cellStyle name="Normál_Intézményi bevétel-kiadás 2" xfId="29"/>
    <cellStyle name="Normál_irodai végleges intézményekkel" xfId="30"/>
    <cellStyle name="Normál_Városfejlesztési Iroda - 2008. kv. tervezés" xfId="31"/>
    <cellStyle name="Normál_Városfejlesztési Iroda - 2008. kv. tervezés_2014.évi eredeti előirányzat 2" xfId="32"/>
    <cellStyle name="Normál_Városfejlesztési Iroda - 2008. kv. tervezés_Koltsegvetes_modositas_aprilis_tablazatai" xfId="33"/>
    <cellStyle name="Százalék" xfId="34" builtinId="5"/>
    <cellStyle name="Százalék 2" xfId="35"/>
    <cellStyle name="Százalék 3" xfId="36"/>
    <cellStyle name="Százalék 3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6"/>
  <sheetViews>
    <sheetView view="pageBreakPreview" zoomScaleNormal="100" zoomScaleSheetLayoutView="100" workbookViewId="0">
      <selection activeCell="B4" sqref="B4"/>
    </sheetView>
  </sheetViews>
  <sheetFormatPr defaultColWidth="9.140625" defaultRowHeight="16.5" x14ac:dyDescent="0.3"/>
  <cols>
    <col min="1" max="1" width="3.7109375" style="67" customWidth="1"/>
    <col min="2" max="5" width="5.7109375" style="109" customWidth="1"/>
    <col min="6" max="6" width="59.7109375" style="72" customWidth="1"/>
    <col min="7" max="9" width="13.7109375" style="44" customWidth="1"/>
    <col min="10" max="10" width="15.7109375" style="131" customWidth="1"/>
    <col min="11" max="11" width="12.28515625" style="72" customWidth="1"/>
    <col min="12" max="12" width="19.5703125" style="72" customWidth="1"/>
    <col min="13" max="13" width="11.85546875" style="72" customWidth="1"/>
    <col min="14" max="16384" width="9.140625" style="72"/>
  </cols>
  <sheetData>
    <row r="1" spans="1:22" x14ac:dyDescent="0.3">
      <c r="B1" s="1936" t="s">
        <v>967</v>
      </c>
      <c r="C1" s="1936"/>
      <c r="D1" s="1936"/>
      <c r="E1" s="1936"/>
      <c r="F1" s="1936"/>
      <c r="G1" s="64"/>
      <c r="H1" s="64"/>
      <c r="I1" s="64"/>
      <c r="J1" s="130"/>
    </row>
    <row r="2" spans="1:22" x14ac:dyDescent="0.3">
      <c r="B2" s="1936" t="s">
        <v>1038</v>
      </c>
      <c r="C2" s="1936"/>
      <c r="D2" s="1936"/>
      <c r="E2" s="1936"/>
      <c r="F2" s="1936"/>
      <c r="G2" s="64"/>
      <c r="H2" s="64"/>
      <c r="I2" s="64"/>
      <c r="J2" s="130"/>
    </row>
    <row r="3" spans="1:22" x14ac:dyDescent="0.3">
      <c r="B3" s="500" t="s">
        <v>1056</v>
      </c>
      <c r="C3" s="500"/>
      <c r="D3" s="500"/>
      <c r="E3" s="500"/>
      <c r="F3" s="500"/>
      <c r="G3" s="64"/>
      <c r="H3" s="64"/>
      <c r="I3" s="64"/>
      <c r="J3" s="130"/>
    </row>
    <row r="4" spans="1:22" x14ac:dyDescent="0.3">
      <c r="B4" s="1905" t="s">
        <v>1224</v>
      </c>
      <c r="C4" s="1886"/>
      <c r="D4" s="1886"/>
      <c r="E4" s="1886"/>
      <c r="F4" s="1886"/>
      <c r="G4" s="64"/>
      <c r="H4" s="64"/>
      <c r="I4" s="64"/>
      <c r="J4" s="130"/>
    </row>
    <row r="5" spans="1:22" s="15" customFormat="1" ht="25.15" customHeight="1" x14ac:dyDescent="0.3">
      <c r="A5" s="67"/>
      <c r="B5" s="1937" t="s">
        <v>172</v>
      </c>
      <c r="C5" s="1937"/>
      <c r="D5" s="1937"/>
      <c r="E5" s="1937"/>
      <c r="F5" s="1937"/>
      <c r="G5" s="1937"/>
      <c r="H5" s="1937"/>
      <c r="I5" s="1937"/>
      <c r="J5" s="1937"/>
    </row>
    <row r="6" spans="1:22" s="15" customFormat="1" ht="25.15" customHeight="1" x14ac:dyDescent="0.3">
      <c r="A6" s="67"/>
      <c r="B6" s="1938" t="s">
        <v>630</v>
      </c>
      <c r="C6" s="1938"/>
      <c r="D6" s="1938"/>
      <c r="E6" s="1938"/>
      <c r="F6" s="1938"/>
      <c r="G6" s="1938"/>
      <c r="H6" s="1938"/>
      <c r="I6" s="1938"/>
      <c r="J6" s="1938"/>
    </row>
    <row r="7" spans="1:22" s="275" customFormat="1" ht="15" x14ac:dyDescent="0.3">
      <c r="A7" s="67"/>
      <c r="B7" s="512"/>
      <c r="C7" s="512"/>
      <c r="D7" s="512"/>
      <c r="E7" s="512"/>
      <c r="F7" s="512"/>
      <c r="G7" s="513"/>
      <c r="H7" s="513"/>
      <c r="I7" s="118"/>
      <c r="J7" s="118"/>
      <c r="K7" s="121"/>
      <c r="L7" s="514"/>
      <c r="M7" s="121" t="s">
        <v>0</v>
      </c>
    </row>
    <row r="8" spans="1:22" s="276" customFormat="1" ht="15" thickBot="1" x14ac:dyDescent="0.35">
      <c r="A8" s="67"/>
      <c r="B8" s="515" t="s">
        <v>1</v>
      </c>
      <c r="C8" s="515" t="s">
        <v>3</v>
      </c>
      <c r="D8" s="515" t="s">
        <v>2</v>
      </c>
      <c r="E8" s="515" t="s">
        <v>4</v>
      </c>
      <c r="F8" s="515" t="s">
        <v>5</v>
      </c>
      <c r="G8" s="516" t="s">
        <v>15</v>
      </c>
      <c r="H8" s="516" t="s">
        <v>16</v>
      </c>
      <c r="I8" s="516" t="s">
        <v>17</v>
      </c>
      <c r="J8" s="516" t="s">
        <v>36</v>
      </c>
      <c r="K8" s="516" t="s">
        <v>30</v>
      </c>
      <c r="L8" s="42" t="s">
        <v>23</v>
      </c>
      <c r="M8" s="517" t="s">
        <v>37</v>
      </c>
    </row>
    <row r="9" spans="1:22" s="45" customFormat="1" ht="80.099999999999994" customHeight="1" thickBot="1" x14ac:dyDescent="0.35">
      <c r="A9" s="518"/>
      <c r="B9" s="519" t="s">
        <v>18</v>
      </c>
      <c r="C9" s="520" t="s">
        <v>19</v>
      </c>
      <c r="D9" s="521" t="s">
        <v>669</v>
      </c>
      <c r="E9" s="521" t="s">
        <v>670</v>
      </c>
      <c r="F9" s="522" t="s">
        <v>6</v>
      </c>
      <c r="G9" s="523" t="s">
        <v>660</v>
      </c>
      <c r="H9" s="524" t="s">
        <v>633</v>
      </c>
      <c r="I9" s="525" t="s">
        <v>900</v>
      </c>
      <c r="J9" s="526" t="s">
        <v>1057</v>
      </c>
      <c r="K9" s="527" t="s">
        <v>1058</v>
      </c>
      <c r="L9" s="528" t="s">
        <v>123</v>
      </c>
      <c r="M9" s="529" t="s">
        <v>1110</v>
      </c>
      <c r="N9" s="52"/>
      <c r="O9" s="52"/>
      <c r="P9" s="52"/>
      <c r="Q9" s="52"/>
      <c r="R9" s="52"/>
      <c r="S9" s="52"/>
      <c r="T9" s="52"/>
      <c r="U9" s="52"/>
      <c r="V9" s="52"/>
    </row>
    <row r="10" spans="1:22" s="107" customFormat="1" ht="36" customHeight="1" x14ac:dyDescent="0.35">
      <c r="A10" s="518">
        <v>1</v>
      </c>
      <c r="B10" s="530"/>
      <c r="C10" s="531"/>
      <c r="D10" s="532">
        <v>1</v>
      </c>
      <c r="E10" s="532"/>
      <c r="F10" s="533" t="s">
        <v>143</v>
      </c>
      <c r="G10" s="534">
        <f t="shared" ref="G10:M10" si="0">SUM(G11,G18,G28,G34,G36,G17,G33)</f>
        <v>14062643</v>
      </c>
      <c r="H10" s="534">
        <f t="shared" si="0"/>
        <v>12977517</v>
      </c>
      <c r="I10" s="534">
        <f t="shared" si="0"/>
        <v>14853364</v>
      </c>
      <c r="J10" s="535">
        <f t="shared" si="0"/>
        <v>15115259</v>
      </c>
      <c r="K10" s="534">
        <f t="shared" si="0"/>
        <v>13554693</v>
      </c>
      <c r="L10" s="536">
        <f>SUM(L11,L18,L28,L34,L36,L17,L33)</f>
        <v>370337</v>
      </c>
      <c r="M10" s="537">
        <f t="shared" si="0"/>
        <v>13925030</v>
      </c>
      <c r="N10" s="106"/>
      <c r="O10" s="106"/>
      <c r="P10" s="106"/>
      <c r="Q10" s="106"/>
      <c r="R10" s="106"/>
      <c r="S10" s="106"/>
      <c r="T10" s="106"/>
      <c r="U10" s="106"/>
      <c r="V10" s="106"/>
    </row>
    <row r="11" spans="1:22" s="107" customFormat="1" ht="36" customHeight="1" x14ac:dyDescent="0.35">
      <c r="A11" s="518">
        <v>2</v>
      </c>
      <c r="B11" s="538">
        <v>18</v>
      </c>
      <c r="C11" s="539"/>
      <c r="D11" s="540"/>
      <c r="E11" s="540">
        <v>1</v>
      </c>
      <c r="F11" s="539" t="s">
        <v>173</v>
      </c>
      <c r="G11" s="541">
        <f t="shared" ref="G11:M11" si="1">SUM(G12,G15:G15)</f>
        <v>3706565</v>
      </c>
      <c r="H11" s="541">
        <f t="shared" si="1"/>
        <v>3419289</v>
      </c>
      <c r="I11" s="541">
        <f t="shared" si="1"/>
        <v>4483032</v>
      </c>
      <c r="J11" s="542">
        <f t="shared" si="1"/>
        <v>4404208</v>
      </c>
      <c r="K11" s="541">
        <f t="shared" si="1"/>
        <v>4066631</v>
      </c>
      <c r="L11" s="543">
        <f t="shared" si="1"/>
        <v>358781</v>
      </c>
      <c r="M11" s="544">
        <f t="shared" si="1"/>
        <v>4425412</v>
      </c>
      <c r="N11" s="106"/>
      <c r="O11" s="106"/>
      <c r="P11" s="106"/>
      <c r="Q11" s="106"/>
      <c r="R11" s="106"/>
      <c r="S11" s="106"/>
      <c r="T11" s="106"/>
      <c r="U11" s="106"/>
      <c r="V11" s="106"/>
    </row>
    <row r="12" spans="1:22" s="108" customFormat="1" ht="17.25" x14ac:dyDescent="0.35">
      <c r="A12" s="518">
        <v>3</v>
      </c>
      <c r="B12" s="545"/>
      <c r="C12" s="546"/>
      <c r="D12" s="71"/>
      <c r="E12" s="71"/>
      <c r="F12" s="547" t="s">
        <v>174</v>
      </c>
      <c r="G12" s="548">
        <f t="shared" ref="G12:M12" si="2">SUM(G13:G14)</f>
        <v>3341151</v>
      </c>
      <c r="H12" s="548">
        <f t="shared" si="2"/>
        <v>3194545</v>
      </c>
      <c r="I12" s="548">
        <f t="shared" si="2"/>
        <v>3563207</v>
      </c>
      <c r="J12" s="549">
        <f t="shared" si="2"/>
        <v>3066627</v>
      </c>
      <c r="K12" s="550">
        <f t="shared" si="2"/>
        <v>3198812</v>
      </c>
      <c r="L12" s="550">
        <f t="shared" si="2"/>
        <v>232365</v>
      </c>
      <c r="M12" s="551">
        <f t="shared" si="2"/>
        <v>3431177</v>
      </c>
    </row>
    <row r="13" spans="1:22" ht="33" customHeight="1" x14ac:dyDescent="0.35">
      <c r="A13" s="552">
        <v>4</v>
      </c>
      <c r="B13" s="553"/>
      <c r="C13" s="554"/>
      <c r="D13" s="554"/>
      <c r="E13" s="554"/>
      <c r="F13" s="555" t="s">
        <v>299</v>
      </c>
      <c r="G13" s="2">
        <v>3286398</v>
      </c>
      <c r="H13" s="2">
        <v>3194545</v>
      </c>
      <c r="I13" s="2">
        <v>3533067</v>
      </c>
      <c r="J13" s="556">
        <v>3066627</v>
      </c>
      <c r="K13" s="557">
        <v>3198812</v>
      </c>
      <c r="L13" s="558">
        <v>229415</v>
      </c>
      <c r="M13" s="551">
        <f>SUM(K13:L13)</f>
        <v>3428227</v>
      </c>
    </row>
    <row r="14" spans="1:22" ht="33.75" x14ac:dyDescent="0.35">
      <c r="A14" s="552">
        <v>5</v>
      </c>
      <c r="B14" s="545"/>
      <c r="C14" s="554"/>
      <c r="D14" s="554"/>
      <c r="E14" s="554"/>
      <c r="F14" s="555" t="s">
        <v>175</v>
      </c>
      <c r="G14" s="2">
        <v>54753</v>
      </c>
      <c r="H14" s="2"/>
      <c r="I14" s="2">
        <v>30140</v>
      </c>
      <c r="J14" s="556"/>
      <c r="K14" s="557"/>
      <c r="L14" s="558">
        <v>2950</v>
      </c>
      <c r="M14" s="551">
        <f>SUM(K14:L14)</f>
        <v>2950</v>
      </c>
    </row>
    <row r="15" spans="1:22" s="108" customFormat="1" ht="17.25" x14ac:dyDescent="0.35">
      <c r="A15" s="518">
        <v>6</v>
      </c>
      <c r="B15" s="545"/>
      <c r="C15" s="560"/>
      <c r="D15" s="554"/>
      <c r="E15" s="554"/>
      <c r="F15" s="561" t="s">
        <v>176</v>
      </c>
      <c r="G15" s="548">
        <v>365414</v>
      </c>
      <c r="H15" s="548">
        <v>224744</v>
      </c>
      <c r="I15" s="548">
        <v>919825</v>
      </c>
      <c r="J15" s="562">
        <v>1337581</v>
      </c>
      <c r="K15" s="550">
        <v>867819</v>
      </c>
      <c r="L15" s="563">
        <v>126416</v>
      </c>
      <c r="M15" s="551">
        <f>SUM(K15:L15)</f>
        <v>994235</v>
      </c>
    </row>
    <row r="16" spans="1:22" ht="16.5" customHeight="1" x14ac:dyDescent="0.35">
      <c r="A16" s="518">
        <v>7</v>
      </c>
      <c r="B16" s="545"/>
      <c r="C16" s="554"/>
      <c r="D16" s="554"/>
      <c r="E16" s="554"/>
      <c r="F16" s="555" t="s">
        <v>177</v>
      </c>
      <c r="G16" s="2">
        <v>148540</v>
      </c>
      <c r="H16" s="2">
        <v>147600</v>
      </c>
      <c r="I16" s="2">
        <v>160234</v>
      </c>
      <c r="J16" s="556">
        <v>180000</v>
      </c>
      <c r="K16" s="557">
        <v>180000</v>
      </c>
      <c r="L16" s="558">
        <v>19387</v>
      </c>
      <c r="M16" s="551">
        <f>SUM(K16:L16)</f>
        <v>199387</v>
      </c>
    </row>
    <row r="17" spans="1:13" ht="36" customHeight="1" x14ac:dyDescent="0.35">
      <c r="A17" s="297">
        <v>8</v>
      </c>
      <c r="B17" s="564" t="s">
        <v>547</v>
      </c>
      <c r="C17" s="554"/>
      <c r="D17" s="554"/>
      <c r="E17" s="565">
        <v>2</v>
      </c>
      <c r="F17" s="539" t="s">
        <v>178</v>
      </c>
      <c r="G17" s="548">
        <v>216590</v>
      </c>
      <c r="H17" s="548">
        <v>117496</v>
      </c>
      <c r="I17" s="548">
        <v>317352</v>
      </c>
      <c r="J17" s="562">
        <v>236049</v>
      </c>
      <c r="K17" s="550">
        <v>179422</v>
      </c>
      <c r="L17" s="566">
        <v>14635</v>
      </c>
      <c r="M17" s="551">
        <f>SUM(K17:L17)</f>
        <v>194057</v>
      </c>
    </row>
    <row r="18" spans="1:13" s="74" customFormat="1" ht="36" customHeight="1" x14ac:dyDescent="0.35">
      <c r="A18" s="518">
        <v>9</v>
      </c>
      <c r="B18" s="545">
        <v>18</v>
      </c>
      <c r="C18" s="546"/>
      <c r="D18" s="71"/>
      <c r="E18" s="71">
        <v>3</v>
      </c>
      <c r="F18" s="567" t="s">
        <v>179</v>
      </c>
      <c r="G18" s="568">
        <f>SUM(G19,G27:G27)</f>
        <v>8049548</v>
      </c>
      <c r="H18" s="568">
        <f>SUM(H19,H27:H27)</f>
        <v>7765600</v>
      </c>
      <c r="I18" s="568">
        <f>SUM(I19,I27:I27)</f>
        <v>8108452</v>
      </c>
      <c r="J18" s="549">
        <f>SUM(J19,J27:J27)</f>
        <v>7945120</v>
      </c>
      <c r="K18" s="550">
        <f>SUM(K19,K27:K27)</f>
        <v>7280120</v>
      </c>
      <c r="L18" s="563">
        <f t="shared" ref="L18:M18" si="3">SUM(L19,L27:L27)</f>
        <v>0</v>
      </c>
      <c r="M18" s="551">
        <f t="shared" si="3"/>
        <v>7280120</v>
      </c>
    </row>
    <row r="19" spans="1:13" s="108" customFormat="1" ht="17.25" x14ac:dyDescent="0.35">
      <c r="A19" s="518">
        <v>10</v>
      </c>
      <c r="B19" s="545"/>
      <c r="C19" s="546"/>
      <c r="D19" s="71"/>
      <c r="E19" s="71"/>
      <c r="F19" s="561" t="s">
        <v>180</v>
      </c>
      <c r="G19" s="548">
        <f>SUM(G20:G26)</f>
        <v>8043412</v>
      </c>
      <c r="H19" s="548">
        <f>SUM(H20:H26)</f>
        <v>7760000</v>
      </c>
      <c r="I19" s="548">
        <f>SUM(I20:I26)</f>
        <v>8100342</v>
      </c>
      <c r="J19" s="549">
        <f>SUM(J20:J26)</f>
        <v>7940000</v>
      </c>
      <c r="K19" s="550">
        <f>SUM(K20:K26)</f>
        <v>7275000</v>
      </c>
      <c r="L19" s="563">
        <f t="shared" ref="L19:M19" si="4">SUM(L20:L26)</f>
        <v>0</v>
      </c>
      <c r="M19" s="551">
        <f t="shared" si="4"/>
        <v>7275000</v>
      </c>
    </row>
    <row r="20" spans="1:13" ht="17.25" x14ac:dyDescent="0.35">
      <c r="A20" s="518">
        <v>11</v>
      </c>
      <c r="B20" s="545"/>
      <c r="C20" s="71"/>
      <c r="D20" s="71"/>
      <c r="E20" s="71"/>
      <c r="F20" s="555" t="s">
        <v>132</v>
      </c>
      <c r="G20" s="2">
        <v>1300333</v>
      </c>
      <c r="H20" s="2">
        <v>1300000</v>
      </c>
      <c r="I20" s="2">
        <v>1353716</v>
      </c>
      <c r="J20" s="556">
        <v>1320000</v>
      </c>
      <c r="K20" s="557">
        <v>1320000</v>
      </c>
      <c r="L20" s="558"/>
      <c r="M20" s="551">
        <f>SUM(K20:L20)</f>
        <v>1320000</v>
      </c>
    </row>
    <row r="21" spans="1:13" ht="17.25" x14ac:dyDescent="0.35">
      <c r="A21" s="518">
        <v>12</v>
      </c>
      <c r="B21" s="545"/>
      <c r="C21" s="71"/>
      <c r="D21" s="71"/>
      <c r="E21" s="71"/>
      <c r="F21" s="555" t="s">
        <v>135</v>
      </c>
      <c r="G21" s="2">
        <v>44141</v>
      </c>
      <c r="H21" s="2">
        <v>45000</v>
      </c>
      <c r="I21" s="2">
        <v>45085</v>
      </c>
      <c r="J21" s="556">
        <v>55000</v>
      </c>
      <c r="K21" s="557">
        <v>10000</v>
      </c>
      <c r="L21" s="558"/>
      <c r="M21" s="551">
        <f t="shared" ref="M21:M27" si="5">SUM(K21:L21)</f>
        <v>10000</v>
      </c>
    </row>
    <row r="22" spans="1:13" ht="17.25" x14ac:dyDescent="0.35">
      <c r="A22" s="518">
        <v>13</v>
      </c>
      <c r="B22" s="545"/>
      <c r="C22" s="71"/>
      <c r="D22" s="71"/>
      <c r="E22" s="71"/>
      <c r="F22" s="555" t="s">
        <v>134</v>
      </c>
      <c r="G22" s="2">
        <v>143422</v>
      </c>
      <c r="H22" s="2">
        <v>145000</v>
      </c>
      <c r="I22" s="2">
        <v>142925</v>
      </c>
      <c r="J22" s="556">
        <v>143000</v>
      </c>
      <c r="K22" s="557">
        <v>143000</v>
      </c>
      <c r="L22" s="558"/>
      <c r="M22" s="551">
        <f t="shared" si="5"/>
        <v>143000</v>
      </c>
    </row>
    <row r="23" spans="1:13" ht="17.25" x14ac:dyDescent="0.35">
      <c r="A23" s="518">
        <v>14</v>
      </c>
      <c r="B23" s="545"/>
      <c r="C23" s="71"/>
      <c r="D23" s="71"/>
      <c r="E23" s="71"/>
      <c r="F23" s="555" t="s">
        <v>133</v>
      </c>
      <c r="G23" s="2">
        <v>95735</v>
      </c>
      <c r="H23" s="2">
        <v>95000</v>
      </c>
      <c r="I23" s="2">
        <v>91186</v>
      </c>
      <c r="J23" s="556">
        <v>92000</v>
      </c>
      <c r="K23" s="557">
        <v>92000</v>
      </c>
      <c r="L23" s="558"/>
      <c r="M23" s="551">
        <f t="shared" si="5"/>
        <v>92000</v>
      </c>
    </row>
    <row r="24" spans="1:13" ht="17.25" x14ac:dyDescent="0.35">
      <c r="A24" s="518">
        <v>15</v>
      </c>
      <c r="B24" s="545"/>
      <c r="C24" s="71"/>
      <c r="D24" s="71"/>
      <c r="E24" s="71"/>
      <c r="F24" s="555" t="s">
        <v>131</v>
      </c>
      <c r="G24" s="2">
        <v>6222826</v>
      </c>
      <c r="H24" s="2">
        <v>5950000</v>
      </c>
      <c r="I24" s="2">
        <v>6222920</v>
      </c>
      <c r="J24" s="556">
        <v>6100000</v>
      </c>
      <c r="K24" s="557">
        <v>5700000</v>
      </c>
      <c r="L24" s="558"/>
      <c r="M24" s="551">
        <f t="shared" si="5"/>
        <v>5700000</v>
      </c>
    </row>
    <row r="25" spans="1:13" ht="17.25" x14ac:dyDescent="0.35">
      <c r="A25" s="518">
        <v>16</v>
      </c>
      <c r="B25" s="545"/>
      <c r="C25" s="71"/>
      <c r="D25" s="71"/>
      <c r="E25" s="71"/>
      <c r="F25" s="555" t="s">
        <v>136</v>
      </c>
      <c r="G25" s="2">
        <v>215843</v>
      </c>
      <c r="H25" s="2">
        <v>210000</v>
      </c>
      <c r="I25" s="2">
        <v>230151</v>
      </c>
      <c r="J25" s="556">
        <v>220000</v>
      </c>
      <c r="K25" s="557">
        <v>0</v>
      </c>
      <c r="L25" s="558"/>
      <c r="M25" s="551">
        <f t="shared" si="5"/>
        <v>0</v>
      </c>
    </row>
    <row r="26" spans="1:13" ht="17.25" x14ac:dyDescent="0.35">
      <c r="A26" s="518">
        <v>17</v>
      </c>
      <c r="B26" s="545"/>
      <c r="C26" s="71"/>
      <c r="D26" s="71"/>
      <c r="E26" s="71"/>
      <c r="F26" s="555" t="s">
        <v>181</v>
      </c>
      <c r="G26" s="2">
        <v>21112</v>
      </c>
      <c r="H26" s="2">
        <v>15000</v>
      </c>
      <c r="I26" s="2">
        <v>14359</v>
      </c>
      <c r="J26" s="556">
        <v>10000</v>
      </c>
      <c r="K26" s="557">
        <v>10000</v>
      </c>
      <c r="L26" s="558"/>
      <c r="M26" s="551">
        <f t="shared" si="5"/>
        <v>10000</v>
      </c>
    </row>
    <row r="27" spans="1:13" s="108" customFormat="1" ht="34.5" x14ac:dyDescent="0.35">
      <c r="A27" s="552">
        <v>18</v>
      </c>
      <c r="B27" s="545"/>
      <c r="C27" s="546"/>
      <c r="D27" s="71"/>
      <c r="E27" s="71"/>
      <c r="F27" s="561" t="s">
        <v>182</v>
      </c>
      <c r="G27" s="548">
        <v>6136</v>
      </c>
      <c r="H27" s="548">
        <v>5600</v>
      </c>
      <c r="I27" s="548">
        <v>8110</v>
      </c>
      <c r="J27" s="562">
        <v>5120</v>
      </c>
      <c r="K27" s="550">
        <v>5120</v>
      </c>
      <c r="L27" s="566"/>
      <c r="M27" s="551">
        <f t="shared" si="5"/>
        <v>5120</v>
      </c>
    </row>
    <row r="28" spans="1:13" s="74" customFormat="1" ht="36" customHeight="1" x14ac:dyDescent="0.35">
      <c r="A28" s="518">
        <v>19</v>
      </c>
      <c r="B28" s="545">
        <v>18</v>
      </c>
      <c r="C28" s="546"/>
      <c r="D28" s="71"/>
      <c r="E28" s="71">
        <v>4</v>
      </c>
      <c r="F28" s="567" t="s">
        <v>146</v>
      </c>
      <c r="G28" s="568">
        <f>SUM(G29:G32)</f>
        <v>1035546</v>
      </c>
      <c r="H28" s="568">
        <f>SUM(H29:H32)</f>
        <v>765238</v>
      </c>
      <c r="I28" s="568">
        <f>SUM(I29:I32)</f>
        <v>818620</v>
      </c>
      <c r="J28" s="549">
        <f>SUM(J29:J32)</f>
        <v>1501270</v>
      </c>
      <c r="K28" s="550">
        <f>SUM(K29:K32)</f>
        <v>1134028</v>
      </c>
      <c r="L28" s="550">
        <f t="shared" ref="L28:M28" si="6">SUM(L29:L32)</f>
        <v>0</v>
      </c>
      <c r="M28" s="551">
        <f t="shared" si="6"/>
        <v>1134028</v>
      </c>
    </row>
    <row r="29" spans="1:13" ht="16.5" customHeight="1" x14ac:dyDescent="0.35">
      <c r="A29" s="518">
        <v>20</v>
      </c>
      <c r="B29" s="545"/>
      <c r="C29" s="71"/>
      <c r="D29" s="71"/>
      <c r="E29" s="71"/>
      <c r="F29" s="555" t="s">
        <v>295</v>
      </c>
      <c r="G29" s="2">
        <v>319006</v>
      </c>
      <c r="H29" s="2">
        <v>367526</v>
      </c>
      <c r="I29" s="2">
        <v>335480</v>
      </c>
      <c r="J29" s="556">
        <v>327392</v>
      </c>
      <c r="K29" s="557">
        <v>263773</v>
      </c>
      <c r="L29" s="558"/>
      <c r="M29" s="551">
        <f>SUM(K29:L29)</f>
        <v>263773</v>
      </c>
    </row>
    <row r="30" spans="1:13" ht="16.5" customHeight="1" x14ac:dyDescent="0.35">
      <c r="A30" s="518">
        <v>21</v>
      </c>
      <c r="B30" s="545"/>
      <c r="C30" s="71"/>
      <c r="D30" s="71"/>
      <c r="E30" s="71"/>
      <c r="F30" s="555" t="s">
        <v>296</v>
      </c>
      <c r="G30" s="2">
        <v>155541</v>
      </c>
      <c r="H30" s="2">
        <v>192783</v>
      </c>
      <c r="I30" s="2">
        <v>219462</v>
      </c>
      <c r="J30" s="556">
        <v>280770</v>
      </c>
      <c r="K30" s="557">
        <v>281160</v>
      </c>
      <c r="L30" s="558"/>
      <c r="M30" s="551">
        <f t="shared" ref="M30:M32" si="7">SUM(K30:L30)</f>
        <v>281160</v>
      </c>
    </row>
    <row r="31" spans="1:13" ht="16.5" customHeight="1" x14ac:dyDescent="0.35">
      <c r="A31" s="518">
        <v>22</v>
      </c>
      <c r="B31" s="545"/>
      <c r="C31" s="71"/>
      <c r="D31" s="71"/>
      <c r="E31" s="71"/>
      <c r="F31" s="555" t="s">
        <v>297</v>
      </c>
      <c r="G31" s="2">
        <v>490423</v>
      </c>
      <c r="H31" s="2">
        <v>204929</v>
      </c>
      <c r="I31" s="2">
        <v>219034</v>
      </c>
      <c r="J31" s="556">
        <v>889171</v>
      </c>
      <c r="K31" s="557">
        <v>584630</v>
      </c>
      <c r="L31" s="569"/>
      <c r="M31" s="551">
        <f t="shared" si="7"/>
        <v>584630</v>
      </c>
    </row>
    <row r="32" spans="1:13" ht="16.5" customHeight="1" x14ac:dyDescent="0.35">
      <c r="A32" s="518">
        <v>23</v>
      </c>
      <c r="B32" s="545"/>
      <c r="C32" s="71"/>
      <c r="D32" s="71"/>
      <c r="E32" s="71"/>
      <c r="F32" s="555" t="s">
        <v>298</v>
      </c>
      <c r="G32" s="2">
        <v>70576</v>
      </c>
      <c r="H32" s="2"/>
      <c r="I32" s="2">
        <v>44644</v>
      </c>
      <c r="J32" s="556">
        <v>3937</v>
      </c>
      <c r="K32" s="557">
        <v>4465</v>
      </c>
      <c r="L32" s="569"/>
      <c r="M32" s="551">
        <f t="shared" si="7"/>
        <v>4465</v>
      </c>
    </row>
    <row r="33" spans="1:22" s="74" customFormat="1" ht="36" customHeight="1" x14ac:dyDescent="0.35">
      <c r="A33" s="518">
        <v>24</v>
      </c>
      <c r="B33" s="570" t="s">
        <v>547</v>
      </c>
      <c r="C33" s="546"/>
      <c r="D33" s="71"/>
      <c r="E33" s="71">
        <v>5</v>
      </c>
      <c r="F33" s="567" t="s">
        <v>183</v>
      </c>
      <c r="G33" s="568">
        <v>998980</v>
      </c>
      <c r="H33" s="568">
        <v>909894</v>
      </c>
      <c r="I33" s="568">
        <v>1111879</v>
      </c>
      <c r="J33" s="571">
        <v>1028612</v>
      </c>
      <c r="K33" s="550">
        <v>883498</v>
      </c>
      <c r="L33" s="572">
        <v>-3711</v>
      </c>
      <c r="M33" s="551">
        <f>SUM(K33:L33)</f>
        <v>879787</v>
      </c>
    </row>
    <row r="34" spans="1:22" s="74" customFormat="1" ht="36" customHeight="1" x14ac:dyDescent="0.35">
      <c r="A34" s="518">
        <v>25</v>
      </c>
      <c r="B34" s="545">
        <v>18</v>
      </c>
      <c r="C34" s="546"/>
      <c r="D34" s="71"/>
      <c r="E34" s="71">
        <v>6</v>
      </c>
      <c r="F34" s="567" t="s">
        <v>184</v>
      </c>
      <c r="G34" s="568">
        <v>41080</v>
      </c>
      <c r="H34" s="568"/>
      <c r="I34" s="568">
        <v>5713</v>
      </c>
      <c r="J34" s="571"/>
      <c r="K34" s="550">
        <v>9688</v>
      </c>
      <c r="L34" s="572">
        <v>432</v>
      </c>
      <c r="M34" s="551">
        <f>SUM(K34:L34)</f>
        <v>10120</v>
      </c>
    </row>
    <row r="35" spans="1:22" s="74" customFormat="1" ht="18" customHeight="1" x14ac:dyDescent="0.35">
      <c r="A35" s="518"/>
      <c r="B35" s="545"/>
      <c r="C35" s="546"/>
      <c r="D35" s="71"/>
      <c r="E35" s="71"/>
      <c r="F35" s="555" t="s">
        <v>1037</v>
      </c>
      <c r="G35" s="568"/>
      <c r="H35" s="568"/>
      <c r="I35" s="568"/>
      <c r="J35" s="571"/>
      <c r="K35" s="557">
        <v>5688</v>
      </c>
      <c r="L35" s="573">
        <v>432</v>
      </c>
      <c r="M35" s="559">
        <f>SUM(K35:L35)</f>
        <v>6120</v>
      </c>
    </row>
    <row r="36" spans="1:22" s="108" customFormat="1" ht="36" customHeight="1" x14ac:dyDescent="0.35">
      <c r="A36" s="552">
        <v>26</v>
      </c>
      <c r="B36" s="574" t="s">
        <v>547</v>
      </c>
      <c r="C36" s="575"/>
      <c r="D36" s="575"/>
      <c r="E36" s="576">
        <v>7</v>
      </c>
      <c r="F36" s="577" t="s">
        <v>185</v>
      </c>
      <c r="G36" s="578">
        <v>14334</v>
      </c>
      <c r="H36" s="578"/>
      <c r="I36" s="578">
        <v>8316</v>
      </c>
      <c r="J36" s="579"/>
      <c r="K36" s="580">
        <v>1306</v>
      </c>
      <c r="L36" s="566">
        <v>200</v>
      </c>
      <c r="M36" s="551">
        <f>SUM(K36:L36)</f>
        <v>1506</v>
      </c>
    </row>
    <row r="37" spans="1:22" s="107" customFormat="1" ht="36" customHeight="1" x14ac:dyDescent="0.35">
      <c r="A37" s="518">
        <v>27</v>
      </c>
      <c r="B37" s="581"/>
      <c r="C37" s="582"/>
      <c r="D37" s="583">
        <v>2</v>
      </c>
      <c r="E37" s="583"/>
      <c r="F37" s="584" t="s">
        <v>144</v>
      </c>
      <c r="G37" s="585">
        <f>SUM(G38,G41:G42,G44:G46)</f>
        <v>12772481</v>
      </c>
      <c r="H37" s="585">
        <f>SUM(H38,H41:H42,H44:H46)</f>
        <v>5648160</v>
      </c>
      <c r="I37" s="586">
        <f>SUM(I38,I41:I42,I44:I46)</f>
        <v>6259786</v>
      </c>
      <c r="J37" s="587">
        <f>SUM(J38,J41:J42,J44:J46)</f>
        <v>8363612</v>
      </c>
      <c r="K37" s="585">
        <f>SUM(K38,K41:K42,K44:K46)</f>
        <v>10017556</v>
      </c>
      <c r="L37" s="586">
        <f t="shared" ref="L37:M37" si="8">SUM(L38,L41:L42,L44:L46)</f>
        <v>399389</v>
      </c>
      <c r="M37" s="588">
        <f t="shared" si="8"/>
        <v>10416945</v>
      </c>
      <c r="N37" s="106"/>
      <c r="O37" s="106"/>
      <c r="P37" s="106"/>
      <c r="Q37" s="106"/>
      <c r="R37" s="106"/>
      <c r="S37" s="106"/>
      <c r="T37" s="106"/>
      <c r="U37" s="106"/>
      <c r="V37" s="106"/>
    </row>
    <row r="38" spans="1:22" s="74" customFormat="1" ht="36" customHeight="1" x14ac:dyDescent="0.35">
      <c r="A38" s="552">
        <v>28</v>
      </c>
      <c r="B38" s="545"/>
      <c r="C38" s="546"/>
      <c r="D38" s="71"/>
      <c r="E38" s="71">
        <v>8</v>
      </c>
      <c r="F38" s="567" t="s">
        <v>186</v>
      </c>
      <c r="G38" s="568">
        <f>SUM(G39,G40)</f>
        <v>12588575</v>
      </c>
      <c r="H38" s="568">
        <f>SUM(H39,H40)</f>
        <v>5270260</v>
      </c>
      <c r="I38" s="568">
        <f>SUM(I39,I40)</f>
        <v>5463793</v>
      </c>
      <c r="J38" s="549">
        <f>SUM(J39,J40)</f>
        <v>8162019</v>
      </c>
      <c r="K38" s="550">
        <f>SUM(K39,K40)</f>
        <v>9820506</v>
      </c>
      <c r="L38" s="550">
        <f t="shared" ref="L38:M38" si="9">SUM(L39,L40)</f>
        <v>397904</v>
      </c>
      <c r="M38" s="551">
        <f t="shared" si="9"/>
        <v>10218410</v>
      </c>
    </row>
    <row r="39" spans="1:22" s="108" customFormat="1" ht="17.25" x14ac:dyDescent="0.35">
      <c r="A39" s="518">
        <v>29</v>
      </c>
      <c r="B39" s="545">
        <v>18</v>
      </c>
      <c r="C39" s="546"/>
      <c r="D39" s="71"/>
      <c r="E39" s="71"/>
      <c r="F39" s="561" t="s">
        <v>187</v>
      </c>
      <c r="G39" s="548">
        <v>4325400</v>
      </c>
      <c r="H39" s="548"/>
      <c r="I39" s="548">
        <v>6456</v>
      </c>
      <c r="J39" s="562"/>
      <c r="K39" s="550"/>
      <c r="L39" s="566"/>
      <c r="M39" s="551"/>
    </row>
    <row r="40" spans="1:22" s="108" customFormat="1" ht="17.25" x14ac:dyDescent="0.35">
      <c r="A40" s="552">
        <v>30</v>
      </c>
      <c r="B40" s="545">
        <v>18</v>
      </c>
      <c r="C40" s="560"/>
      <c r="D40" s="554"/>
      <c r="E40" s="554"/>
      <c r="F40" s="561" t="s">
        <v>188</v>
      </c>
      <c r="G40" s="548">
        <v>8263175</v>
      </c>
      <c r="H40" s="548">
        <v>5270260</v>
      </c>
      <c r="I40" s="548">
        <v>5457337</v>
      </c>
      <c r="J40" s="549">
        <v>8162019</v>
      </c>
      <c r="K40" s="550">
        <v>9820506</v>
      </c>
      <c r="L40" s="558">
        <v>397904</v>
      </c>
      <c r="M40" s="551">
        <f>SUM(K40:L40)</f>
        <v>10218410</v>
      </c>
    </row>
    <row r="41" spans="1:22" s="108" customFormat="1" ht="36" customHeight="1" x14ac:dyDescent="0.35">
      <c r="A41" s="518">
        <v>31</v>
      </c>
      <c r="B41" s="574" t="s">
        <v>547</v>
      </c>
      <c r="C41" s="560"/>
      <c r="D41" s="560"/>
      <c r="E41" s="554">
        <v>9</v>
      </c>
      <c r="F41" s="561" t="s">
        <v>189</v>
      </c>
      <c r="G41" s="548">
        <v>40469</v>
      </c>
      <c r="H41" s="548">
        <v>2900</v>
      </c>
      <c r="I41" s="548">
        <v>14183</v>
      </c>
      <c r="J41" s="562">
        <v>4050</v>
      </c>
      <c r="K41" s="550">
        <v>4050</v>
      </c>
      <c r="L41" s="566">
        <v>85</v>
      </c>
      <c r="M41" s="551">
        <f>SUM(K41:L41)</f>
        <v>4135</v>
      </c>
    </row>
    <row r="42" spans="1:22" s="74" customFormat="1" ht="36" customHeight="1" x14ac:dyDescent="0.35">
      <c r="A42" s="552">
        <v>32</v>
      </c>
      <c r="B42" s="545">
        <v>18</v>
      </c>
      <c r="C42" s="546"/>
      <c r="D42" s="71"/>
      <c r="E42" s="71">
        <v>10</v>
      </c>
      <c r="F42" s="567" t="s">
        <v>190</v>
      </c>
      <c r="G42" s="568">
        <f>SUM(G43:G43)</f>
        <v>136583</v>
      </c>
      <c r="H42" s="568">
        <f>SUM(H43:H43)</f>
        <v>225000</v>
      </c>
      <c r="I42" s="568">
        <f>SUM(I43:I43)</f>
        <v>153966</v>
      </c>
      <c r="J42" s="549">
        <f>SUM(J43:J43)</f>
        <v>190000</v>
      </c>
      <c r="K42" s="550">
        <f>SUM(K43:K43)</f>
        <v>190000</v>
      </c>
      <c r="L42" s="550">
        <f t="shared" ref="L42:M42" si="10">SUM(L43:L43)</f>
        <v>0</v>
      </c>
      <c r="M42" s="551">
        <f t="shared" si="10"/>
        <v>190000</v>
      </c>
    </row>
    <row r="43" spans="1:22" ht="17.25" x14ac:dyDescent="0.35">
      <c r="A43" s="518">
        <v>33</v>
      </c>
      <c r="B43" s="545"/>
      <c r="C43" s="71"/>
      <c r="D43" s="71"/>
      <c r="E43" s="71"/>
      <c r="F43" s="555" t="s">
        <v>191</v>
      </c>
      <c r="G43" s="2">
        <v>136583</v>
      </c>
      <c r="H43" s="2">
        <v>225000</v>
      </c>
      <c r="I43" s="2">
        <v>153966</v>
      </c>
      <c r="J43" s="556">
        <v>190000</v>
      </c>
      <c r="K43" s="557">
        <v>190000</v>
      </c>
      <c r="L43" s="558"/>
      <c r="M43" s="551">
        <f>SUM(K43:L43)</f>
        <v>190000</v>
      </c>
    </row>
    <row r="44" spans="1:22" ht="36" customHeight="1" x14ac:dyDescent="0.35">
      <c r="A44" s="552">
        <v>34</v>
      </c>
      <c r="B44" s="545"/>
      <c r="C44" s="71"/>
      <c r="D44" s="71"/>
      <c r="E44" s="71">
        <v>11</v>
      </c>
      <c r="F44" s="561" t="s">
        <v>192</v>
      </c>
      <c r="G44" s="548">
        <v>957</v>
      </c>
      <c r="H44" s="548"/>
      <c r="I44" s="548">
        <v>939</v>
      </c>
      <c r="J44" s="562">
        <v>7543</v>
      </c>
      <c r="K44" s="550">
        <v>3000</v>
      </c>
      <c r="L44" s="558">
        <v>1400</v>
      </c>
      <c r="M44" s="551">
        <f>SUM(K44:L44)</f>
        <v>4400</v>
      </c>
    </row>
    <row r="45" spans="1:22" s="74" customFormat="1" ht="36" customHeight="1" x14ac:dyDescent="0.35">
      <c r="A45" s="518">
        <v>35</v>
      </c>
      <c r="B45" s="545">
        <v>18</v>
      </c>
      <c r="C45" s="546"/>
      <c r="D45" s="71"/>
      <c r="E45" s="71">
        <v>12</v>
      </c>
      <c r="F45" s="567" t="s">
        <v>193</v>
      </c>
      <c r="G45" s="568">
        <v>5897</v>
      </c>
      <c r="H45" s="568">
        <v>150000</v>
      </c>
      <c r="I45" s="568">
        <v>626905</v>
      </c>
      <c r="J45" s="571"/>
      <c r="K45" s="550"/>
      <c r="L45" s="572"/>
      <c r="M45" s="551"/>
    </row>
    <row r="46" spans="1:22" s="108" customFormat="1" ht="36" customHeight="1" x14ac:dyDescent="0.35">
      <c r="A46" s="552">
        <v>36</v>
      </c>
      <c r="B46" s="574" t="s">
        <v>547</v>
      </c>
      <c r="C46" s="560"/>
      <c r="D46" s="560"/>
      <c r="E46" s="554">
        <v>13</v>
      </c>
      <c r="F46" s="589" t="s">
        <v>194</v>
      </c>
      <c r="G46" s="548"/>
      <c r="H46" s="548"/>
      <c r="I46" s="548"/>
      <c r="J46" s="562"/>
      <c r="K46" s="550"/>
      <c r="L46" s="566"/>
      <c r="M46" s="551"/>
    </row>
    <row r="47" spans="1:22" s="17" customFormat="1" ht="36" customHeight="1" x14ac:dyDescent="0.3">
      <c r="A47" s="518">
        <v>37</v>
      </c>
      <c r="B47" s="590">
        <v>18</v>
      </c>
      <c r="C47" s="591"/>
      <c r="D47" s="592"/>
      <c r="E47" s="592"/>
      <c r="F47" s="593" t="s">
        <v>195</v>
      </c>
      <c r="G47" s="594">
        <f>SUM(G48:G48)</f>
        <v>700</v>
      </c>
      <c r="H47" s="594">
        <f>SUM(H48:H48)</f>
        <v>0</v>
      </c>
      <c r="I47" s="594">
        <f>SUM(I48:I48)</f>
        <v>183</v>
      </c>
      <c r="J47" s="595">
        <f>SUM(J48:J48)</f>
        <v>0</v>
      </c>
      <c r="K47" s="596">
        <f>SUM(K48:K48)</f>
        <v>0</v>
      </c>
      <c r="L47" s="596">
        <f t="shared" ref="L47:M47" si="11">SUM(L48:L48)</f>
        <v>0</v>
      </c>
      <c r="M47" s="597">
        <f t="shared" si="11"/>
        <v>0</v>
      </c>
    </row>
    <row r="48" spans="1:22" ht="33.75" x14ac:dyDescent="0.35">
      <c r="A48" s="552">
        <v>38</v>
      </c>
      <c r="B48" s="545"/>
      <c r="C48" s="598"/>
      <c r="D48" s="598"/>
      <c r="E48" s="598"/>
      <c r="F48" s="599" t="s">
        <v>261</v>
      </c>
      <c r="G48" s="600">
        <v>700</v>
      </c>
      <c r="H48" s="600"/>
      <c r="I48" s="600">
        <v>183</v>
      </c>
      <c r="J48" s="601"/>
      <c r="K48" s="602"/>
      <c r="L48" s="603"/>
      <c r="M48" s="597"/>
    </row>
    <row r="49" spans="1:13" s="17" customFormat="1" ht="40.15" customHeight="1" thickBot="1" x14ac:dyDescent="0.35">
      <c r="A49" s="518">
        <v>39</v>
      </c>
      <c r="B49" s="604"/>
      <c r="C49" s="605"/>
      <c r="D49" s="606"/>
      <c r="E49" s="606"/>
      <c r="F49" s="607" t="s">
        <v>196</v>
      </c>
      <c r="G49" s="608">
        <f t="shared" ref="G49:M49" si="12">SUM(G10,G37,G47)</f>
        <v>26835824</v>
      </c>
      <c r="H49" s="608">
        <f t="shared" si="12"/>
        <v>18625677</v>
      </c>
      <c r="I49" s="608">
        <f t="shared" si="12"/>
        <v>21113333</v>
      </c>
      <c r="J49" s="609">
        <f t="shared" si="12"/>
        <v>23478871</v>
      </c>
      <c r="K49" s="610">
        <f t="shared" si="12"/>
        <v>23572249</v>
      </c>
      <c r="L49" s="610">
        <f t="shared" si="12"/>
        <v>769726</v>
      </c>
      <c r="M49" s="611">
        <f t="shared" si="12"/>
        <v>24341975</v>
      </c>
    </row>
    <row r="50" spans="1:13" s="17" customFormat="1" ht="40.15" customHeight="1" thickTop="1" thickBot="1" x14ac:dyDescent="0.25">
      <c r="A50" s="552">
        <v>40</v>
      </c>
      <c r="B50" s="612"/>
      <c r="C50" s="613"/>
      <c r="D50" s="614"/>
      <c r="E50" s="614"/>
      <c r="F50" s="615" t="s">
        <v>197</v>
      </c>
      <c r="G50" s="1907">
        <f>G49-'2.Onki'!G36</f>
        <v>6257189</v>
      </c>
      <c r="H50" s="1907">
        <f>H49-'2.Onki'!H36</f>
        <v>-8870872</v>
      </c>
      <c r="I50" s="1908">
        <f>I49-'2.Onki'!I36</f>
        <v>1177920</v>
      </c>
      <c r="J50" s="1906">
        <f>J49-'2.Onki'!J36</f>
        <v>-14073403</v>
      </c>
      <c r="K50" s="1907">
        <f>K49-'2.Onki'!K36</f>
        <v>-15255267</v>
      </c>
      <c r="L50" s="1907">
        <f>L49-'2.Onki'!L36</f>
        <v>0</v>
      </c>
      <c r="M50" s="1907">
        <f>M49-'2.Onki'!M36</f>
        <v>-15255267</v>
      </c>
    </row>
    <row r="51" spans="1:13" s="17" customFormat="1" ht="36" customHeight="1" x14ac:dyDescent="0.3">
      <c r="A51" s="518">
        <v>41</v>
      </c>
      <c r="B51" s="590"/>
      <c r="C51" s="1887"/>
      <c r="D51" s="105"/>
      <c r="E51" s="105">
        <v>14</v>
      </c>
      <c r="F51" s="616" t="s">
        <v>198</v>
      </c>
      <c r="G51" s="617">
        <f>SUM(G53,G62)+G52</f>
        <v>7032676</v>
      </c>
      <c r="H51" s="617">
        <f>SUM(H53,H62)+H52</f>
        <v>9080507</v>
      </c>
      <c r="I51" s="617">
        <f>SUM(I53,I62)+I52</f>
        <v>13278366</v>
      </c>
      <c r="J51" s="618">
        <f>SUM(J53,J62)+J52</f>
        <v>14293174</v>
      </c>
      <c r="K51" s="619">
        <f>SUM(K53,K62)+K52</f>
        <v>15475038</v>
      </c>
      <c r="L51" s="619">
        <f t="shared" ref="L51:M51" si="13">SUM(L53,L62)+L52</f>
        <v>0</v>
      </c>
      <c r="M51" s="620">
        <f t="shared" si="13"/>
        <v>15475038</v>
      </c>
    </row>
    <row r="52" spans="1:13" s="17" customFormat="1" ht="36" customHeight="1" x14ac:dyDescent="0.2">
      <c r="A52" s="552">
        <v>42</v>
      </c>
      <c r="B52" s="590"/>
      <c r="C52" s="1887"/>
      <c r="D52" s="105">
        <v>1</v>
      </c>
      <c r="E52" s="105"/>
      <c r="F52" s="616" t="s">
        <v>265</v>
      </c>
      <c r="G52" s="617">
        <v>107506</v>
      </c>
      <c r="H52" s="617"/>
      <c r="I52" s="617">
        <v>143801</v>
      </c>
      <c r="J52" s="621"/>
      <c r="K52" s="619"/>
      <c r="L52" s="622"/>
      <c r="M52" s="620"/>
    </row>
    <row r="53" spans="1:13" s="17" customFormat="1" ht="33" customHeight="1" x14ac:dyDescent="0.3">
      <c r="A53" s="518">
        <v>43</v>
      </c>
      <c r="B53" s="623"/>
      <c r="C53" s="591"/>
      <c r="D53" s="592"/>
      <c r="E53" s="592"/>
      <c r="F53" s="624" t="s">
        <v>300</v>
      </c>
      <c r="G53" s="594">
        <f>SUM(G54,G58)</f>
        <v>6873658</v>
      </c>
      <c r="H53" s="594">
        <f>SUM(H54,H58)</f>
        <v>8404019</v>
      </c>
      <c r="I53" s="594">
        <f>SUM(I54,I58)</f>
        <v>13087077</v>
      </c>
      <c r="J53" s="595">
        <f>SUM(J54,J58)</f>
        <v>12883374</v>
      </c>
      <c r="K53" s="596">
        <f>SUM(K54,K58)</f>
        <v>14215038</v>
      </c>
      <c r="L53" s="596">
        <f t="shared" ref="L53:M53" si="14">SUM(L54,L58)</f>
        <v>0</v>
      </c>
      <c r="M53" s="597">
        <f t="shared" si="14"/>
        <v>14215038</v>
      </c>
    </row>
    <row r="54" spans="1:13" s="74" customFormat="1" ht="24" customHeight="1" x14ac:dyDescent="0.35">
      <c r="A54" s="552">
        <v>44</v>
      </c>
      <c r="B54" s="545"/>
      <c r="C54" s="546"/>
      <c r="D54" s="71">
        <v>1</v>
      </c>
      <c r="E54" s="71"/>
      <c r="F54" s="567" t="s">
        <v>263</v>
      </c>
      <c r="G54" s="568">
        <f>SUM(G55:G57)</f>
        <v>1957723</v>
      </c>
      <c r="H54" s="568">
        <f>SUM(H55:H57)</f>
        <v>1315949</v>
      </c>
      <c r="I54" s="568">
        <f>SUM(I55:I57)</f>
        <v>2879946</v>
      </c>
      <c r="J54" s="549">
        <f>SUM(J55:J57)</f>
        <v>1081085</v>
      </c>
      <c r="K54" s="550">
        <f>SUM(K55:K57)</f>
        <v>2384006</v>
      </c>
      <c r="L54" s="550">
        <f t="shared" ref="L54:M54" si="15">SUM(L55:L57)</f>
        <v>0</v>
      </c>
      <c r="M54" s="551">
        <f t="shared" si="15"/>
        <v>2384006</v>
      </c>
    </row>
    <row r="55" spans="1:13" ht="17.25" x14ac:dyDescent="0.35">
      <c r="A55" s="518">
        <v>45</v>
      </c>
      <c r="B55" s="564" t="s">
        <v>424</v>
      </c>
      <c r="C55" s="71"/>
      <c r="D55" s="71"/>
      <c r="E55" s="71"/>
      <c r="F55" s="555" t="s">
        <v>199</v>
      </c>
      <c r="G55" s="2">
        <v>612577</v>
      </c>
      <c r="H55" s="2">
        <v>137936</v>
      </c>
      <c r="I55" s="2">
        <v>573305</v>
      </c>
      <c r="J55" s="556">
        <v>31301</v>
      </c>
      <c r="K55" s="557">
        <v>661346</v>
      </c>
      <c r="L55" s="558"/>
      <c r="M55" s="551">
        <f>SUM(K55:L55)</f>
        <v>661346</v>
      </c>
    </row>
    <row r="56" spans="1:13" ht="17.25" x14ac:dyDescent="0.35">
      <c r="A56" s="552">
        <v>46</v>
      </c>
      <c r="B56" s="545">
        <v>17</v>
      </c>
      <c r="C56" s="71"/>
      <c r="D56" s="71"/>
      <c r="E56" s="71"/>
      <c r="F56" s="555" t="s">
        <v>200</v>
      </c>
      <c r="G56" s="2">
        <v>251672</v>
      </c>
      <c r="H56" s="2">
        <v>14861</v>
      </c>
      <c r="I56" s="2">
        <v>294771</v>
      </c>
      <c r="J56" s="556">
        <v>75474</v>
      </c>
      <c r="K56" s="557">
        <v>360284</v>
      </c>
      <c r="L56" s="558"/>
      <c r="M56" s="551">
        <f t="shared" ref="M56:M57" si="16">SUM(K56:L56)</f>
        <v>360284</v>
      </c>
    </row>
    <row r="57" spans="1:13" ht="17.25" x14ac:dyDescent="0.35">
      <c r="A57" s="518">
        <v>47</v>
      </c>
      <c r="B57" s="545">
        <v>18</v>
      </c>
      <c r="C57" s="71"/>
      <c r="D57" s="71"/>
      <c r="E57" s="71"/>
      <c r="F57" s="555" t="s">
        <v>127</v>
      </c>
      <c r="G57" s="2">
        <v>1093474</v>
      </c>
      <c r="H57" s="2">
        <v>1163152</v>
      </c>
      <c r="I57" s="2">
        <v>2011870</v>
      </c>
      <c r="J57" s="556">
        <v>974310</v>
      </c>
      <c r="K57" s="557">
        <v>1362376</v>
      </c>
      <c r="L57" s="558"/>
      <c r="M57" s="551">
        <f t="shared" si="16"/>
        <v>1362376</v>
      </c>
    </row>
    <row r="58" spans="1:13" s="74" customFormat="1" ht="24" customHeight="1" x14ac:dyDescent="0.35">
      <c r="A58" s="552">
        <v>48</v>
      </c>
      <c r="B58" s="545"/>
      <c r="C58" s="546"/>
      <c r="D58" s="71">
        <v>2</v>
      </c>
      <c r="E58" s="71"/>
      <c r="F58" s="567" t="s">
        <v>262</v>
      </c>
      <c r="G58" s="568">
        <f>SUM(G59:G61)</f>
        <v>4915935</v>
      </c>
      <c r="H58" s="568">
        <f>H59+H61</f>
        <v>7088070</v>
      </c>
      <c r="I58" s="568">
        <f>SUM(I59:I61)</f>
        <v>10207131</v>
      </c>
      <c r="J58" s="549">
        <f>SUM(J59:J61)</f>
        <v>11802289</v>
      </c>
      <c r="K58" s="550">
        <f>SUM(K59:K61)</f>
        <v>11831032</v>
      </c>
      <c r="L58" s="550">
        <f t="shared" ref="L58:M58" si="17">SUM(L59:L61)</f>
        <v>0</v>
      </c>
      <c r="M58" s="551">
        <f t="shared" si="17"/>
        <v>11831032</v>
      </c>
    </row>
    <row r="59" spans="1:13" s="108" customFormat="1" ht="17.25" x14ac:dyDescent="0.35">
      <c r="A59" s="518">
        <v>49</v>
      </c>
      <c r="B59" s="570" t="s">
        <v>424</v>
      </c>
      <c r="C59" s="71"/>
      <c r="D59" s="71"/>
      <c r="E59" s="71"/>
      <c r="F59" s="625" t="s">
        <v>199</v>
      </c>
      <c r="G59" s="2">
        <v>48512</v>
      </c>
      <c r="H59" s="2">
        <v>58070</v>
      </c>
      <c r="I59" s="2">
        <v>127144</v>
      </c>
      <c r="J59" s="556">
        <v>12621</v>
      </c>
      <c r="K59" s="557">
        <v>27970</v>
      </c>
      <c r="L59" s="558"/>
      <c r="M59" s="551">
        <f>SUM(K59:L59)</f>
        <v>27970</v>
      </c>
    </row>
    <row r="60" spans="1:13" s="108" customFormat="1" ht="17.25" x14ac:dyDescent="0.35">
      <c r="A60" s="552">
        <v>50</v>
      </c>
      <c r="B60" s="570" t="s">
        <v>322</v>
      </c>
      <c r="C60" s="71"/>
      <c r="D60" s="71"/>
      <c r="E60" s="71"/>
      <c r="F60" s="555" t="s">
        <v>200</v>
      </c>
      <c r="G60" s="2">
        <v>16696</v>
      </c>
      <c r="H60" s="2"/>
      <c r="I60" s="2">
        <v>24251</v>
      </c>
      <c r="J60" s="556">
        <v>16985</v>
      </c>
      <c r="K60" s="557">
        <v>24177</v>
      </c>
      <c r="L60" s="558"/>
      <c r="M60" s="551">
        <f t="shared" ref="M60:M61" si="18">SUM(K60:L60)</f>
        <v>24177</v>
      </c>
    </row>
    <row r="61" spans="1:13" s="108" customFormat="1" ht="17.25" x14ac:dyDescent="0.35">
      <c r="A61" s="518">
        <v>51</v>
      </c>
      <c r="B61" s="545">
        <v>18</v>
      </c>
      <c r="C61" s="71"/>
      <c r="D61" s="71"/>
      <c r="E61" s="71"/>
      <c r="F61" s="625" t="s">
        <v>414</v>
      </c>
      <c r="G61" s="2">
        <v>4850727</v>
      </c>
      <c r="H61" s="2">
        <v>7030000</v>
      </c>
      <c r="I61" s="2">
        <v>10055736</v>
      </c>
      <c r="J61" s="556">
        <v>11772683</v>
      </c>
      <c r="K61" s="557">
        <v>11778885</v>
      </c>
      <c r="L61" s="558"/>
      <c r="M61" s="551">
        <f t="shared" si="18"/>
        <v>11778885</v>
      </c>
    </row>
    <row r="62" spans="1:13" s="17" customFormat="1" ht="30" customHeight="1" x14ac:dyDescent="0.2">
      <c r="A62" s="552">
        <v>52</v>
      </c>
      <c r="B62" s="623"/>
      <c r="C62" s="591"/>
      <c r="D62" s="592"/>
      <c r="E62" s="592"/>
      <c r="F62" s="624" t="s">
        <v>301</v>
      </c>
      <c r="G62" s="594">
        <f>SUM(G63:G65)</f>
        <v>51512</v>
      </c>
      <c r="H62" s="594">
        <f>SUM(H63:H65)</f>
        <v>676488</v>
      </c>
      <c r="I62" s="594">
        <f>SUM(I63:I65)</f>
        <v>47488</v>
      </c>
      <c r="J62" s="595">
        <f>SUM(J63:J65)</f>
        <v>1409800</v>
      </c>
      <c r="K62" s="596">
        <f>SUM(K63:K65)</f>
        <v>1260000</v>
      </c>
      <c r="L62" s="596">
        <f t="shared" ref="L62:M62" si="19">SUM(L63:L65)</f>
        <v>0</v>
      </c>
      <c r="M62" s="597">
        <f t="shared" si="19"/>
        <v>1260000</v>
      </c>
    </row>
    <row r="63" spans="1:13" s="74" customFormat="1" ht="24" customHeight="1" x14ac:dyDescent="0.35">
      <c r="A63" s="518">
        <v>53</v>
      </c>
      <c r="B63" s="545">
        <v>18</v>
      </c>
      <c r="C63" s="546"/>
      <c r="D63" s="71">
        <v>2</v>
      </c>
      <c r="E63" s="71"/>
      <c r="F63" s="567" t="s">
        <v>201</v>
      </c>
      <c r="G63" s="568"/>
      <c r="H63" s="568"/>
      <c r="I63" s="568"/>
      <c r="J63" s="571"/>
      <c r="K63" s="550"/>
      <c r="L63" s="572"/>
      <c r="M63" s="626"/>
    </row>
    <row r="64" spans="1:13" ht="17.25" x14ac:dyDescent="0.35">
      <c r="A64" s="552">
        <v>54</v>
      </c>
      <c r="B64" s="545"/>
      <c r="C64" s="71"/>
      <c r="D64" s="71"/>
      <c r="E64" s="71"/>
      <c r="F64" s="555" t="s">
        <v>201</v>
      </c>
      <c r="G64" s="2"/>
      <c r="H64" s="2">
        <v>629000</v>
      </c>
      <c r="I64" s="2"/>
      <c r="J64" s="556">
        <v>780800</v>
      </c>
      <c r="K64" s="557">
        <v>631000</v>
      </c>
      <c r="L64" s="558"/>
      <c r="M64" s="551">
        <f>SUM(K64:L64)</f>
        <v>631000</v>
      </c>
    </row>
    <row r="65" spans="1:13" ht="17.25" x14ac:dyDescent="0.35">
      <c r="A65" s="518">
        <v>55</v>
      </c>
      <c r="B65" s="545"/>
      <c r="C65" s="71"/>
      <c r="D65" s="71"/>
      <c r="E65" s="71"/>
      <c r="F65" s="627" t="s">
        <v>202</v>
      </c>
      <c r="G65" s="600">
        <v>51512</v>
      </c>
      <c r="H65" s="600">
        <v>47488</v>
      </c>
      <c r="I65" s="600">
        <v>47488</v>
      </c>
      <c r="J65" s="556">
        <v>629000</v>
      </c>
      <c r="K65" s="557">
        <v>629000</v>
      </c>
      <c r="L65" s="628"/>
      <c r="M65" s="629">
        <f>SUM(K65:L65)</f>
        <v>629000</v>
      </c>
    </row>
    <row r="66" spans="1:13" s="17" customFormat="1" ht="36" customHeight="1" thickBot="1" x14ac:dyDescent="0.25">
      <c r="A66" s="552">
        <v>56</v>
      </c>
      <c r="B66" s="630"/>
      <c r="C66" s="631"/>
      <c r="D66" s="632"/>
      <c r="E66" s="632"/>
      <c r="F66" s="633" t="s">
        <v>203</v>
      </c>
      <c r="G66" s="634">
        <f t="shared" ref="G66:M66" si="20">SUM(G49,G51)</f>
        <v>33868500</v>
      </c>
      <c r="H66" s="634">
        <f t="shared" si="20"/>
        <v>27706184</v>
      </c>
      <c r="I66" s="634">
        <f t="shared" si="20"/>
        <v>34391699</v>
      </c>
      <c r="J66" s="635">
        <f t="shared" si="20"/>
        <v>37772045</v>
      </c>
      <c r="K66" s="636">
        <f t="shared" si="20"/>
        <v>39047287</v>
      </c>
      <c r="L66" s="636">
        <f t="shared" si="20"/>
        <v>769726</v>
      </c>
      <c r="M66" s="637">
        <f t="shared" si="20"/>
        <v>39817013</v>
      </c>
    </row>
  </sheetData>
  <mergeCells count="4">
    <mergeCell ref="B1:F1"/>
    <mergeCell ref="B5:J5"/>
    <mergeCell ref="B6:J6"/>
    <mergeCell ref="B2:F2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54" fitToHeight="2" orientation="portrait" r:id="rId1"/>
  <headerFooter alignWithMargins="0">
    <oddFooter>&amp;C- 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8"/>
  <sheetViews>
    <sheetView view="pageBreakPreview" topLeftCell="A25" zoomScaleNormal="100" zoomScaleSheetLayoutView="100" workbookViewId="0">
      <selection activeCell="K12" sqref="K12"/>
    </sheetView>
  </sheetViews>
  <sheetFormatPr defaultColWidth="9.140625" defaultRowHeight="16.5" x14ac:dyDescent="0.3"/>
  <cols>
    <col min="1" max="1" width="3.7109375" style="84" customWidth="1"/>
    <col min="2" max="2" width="75.7109375" style="89" customWidth="1"/>
    <col min="3" max="4" width="13.7109375" style="90" customWidth="1"/>
    <col min="5" max="5" width="15.7109375" style="90" customWidth="1"/>
    <col min="6" max="6" width="13.7109375" style="90" customWidth="1"/>
    <col min="7" max="7" width="16.85546875" style="91" customWidth="1"/>
    <col min="8" max="16384" width="9.140625" style="91"/>
  </cols>
  <sheetData>
    <row r="1" spans="1:12" s="85" customFormat="1" ht="16.5" customHeight="1" x14ac:dyDescent="0.2">
      <c r="A1" s="84"/>
      <c r="B1" s="1942" t="s">
        <v>968</v>
      </c>
      <c r="C1" s="1942"/>
      <c r="D1" s="1943"/>
      <c r="E1" s="1943"/>
      <c r="F1" s="274"/>
    </row>
    <row r="2" spans="1:12" s="85" customFormat="1" ht="16.5" customHeight="1" x14ac:dyDescent="0.3">
      <c r="A2" s="84"/>
      <c r="B2" s="1936" t="s">
        <v>1039</v>
      </c>
      <c r="C2" s="1936"/>
      <c r="D2" s="1936"/>
      <c r="E2" s="1936"/>
      <c r="F2" s="1936"/>
    </row>
    <row r="3" spans="1:12" s="85" customFormat="1" ht="16.5" customHeight="1" x14ac:dyDescent="0.3">
      <c r="A3" s="479"/>
      <c r="B3" s="500" t="s">
        <v>1059</v>
      </c>
      <c r="C3" s="500"/>
      <c r="D3" s="500"/>
      <c r="E3" s="500"/>
      <c r="F3" s="500"/>
    </row>
    <row r="4" spans="1:12" s="87" customFormat="1" ht="24.75" customHeight="1" x14ac:dyDescent="0.35">
      <c r="A4" s="86"/>
      <c r="B4" s="1940" t="s">
        <v>327</v>
      </c>
      <c r="C4" s="1940"/>
      <c r="D4" s="1940"/>
      <c r="E4" s="1940"/>
      <c r="F4" s="1940"/>
      <c r="G4" s="1940"/>
      <c r="H4" s="498"/>
      <c r="I4" s="498"/>
      <c r="J4" s="498"/>
      <c r="K4" s="498"/>
      <c r="L4" s="498"/>
    </row>
    <row r="5" spans="1:12" s="85" customFormat="1" ht="24.75" customHeight="1" x14ac:dyDescent="0.2">
      <c r="A5" s="84"/>
      <c r="B5" s="1941" t="s">
        <v>661</v>
      </c>
      <c r="C5" s="1941"/>
      <c r="D5" s="1941"/>
      <c r="E5" s="1941"/>
      <c r="F5" s="1941"/>
      <c r="G5" s="1941"/>
      <c r="H5" s="499"/>
      <c r="I5" s="499"/>
      <c r="J5" s="499"/>
      <c r="K5" s="499"/>
      <c r="L5" s="499"/>
    </row>
    <row r="6" spans="1:12" s="281" customFormat="1" ht="15" x14ac:dyDescent="0.3">
      <c r="A6" s="480"/>
      <c r="B6" s="277"/>
      <c r="C6" s="278"/>
      <c r="D6" s="278"/>
      <c r="E6" s="278"/>
      <c r="F6" s="278"/>
      <c r="G6" s="279" t="s">
        <v>0</v>
      </c>
      <c r="H6" s="280"/>
    </row>
    <row r="7" spans="1:12" s="484" customFormat="1" ht="15" thickBot="1" x14ac:dyDescent="0.35">
      <c r="A7" s="480"/>
      <c r="B7" s="482" t="s">
        <v>1</v>
      </c>
      <c r="C7" s="638" t="s">
        <v>3</v>
      </c>
      <c r="D7" s="638" t="s">
        <v>2</v>
      </c>
      <c r="E7" s="638"/>
      <c r="F7" s="638"/>
      <c r="G7" s="483" t="s">
        <v>4</v>
      </c>
      <c r="H7" s="483"/>
    </row>
    <row r="8" spans="1:12" s="481" customFormat="1" ht="17.25" x14ac:dyDescent="0.35">
      <c r="A8" s="480"/>
      <c r="B8" s="1944" t="s">
        <v>6</v>
      </c>
      <c r="C8" s="1946" t="s">
        <v>526</v>
      </c>
      <c r="D8" s="1946" t="s">
        <v>626</v>
      </c>
      <c r="E8" s="1946" t="s">
        <v>123</v>
      </c>
      <c r="F8" s="1948" t="s">
        <v>1036</v>
      </c>
      <c r="G8" s="485" t="s">
        <v>328</v>
      </c>
      <c r="H8" s="639"/>
    </row>
    <row r="9" spans="1:12" s="481" customFormat="1" ht="18" thickBot="1" x14ac:dyDescent="0.4">
      <c r="A9" s="480"/>
      <c r="B9" s="1945"/>
      <c r="C9" s="1947"/>
      <c r="D9" s="1947"/>
      <c r="E9" s="1947"/>
      <c r="F9" s="1949"/>
      <c r="G9" s="486" t="s">
        <v>662</v>
      </c>
      <c r="H9" s="639"/>
    </row>
    <row r="10" spans="1:12" s="490" customFormat="1" ht="34.5" customHeight="1" x14ac:dyDescent="0.35">
      <c r="A10" s="480">
        <v>1</v>
      </c>
      <c r="B10" s="487" t="s">
        <v>329</v>
      </c>
      <c r="C10" s="640">
        <v>0</v>
      </c>
      <c r="D10" s="640">
        <v>0</v>
      </c>
      <c r="E10" s="640">
        <v>7199</v>
      </c>
      <c r="F10" s="641">
        <f t="shared" ref="F10:F15" si="0">SUM(D10:E10)</f>
        <v>7199</v>
      </c>
      <c r="G10" s="493"/>
      <c r="H10" s="642"/>
      <c r="I10" s="489"/>
    </row>
    <row r="11" spans="1:12" s="490" customFormat="1" ht="34.5" customHeight="1" x14ac:dyDescent="0.35">
      <c r="A11" s="480">
        <v>2</v>
      </c>
      <c r="B11" s="491" t="s">
        <v>330</v>
      </c>
      <c r="C11" s="641">
        <f>SUM(C12:C15)</f>
        <v>1108325</v>
      </c>
      <c r="D11" s="641">
        <f>SUM(D12:D15)</f>
        <v>1125011</v>
      </c>
      <c r="E11" s="641">
        <f>SUM(E12:E15)</f>
        <v>3733</v>
      </c>
      <c r="F11" s="641">
        <f>SUM(F12:F15)</f>
        <v>1128744</v>
      </c>
      <c r="G11" s="488">
        <f>(F11/C11)</f>
        <v>1.0184232964157625</v>
      </c>
      <c r="H11" s="642"/>
    </row>
    <row r="12" spans="1:12" s="481" customFormat="1" ht="33" customHeight="1" x14ac:dyDescent="0.3">
      <c r="A12" s="480">
        <v>3</v>
      </c>
      <c r="B12" s="492" t="s">
        <v>331</v>
      </c>
      <c r="C12" s="643">
        <v>911028</v>
      </c>
      <c r="D12" s="643">
        <v>927157</v>
      </c>
      <c r="E12" s="643"/>
      <c r="F12" s="641">
        <f t="shared" si="0"/>
        <v>927157</v>
      </c>
      <c r="G12" s="493">
        <f>(F12/C12)</f>
        <v>1.017704175941903</v>
      </c>
      <c r="H12" s="644"/>
    </row>
    <row r="13" spans="1:12" s="481" customFormat="1" ht="25.9" customHeight="1" x14ac:dyDescent="0.3">
      <c r="A13" s="480">
        <v>4</v>
      </c>
      <c r="B13" s="492" t="s">
        <v>332</v>
      </c>
      <c r="C13" s="643">
        <v>165613</v>
      </c>
      <c r="D13" s="643">
        <v>162239</v>
      </c>
      <c r="E13" s="643"/>
      <c r="F13" s="641">
        <f t="shared" si="0"/>
        <v>162239</v>
      </c>
      <c r="G13" s="493">
        <f t="shared" ref="G13:G15" si="1">(F13/C13)</f>
        <v>0.97962720317849439</v>
      </c>
      <c r="H13" s="644"/>
    </row>
    <row r="14" spans="1:12" s="481" customFormat="1" ht="33" x14ac:dyDescent="0.3">
      <c r="A14" s="480">
        <v>5</v>
      </c>
      <c r="B14" s="492" t="s">
        <v>333</v>
      </c>
      <c r="C14" s="643">
        <v>28306</v>
      </c>
      <c r="D14" s="643">
        <v>30745</v>
      </c>
      <c r="E14" s="643">
        <v>3733</v>
      </c>
      <c r="F14" s="641">
        <f t="shared" si="0"/>
        <v>34478</v>
      </c>
      <c r="G14" s="493">
        <f>(F14/C14)</f>
        <v>1.2180456440330671</v>
      </c>
      <c r="H14" s="644"/>
    </row>
    <row r="15" spans="1:12" s="481" customFormat="1" ht="25.5" customHeight="1" x14ac:dyDescent="0.3">
      <c r="A15" s="480">
        <v>6</v>
      </c>
      <c r="B15" s="492" t="s">
        <v>549</v>
      </c>
      <c r="C15" s="643">
        <v>3378</v>
      </c>
      <c r="D15" s="643">
        <v>4870</v>
      </c>
      <c r="E15" s="643"/>
      <c r="F15" s="641">
        <f t="shared" si="0"/>
        <v>4870</v>
      </c>
      <c r="G15" s="493">
        <f t="shared" si="1"/>
        <v>1.4416814683244523</v>
      </c>
      <c r="H15" s="644"/>
    </row>
    <row r="16" spans="1:12" s="490" customFormat="1" ht="34.5" x14ac:dyDescent="0.35">
      <c r="A16" s="480">
        <v>7</v>
      </c>
      <c r="B16" s="491" t="s">
        <v>413</v>
      </c>
      <c r="C16" s="641">
        <f>SUM(C17:C29)</f>
        <v>1319428</v>
      </c>
      <c r="D16" s="641">
        <f>SUM(D17:D29)</f>
        <v>1480333</v>
      </c>
      <c r="E16" s="641">
        <f>SUM(E17:E29)</f>
        <v>2828</v>
      </c>
      <c r="F16" s="641">
        <f>SUM(F17:F29)</f>
        <v>1483161</v>
      </c>
      <c r="G16" s="488">
        <f>(F16/C16)</f>
        <v>1.1240939255495563</v>
      </c>
      <c r="H16" s="642"/>
    </row>
    <row r="17" spans="1:8" s="481" customFormat="1" ht="25.5" customHeight="1" x14ac:dyDescent="0.3">
      <c r="A17" s="480">
        <v>8</v>
      </c>
      <c r="B17" s="492" t="s">
        <v>408</v>
      </c>
      <c r="C17" s="643">
        <v>35020</v>
      </c>
      <c r="D17" s="643">
        <v>35020</v>
      </c>
      <c r="E17" s="643">
        <v>3158</v>
      </c>
      <c r="F17" s="643">
        <f>SUM(D17:E17)</f>
        <v>38178</v>
      </c>
      <c r="G17" s="493">
        <f>(F17/C17)</f>
        <v>1.0901770416904626</v>
      </c>
      <c r="H17" s="644"/>
    </row>
    <row r="18" spans="1:8" s="481" customFormat="1" ht="25.9" customHeight="1" x14ac:dyDescent="0.3">
      <c r="A18" s="480">
        <v>9</v>
      </c>
      <c r="B18" s="492" t="s">
        <v>409</v>
      </c>
      <c r="C18" s="643">
        <v>39270</v>
      </c>
      <c r="D18" s="643">
        <v>39270</v>
      </c>
      <c r="E18" s="643">
        <v>-330</v>
      </c>
      <c r="F18" s="643">
        <f t="shared" ref="F18:F29" si="2">SUM(D18:E18)</f>
        <v>38940</v>
      </c>
      <c r="G18" s="493">
        <f t="shared" ref="G18:G36" si="3">(F18/C18)</f>
        <v>0.99159663865546221</v>
      </c>
      <c r="H18" s="644"/>
    </row>
    <row r="19" spans="1:8" s="481" customFormat="1" ht="25.9" customHeight="1" x14ac:dyDescent="0.3">
      <c r="A19" s="480">
        <v>10</v>
      </c>
      <c r="B19" s="492" t="s">
        <v>334</v>
      </c>
      <c r="C19" s="643">
        <v>39887</v>
      </c>
      <c r="D19" s="643">
        <v>49393</v>
      </c>
      <c r="E19" s="643"/>
      <c r="F19" s="643">
        <f t="shared" si="2"/>
        <v>49393</v>
      </c>
      <c r="G19" s="493">
        <f t="shared" si="3"/>
        <v>1.2383232632185925</v>
      </c>
      <c r="H19" s="644"/>
    </row>
    <row r="20" spans="1:8" s="481" customFormat="1" ht="25.9" customHeight="1" x14ac:dyDescent="0.3">
      <c r="A20" s="480">
        <v>11</v>
      </c>
      <c r="B20" s="492" t="s">
        <v>335</v>
      </c>
      <c r="C20" s="643">
        <v>52463</v>
      </c>
      <c r="D20" s="643">
        <v>65687</v>
      </c>
      <c r="E20" s="643"/>
      <c r="F20" s="643">
        <f t="shared" si="2"/>
        <v>65687</v>
      </c>
      <c r="G20" s="493">
        <f t="shared" si="3"/>
        <v>1.2520633589386807</v>
      </c>
      <c r="H20" s="644"/>
    </row>
    <row r="21" spans="1:8" s="481" customFormat="1" ht="22.5" customHeight="1" x14ac:dyDescent="0.3">
      <c r="A21" s="480">
        <v>12</v>
      </c>
      <c r="B21" s="492" t="s">
        <v>336</v>
      </c>
      <c r="C21" s="643">
        <v>26160</v>
      </c>
      <c r="D21" s="643">
        <v>39900</v>
      </c>
      <c r="E21" s="643"/>
      <c r="F21" s="643">
        <f t="shared" si="2"/>
        <v>39900</v>
      </c>
      <c r="G21" s="493">
        <f t="shared" si="3"/>
        <v>1.525229357798165</v>
      </c>
      <c r="H21" s="644"/>
    </row>
    <row r="22" spans="1:8" s="481" customFormat="1" ht="22.5" customHeight="1" x14ac:dyDescent="0.3">
      <c r="A22" s="480">
        <v>13</v>
      </c>
      <c r="B22" s="492" t="s">
        <v>410</v>
      </c>
      <c r="C22" s="643">
        <v>22000</v>
      </c>
      <c r="D22" s="643">
        <v>32245</v>
      </c>
      <c r="E22" s="643"/>
      <c r="F22" s="643">
        <f t="shared" si="2"/>
        <v>32245</v>
      </c>
      <c r="G22" s="493">
        <f t="shared" si="3"/>
        <v>1.4656818181818181</v>
      </c>
      <c r="H22" s="644"/>
    </row>
    <row r="23" spans="1:8" s="481" customFormat="1" ht="22.5" customHeight="1" x14ac:dyDescent="0.3">
      <c r="A23" s="480">
        <v>14</v>
      </c>
      <c r="B23" s="492" t="s">
        <v>411</v>
      </c>
      <c r="C23" s="643">
        <v>8500</v>
      </c>
      <c r="D23" s="643">
        <v>13780</v>
      </c>
      <c r="E23" s="643"/>
      <c r="F23" s="643">
        <f t="shared" si="2"/>
        <v>13780</v>
      </c>
      <c r="G23" s="493">
        <f t="shared" si="3"/>
        <v>1.6211764705882352</v>
      </c>
      <c r="H23" s="644"/>
    </row>
    <row r="24" spans="1:8" s="481" customFormat="1" ht="22.5" customHeight="1" x14ac:dyDescent="0.3">
      <c r="A24" s="480">
        <v>15</v>
      </c>
      <c r="B24" s="492" t="s">
        <v>550</v>
      </c>
      <c r="C24" s="643">
        <v>54369</v>
      </c>
      <c r="D24" s="643">
        <v>54612</v>
      </c>
      <c r="E24" s="643"/>
      <c r="F24" s="643">
        <f t="shared" si="2"/>
        <v>54612</v>
      </c>
      <c r="G24" s="493">
        <f t="shared" si="3"/>
        <v>1.0044694586988909</v>
      </c>
      <c r="H24" s="644"/>
    </row>
    <row r="25" spans="1:8" s="481" customFormat="1" ht="22.5" customHeight="1" x14ac:dyDescent="0.3">
      <c r="A25" s="480">
        <v>16</v>
      </c>
      <c r="B25" s="492" t="s">
        <v>337</v>
      </c>
      <c r="C25" s="643">
        <v>9398</v>
      </c>
      <c r="D25" s="643">
        <v>19290</v>
      </c>
      <c r="E25" s="643"/>
      <c r="F25" s="643">
        <f t="shared" si="2"/>
        <v>19290</v>
      </c>
      <c r="G25" s="493">
        <f t="shared" si="3"/>
        <v>2.052564375399021</v>
      </c>
      <c r="H25" s="644"/>
    </row>
    <row r="26" spans="1:8" s="481" customFormat="1" ht="22.5" customHeight="1" x14ac:dyDescent="0.3">
      <c r="A26" s="480">
        <v>17</v>
      </c>
      <c r="B26" s="492" t="s">
        <v>338</v>
      </c>
      <c r="C26" s="643">
        <v>111469</v>
      </c>
      <c r="D26" s="643">
        <f>142747+30058</f>
        <v>172805</v>
      </c>
      <c r="E26" s="643"/>
      <c r="F26" s="643">
        <f t="shared" si="2"/>
        <v>172805</v>
      </c>
      <c r="G26" s="493">
        <f t="shared" si="3"/>
        <v>1.5502516394692696</v>
      </c>
      <c r="H26" s="644"/>
    </row>
    <row r="27" spans="1:8" s="481" customFormat="1" ht="22.5" customHeight="1" x14ac:dyDescent="0.3">
      <c r="A27" s="480">
        <v>18</v>
      </c>
      <c r="B27" s="492" t="s">
        <v>339</v>
      </c>
      <c r="C27" s="643">
        <v>482460</v>
      </c>
      <c r="D27" s="643">
        <v>501906</v>
      </c>
      <c r="E27" s="643"/>
      <c r="F27" s="643">
        <f t="shared" si="2"/>
        <v>501906</v>
      </c>
      <c r="G27" s="493">
        <f t="shared" si="3"/>
        <v>1.0403059320979977</v>
      </c>
      <c r="H27" s="644"/>
    </row>
    <row r="28" spans="1:8" s="481" customFormat="1" ht="22.5" customHeight="1" x14ac:dyDescent="0.3">
      <c r="A28" s="480">
        <v>19</v>
      </c>
      <c r="B28" s="492" t="s">
        <v>340</v>
      </c>
      <c r="C28" s="643">
        <v>133</v>
      </c>
      <c r="D28" s="643">
        <v>76</v>
      </c>
      <c r="E28" s="643"/>
      <c r="F28" s="643">
        <f t="shared" si="2"/>
        <v>76</v>
      </c>
      <c r="G28" s="493">
        <f t="shared" si="3"/>
        <v>0.5714285714285714</v>
      </c>
      <c r="H28" s="644"/>
    </row>
    <row r="29" spans="1:8" s="481" customFormat="1" ht="22.5" customHeight="1" x14ac:dyDescent="0.3">
      <c r="A29" s="480">
        <v>20</v>
      </c>
      <c r="B29" s="492" t="s">
        <v>412</v>
      </c>
      <c r="C29" s="643">
        <v>438299</v>
      </c>
      <c r="D29" s="643">
        <v>456349</v>
      </c>
      <c r="E29" s="643"/>
      <c r="F29" s="643">
        <f t="shared" si="2"/>
        <v>456349</v>
      </c>
      <c r="G29" s="493">
        <f t="shared" si="3"/>
        <v>1.0411819328814349</v>
      </c>
      <c r="H29" s="644"/>
    </row>
    <row r="30" spans="1:8" s="182" customFormat="1" ht="34.5" customHeight="1" x14ac:dyDescent="0.2">
      <c r="A30" s="480">
        <v>21</v>
      </c>
      <c r="B30" s="645" t="s">
        <v>341</v>
      </c>
      <c r="C30" s="646">
        <f>SUM(C31:C36)</f>
        <v>766792</v>
      </c>
      <c r="D30" s="646">
        <f>SUM(D31:D36)</f>
        <v>461283</v>
      </c>
      <c r="E30" s="646">
        <f>SUM(E31:E36)</f>
        <v>417327</v>
      </c>
      <c r="F30" s="646">
        <f>SUM(F31:F36)</f>
        <v>878610</v>
      </c>
      <c r="G30" s="488">
        <f t="shared" si="3"/>
        <v>1.1458257258813342</v>
      </c>
      <c r="H30" s="647"/>
    </row>
    <row r="31" spans="1:8" s="183" customFormat="1" ht="25.5" customHeight="1" x14ac:dyDescent="0.2">
      <c r="A31" s="480">
        <v>22</v>
      </c>
      <c r="B31" s="648" t="s">
        <v>342</v>
      </c>
      <c r="C31" s="649">
        <v>117500</v>
      </c>
      <c r="D31" s="649">
        <v>120660</v>
      </c>
      <c r="E31" s="649"/>
      <c r="F31" s="649">
        <f>SUM(D31:E31)</f>
        <v>120660</v>
      </c>
      <c r="G31" s="493">
        <f t="shared" si="3"/>
        <v>1.0268936170212766</v>
      </c>
      <c r="H31" s="650"/>
    </row>
    <row r="32" spans="1:8" s="183" customFormat="1" ht="25.5" customHeight="1" x14ac:dyDescent="0.2">
      <c r="A32" s="480">
        <v>23</v>
      </c>
      <c r="B32" s="648" t="s">
        <v>343</v>
      </c>
      <c r="C32" s="649">
        <v>140200</v>
      </c>
      <c r="D32" s="649">
        <v>140200</v>
      </c>
      <c r="E32" s="649"/>
      <c r="F32" s="649">
        <f t="shared" ref="F32:F36" si="4">SUM(D32:E32)</f>
        <v>140200</v>
      </c>
      <c r="G32" s="493">
        <f t="shared" si="3"/>
        <v>1</v>
      </c>
      <c r="H32" s="650"/>
    </row>
    <row r="33" spans="1:8" s="183" customFormat="1" ht="25.5" customHeight="1" x14ac:dyDescent="0.2">
      <c r="A33" s="480">
        <v>24</v>
      </c>
      <c r="B33" s="648" t="s">
        <v>344</v>
      </c>
      <c r="C33" s="649">
        <v>25588</v>
      </c>
      <c r="D33" s="649">
        <v>25675</v>
      </c>
      <c r="E33" s="649"/>
      <c r="F33" s="649">
        <f t="shared" si="4"/>
        <v>25675</v>
      </c>
      <c r="G33" s="493">
        <f t="shared" si="3"/>
        <v>1.0034000312646554</v>
      </c>
      <c r="H33" s="650"/>
    </row>
    <row r="34" spans="1:8" s="183" customFormat="1" ht="25.5" customHeight="1" x14ac:dyDescent="0.2">
      <c r="A34" s="480">
        <v>25</v>
      </c>
      <c r="B34" s="648" t="s">
        <v>345</v>
      </c>
      <c r="C34" s="649">
        <v>149704</v>
      </c>
      <c r="D34" s="649">
        <v>150648</v>
      </c>
      <c r="E34" s="649"/>
      <c r="F34" s="649">
        <f t="shared" si="4"/>
        <v>150648</v>
      </c>
      <c r="G34" s="493">
        <f>(F34/C34)</f>
        <v>1.0063057767327526</v>
      </c>
      <c r="H34" s="650"/>
    </row>
    <row r="35" spans="1:8" s="183" customFormat="1" ht="25.5" customHeight="1" x14ac:dyDescent="0.2">
      <c r="A35" s="480">
        <v>26</v>
      </c>
      <c r="B35" s="648" t="s">
        <v>1060</v>
      </c>
      <c r="C35" s="649">
        <v>308800</v>
      </c>
      <c r="D35" s="651"/>
      <c r="E35" s="652">
        <v>417327</v>
      </c>
      <c r="F35" s="649">
        <f t="shared" si="4"/>
        <v>417327</v>
      </c>
      <c r="G35" s="493">
        <f>(F35/C35)</f>
        <v>1.3514475388601037</v>
      </c>
      <c r="H35" s="650"/>
    </row>
    <row r="36" spans="1:8" s="183" customFormat="1" ht="25.5" customHeight="1" thickBot="1" x14ac:dyDescent="0.25">
      <c r="A36" s="480">
        <v>27</v>
      </c>
      <c r="B36" s="648" t="s">
        <v>346</v>
      </c>
      <c r="C36" s="649">
        <v>25000</v>
      </c>
      <c r="D36" s="649">
        <v>24100</v>
      </c>
      <c r="E36" s="649"/>
      <c r="F36" s="649">
        <f t="shared" si="4"/>
        <v>24100</v>
      </c>
      <c r="G36" s="493">
        <f t="shared" si="3"/>
        <v>0.96399999999999997</v>
      </c>
      <c r="H36" s="650"/>
    </row>
    <row r="37" spans="1:8" s="88" customFormat="1" ht="36" customHeight="1" thickBot="1" x14ac:dyDescent="0.25">
      <c r="A37" s="480">
        <v>28</v>
      </c>
      <c r="B37" s="494" t="s">
        <v>13</v>
      </c>
      <c r="C37" s="495">
        <f>SUM(C10:C11,C16,C30)</f>
        <v>3194545</v>
      </c>
      <c r="D37" s="495">
        <f>SUM(D10:D11,D16,D30)</f>
        <v>3066627</v>
      </c>
      <c r="E37" s="495">
        <f t="shared" ref="E37:F37" si="5">SUM(E10:E11,E16,E30)</f>
        <v>431087</v>
      </c>
      <c r="F37" s="495">
        <f t="shared" si="5"/>
        <v>3497714</v>
      </c>
      <c r="G37" s="496">
        <f>(F37/C37)</f>
        <v>1.0949020909080949</v>
      </c>
      <c r="H37" s="642"/>
    </row>
    <row r="38" spans="1:8" ht="50.1" customHeight="1" x14ac:dyDescent="0.3">
      <c r="A38" s="479"/>
      <c r="B38" s="1939" t="s">
        <v>1061</v>
      </c>
      <c r="C38" s="1939"/>
      <c r="D38" s="1939"/>
      <c r="E38" s="1939"/>
      <c r="F38" s="1939"/>
      <c r="G38" s="1939"/>
      <c r="H38" s="497"/>
    </row>
  </sheetData>
  <mergeCells count="11">
    <mergeCell ref="B38:G38"/>
    <mergeCell ref="B4:G4"/>
    <mergeCell ref="B5:G5"/>
    <mergeCell ref="B1:C1"/>
    <mergeCell ref="D1:E1"/>
    <mergeCell ref="B8:B9"/>
    <mergeCell ref="C8:C9"/>
    <mergeCell ref="D8:D9"/>
    <mergeCell ref="B2:F2"/>
    <mergeCell ref="E8:E9"/>
    <mergeCell ref="F8:F9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66" fitToHeight="2" orientation="portrait" r:id="rId1"/>
  <headerFooter alignWithMargins="0">
    <oddFooter>&amp;C- &amp;P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view="pageBreakPreview" topLeftCell="A37" zoomScaleNormal="100" zoomScaleSheetLayoutView="100" workbookViewId="0">
      <selection activeCell="O8" sqref="O8"/>
    </sheetView>
  </sheetViews>
  <sheetFormatPr defaultColWidth="9.140625" defaultRowHeight="16.5" x14ac:dyDescent="0.3"/>
  <cols>
    <col min="1" max="1" width="3.7109375" style="297" customWidth="1"/>
    <col min="2" max="2" width="5.7109375" style="59" customWidth="1"/>
    <col min="3" max="5" width="5.7109375" style="61" customWidth="1"/>
    <col min="6" max="6" width="59.7109375" style="45" customWidth="1"/>
    <col min="7" max="9" width="13.7109375" style="45" customWidth="1"/>
    <col min="10" max="10" width="15.7109375" style="45" customWidth="1"/>
    <col min="11" max="11" width="11" style="45" customWidth="1"/>
    <col min="12" max="12" width="15.5703125" style="45" bestFit="1" customWidth="1"/>
    <col min="13" max="13" width="11.28515625" style="45" customWidth="1"/>
    <col min="14" max="16384" width="9.140625" style="45"/>
  </cols>
  <sheetData>
    <row r="1" spans="1:13" x14ac:dyDescent="0.3">
      <c r="B1" s="1950" t="s">
        <v>969</v>
      </c>
      <c r="C1" s="1950"/>
      <c r="D1" s="1950"/>
      <c r="E1" s="1950"/>
      <c r="F1" s="1950"/>
      <c r="H1" s="46"/>
      <c r="I1" s="47"/>
      <c r="J1" s="47"/>
    </row>
    <row r="2" spans="1:13" x14ac:dyDescent="0.3">
      <c r="B2" s="1936" t="s">
        <v>1040</v>
      </c>
      <c r="C2" s="1936"/>
      <c r="D2" s="1936"/>
      <c r="E2" s="1936"/>
      <c r="F2" s="1936"/>
      <c r="H2" s="46"/>
      <c r="I2" s="47"/>
      <c r="J2" s="47"/>
    </row>
    <row r="3" spans="1:13" x14ac:dyDescent="0.3">
      <c r="B3" s="500" t="s">
        <v>1062</v>
      </c>
      <c r="C3" s="500"/>
      <c r="D3" s="500"/>
      <c r="E3" s="500"/>
      <c r="F3" s="500"/>
      <c r="H3" s="46"/>
      <c r="I3" s="47"/>
      <c r="J3" s="47"/>
    </row>
    <row r="4" spans="1:13" x14ac:dyDescent="0.3">
      <c r="B4" s="1905" t="s">
        <v>1230</v>
      </c>
      <c r="C4" s="1886"/>
      <c r="D4" s="1886"/>
      <c r="E4" s="1886"/>
      <c r="F4" s="1886"/>
      <c r="H4" s="46"/>
      <c r="I4" s="47"/>
      <c r="J4" s="47"/>
    </row>
    <row r="5" spans="1:13" s="48" customFormat="1" ht="24.95" customHeight="1" x14ac:dyDescent="0.2">
      <c r="A5" s="297"/>
      <c r="B5" s="1951" t="s">
        <v>172</v>
      </c>
      <c r="C5" s="1951"/>
      <c r="D5" s="1951"/>
      <c r="E5" s="1951"/>
      <c r="F5" s="1951"/>
      <c r="G5" s="1951"/>
      <c r="H5" s="1951"/>
      <c r="I5" s="1951"/>
      <c r="J5" s="1951"/>
    </row>
    <row r="6" spans="1:13" s="48" customFormat="1" ht="24.95" customHeight="1" x14ac:dyDescent="0.2">
      <c r="A6" s="297"/>
      <c r="B6" s="1951" t="s">
        <v>635</v>
      </c>
      <c r="C6" s="1951"/>
      <c r="D6" s="1951"/>
      <c r="E6" s="1951"/>
      <c r="F6" s="1951"/>
      <c r="G6" s="1951"/>
      <c r="H6" s="1951"/>
      <c r="I6" s="1951"/>
      <c r="J6" s="1951"/>
    </row>
    <row r="7" spans="1:13" ht="17.25" x14ac:dyDescent="0.35">
      <c r="C7" s="60"/>
      <c r="E7" s="60"/>
      <c r="F7" s="60"/>
      <c r="G7" s="60"/>
      <c r="H7" s="46"/>
      <c r="K7" s="653"/>
      <c r="M7" s="653" t="s">
        <v>0</v>
      </c>
    </row>
    <row r="8" spans="1:13" s="61" customFormat="1" ht="17.25" thickBot="1" x14ac:dyDescent="0.35">
      <c r="A8" s="297"/>
      <c r="B8" s="59" t="s">
        <v>1</v>
      </c>
      <c r="C8" s="61" t="s">
        <v>3</v>
      </c>
      <c r="D8" s="61" t="s">
        <v>2</v>
      </c>
      <c r="E8" s="61" t="s">
        <v>4</v>
      </c>
      <c r="F8" s="61" t="s">
        <v>5</v>
      </c>
      <c r="G8" s="61" t="s">
        <v>15</v>
      </c>
      <c r="H8" s="61" t="s">
        <v>16</v>
      </c>
      <c r="I8" s="654" t="s">
        <v>17</v>
      </c>
      <c r="J8" s="654" t="s">
        <v>36</v>
      </c>
      <c r="K8" s="654" t="s">
        <v>30</v>
      </c>
      <c r="L8" s="61" t="s">
        <v>23</v>
      </c>
      <c r="M8" s="61" t="s">
        <v>37</v>
      </c>
    </row>
    <row r="9" spans="1:13" s="49" customFormat="1" ht="80.099999999999994" customHeight="1" thickBot="1" x14ac:dyDescent="0.25">
      <c r="A9" s="297"/>
      <c r="B9" s="655" t="s">
        <v>204</v>
      </c>
      <c r="C9" s="656" t="s">
        <v>19</v>
      </c>
      <c r="D9" s="521" t="s">
        <v>669</v>
      </c>
      <c r="E9" s="521" t="s">
        <v>671</v>
      </c>
      <c r="F9" s="657" t="s">
        <v>6</v>
      </c>
      <c r="G9" s="524" t="s">
        <v>660</v>
      </c>
      <c r="H9" s="524" t="s">
        <v>633</v>
      </c>
      <c r="I9" s="523" t="s">
        <v>1063</v>
      </c>
      <c r="J9" s="658" t="s">
        <v>988</v>
      </c>
      <c r="K9" s="527" t="s">
        <v>1111</v>
      </c>
      <c r="L9" s="528" t="s">
        <v>123</v>
      </c>
      <c r="M9" s="529" t="s">
        <v>1110</v>
      </c>
    </row>
    <row r="10" spans="1:13" s="50" customFormat="1" ht="30" customHeight="1" x14ac:dyDescent="0.35">
      <c r="A10" s="297">
        <v>1</v>
      </c>
      <c r="B10" s="659" t="s">
        <v>547</v>
      </c>
      <c r="C10" s="660"/>
      <c r="D10" s="661"/>
      <c r="E10" s="660"/>
      <c r="F10" s="662" t="s">
        <v>205</v>
      </c>
      <c r="G10" s="663">
        <f>SUM(G11:G12)</f>
        <v>7353582</v>
      </c>
      <c r="H10" s="663">
        <f>SUM(H11:H12)</f>
        <v>7596089</v>
      </c>
      <c r="I10" s="663">
        <f>SUM(I11:I12)</f>
        <v>8054296</v>
      </c>
      <c r="J10" s="664">
        <f>SUM(J11:J12)</f>
        <v>8038573</v>
      </c>
      <c r="K10" s="663">
        <f>SUM(K11:K12)</f>
        <v>8928975</v>
      </c>
      <c r="L10" s="663">
        <v>56546</v>
      </c>
      <c r="M10" s="665">
        <f>SUM(M11:M12)</f>
        <v>8985521</v>
      </c>
    </row>
    <row r="11" spans="1:13" ht="26.1" customHeight="1" x14ac:dyDescent="0.3">
      <c r="A11" s="297">
        <v>2</v>
      </c>
      <c r="B11" s="666"/>
      <c r="C11" s="51"/>
      <c r="D11" s="51">
        <v>1</v>
      </c>
      <c r="E11" s="51"/>
      <c r="F11" s="52" t="s">
        <v>39</v>
      </c>
      <c r="G11" s="52">
        <v>7197678</v>
      </c>
      <c r="H11" s="52">
        <v>7431316</v>
      </c>
      <c r="I11" s="52">
        <v>7776616</v>
      </c>
      <c r="J11" s="667">
        <v>7971537</v>
      </c>
      <c r="K11" s="52">
        <v>8780717</v>
      </c>
      <c r="L11" s="52">
        <v>32949</v>
      </c>
      <c r="M11" s="668">
        <f>SUM(K11:L11)</f>
        <v>8813666</v>
      </c>
    </row>
    <row r="12" spans="1:13" ht="25.5" customHeight="1" x14ac:dyDescent="0.3">
      <c r="A12" s="297">
        <v>3</v>
      </c>
      <c r="B12" s="666"/>
      <c r="C12" s="51"/>
      <c r="D12" s="51">
        <v>2</v>
      </c>
      <c r="E12" s="51"/>
      <c r="F12" s="52" t="s">
        <v>163</v>
      </c>
      <c r="G12" s="52">
        <f>SUM(G13:G14)</f>
        <v>155904</v>
      </c>
      <c r="H12" s="52">
        <f>SUM(H13:H14)</f>
        <v>164773</v>
      </c>
      <c r="I12" s="52">
        <f>SUM(I13:I14)</f>
        <v>277680</v>
      </c>
      <c r="J12" s="667">
        <f>SUM(J13:J14)</f>
        <v>67036</v>
      </c>
      <c r="K12" s="52">
        <f>SUM(K13:K14)</f>
        <v>148258</v>
      </c>
      <c r="L12" s="52">
        <v>23597</v>
      </c>
      <c r="M12" s="668">
        <f t="shared" ref="M12" si="0">SUM(M13:M14)</f>
        <v>171855</v>
      </c>
    </row>
    <row r="13" spans="1:13" x14ac:dyDescent="0.3">
      <c r="A13" s="297">
        <v>4</v>
      </c>
      <c r="B13" s="666"/>
      <c r="C13" s="51"/>
      <c r="D13" s="51"/>
      <c r="E13" s="51">
        <v>1</v>
      </c>
      <c r="F13" s="669" t="s">
        <v>231</v>
      </c>
      <c r="G13" s="52">
        <v>155449</v>
      </c>
      <c r="H13" s="52">
        <v>164773</v>
      </c>
      <c r="I13" s="52">
        <v>277321</v>
      </c>
      <c r="J13" s="667">
        <v>67036</v>
      </c>
      <c r="K13" s="52">
        <v>145103</v>
      </c>
      <c r="L13" s="52">
        <v>23597</v>
      </c>
      <c r="M13" s="668">
        <f>SUM(K13:L13)</f>
        <v>168700</v>
      </c>
    </row>
    <row r="14" spans="1:13" x14ac:dyDescent="0.3">
      <c r="A14" s="297">
        <v>5</v>
      </c>
      <c r="B14" s="666"/>
      <c r="C14" s="51"/>
      <c r="D14" s="51"/>
      <c r="E14" s="51">
        <v>2</v>
      </c>
      <c r="F14" s="669" t="s">
        <v>232</v>
      </c>
      <c r="G14" s="52">
        <v>455</v>
      </c>
      <c r="H14" s="52"/>
      <c r="I14" s="52">
        <v>359</v>
      </c>
      <c r="J14" s="667"/>
      <c r="K14" s="52">
        <v>3155</v>
      </c>
      <c r="L14" s="52"/>
      <c r="M14" s="668">
        <f>SUM(K14:L14)</f>
        <v>3155</v>
      </c>
    </row>
    <row r="15" spans="1:13" s="50" customFormat="1" ht="30" customHeight="1" x14ac:dyDescent="0.35">
      <c r="A15" s="297">
        <v>6</v>
      </c>
      <c r="B15" s="670" t="s">
        <v>548</v>
      </c>
      <c r="C15" s="671"/>
      <c r="D15" s="672"/>
      <c r="E15" s="672"/>
      <c r="F15" s="673" t="s">
        <v>127</v>
      </c>
      <c r="G15" s="673">
        <f t="shared" ref="G15:M15" si="1">SUM(G16:G17,G28,G29)</f>
        <v>13225053</v>
      </c>
      <c r="H15" s="673">
        <f t="shared" si="1"/>
        <v>19900460</v>
      </c>
      <c r="I15" s="673">
        <f t="shared" si="1"/>
        <v>11881117</v>
      </c>
      <c r="J15" s="674">
        <f t="shared" si="1"/>
        <v>29513701</v>
      </c>
      <c r="K15" s="673">
        <f t="shared" si="1"/>
        <v>29898541</v>
      </c>
      <c r="L15" s="673">
        <v>713180</v>
      </c>
      <c r="M15" s="675">
        <f t="shared" si="1"/>
        <v>30611721</v>
      </c>
    </row>
    <row r="16" spans="1:13" s="50" customFormat="1" ht="25.5" customHeight="1" x14ac:dyDescent="0.35">
      <c r="A16" s="297">
        <v>7</v>
      </c>
      <c r="B16" s="666"/>
      <c r="C16" s="53"/>
      <c r="D16" s="51">
        <v>1</v>
      </c>
      <c r="E16" s="53"/>
      <c r="F16" s="54" t="s">
        <v>39</v>
      </c>
      <c r="G16" s="54">
        <v>4718378</v>
      </c>
      <c r="H16" s="54">
        <v>5579739</v>
      </c>
      <c r="I16" s="54">
        <v>6400942</v>
      </c>
      <c r="J16" s="676">
        <v>6655947</v>
      </c>
      <c r="K16" s="54">
        <f>5993772+15710</f>
        <v>6009482</v>
      </c>
      <c r="L16" s="54">
        <v>154172</v>
      </c>
      <c r="M16" s="677">
        <f>SUM(K16:L16)</f>
        <v>6163654</v>
      </c>
    </row>
    <row r="17" spans="1:15" ht="25.5" customHeight="1" x14ac:dyDescent="0.35">
      <c r="A17" s="297">
        <v>8</v>
      </c>
      <c r="B17" s="666"/>
      <c r="C17" s="53"/>
      <c r="D17" s="53"/>
      <c r="E17" s="53"/>
      <c r="F17" s="54" t="s">
        <v>206</v>
      </c>
      <c r="G17" s="54">
        <f>SUM(G18,G24)</f>
        <v>0</v>
      </c>
      <c r="H17" s="54">
        <f>SUM(H18,H24)</f>
        <v>394518</v>
      </c>
      <c r="I17" s="54">
        <f>SUM(I18,I24)</f>
        <v>0</v>
      </c>
      <c r="J17" s="676">
        <f>SUM(J18,J24)</f>
        <v>520204</v>
      </c>
      <c r="K17" s="54">
        <f>SUM(K18,K24)</f>
        <v>571250</v>
      </c>
      <c r="L17" s="54">
        <v>0</v>
      </c>
      <c r="M17" s="677">
        <f t="shared" ref="M17" si="2">SUM(M18,M24)</f>
        <v>571250</v>
      </c>
    </row>
    <row r="18" spans="1:15" s="55" customFormat="1" ht="25.5" customHeight="1" x14ac:dyDescent="0.35">
      <c r="A18" s="297">
        <v>9</v>
      </c>
      <c r="B18" s="678"/>
      <c r="C18" s="679"/>
      <c r="D18" s="51">
        <v>1</v>
      </c>
      <c r="E18" s="679"/>
      <c r="F18" s="680" t="s">
        <v>600</v>
      </c>
      <c r="G18" s="681">
        <f>SUM(G19:G22)</f>
        <v>0</v>
      </c>
      <c r="H18" s="681">
        <f>SUM(H19:H22)</f>
        <v>105109</v>
      </c>
      <c r="I18" s="681">
        <f>SUM(I19:I23)</f>
        <v>0</v>
      </c>
      <c r="J18" s="682">
        <f>SUM(J19:J22)</f>
        <v>135616</v>
      </c>
      <c r="K18" s="681">
        <f>SUM(K19:K22)</f>
        <v>77662</v>
      </c>
      <c r="L18" s="681">
        <v>0</v>
      </c>
      <c r="M18" s="683">
        <f>SUM(K18:L18)</f>
        <v>77662</v>
      </c>
    </row>
    <row r="19" spans="1:15" ht="17.25" x14ac:dyDescent="0.35">
      <c r="A19" s="297">
        <v>10</v>
      </c>
      <c r="B19" s="666"/>
      <c r="C19" s="51"/>
      <c r="D19" s="51"/>
      <c r="E19" s="51"/>
      <c r="F19" s="684" t="s">
        <v>207</v>
      </c>
      <c r="G19" s="52"/>
      <c r="H19" s="52">
        <v>76368</v>
      </c>
      <c r="I19" s="52"/>
      <c r="J19" s="667">
        <v>111616</v>
      </c>
      <c r="K19" s="52">
        <v>77662</v>
      </c>
      <c r="L19" s="52"/>
      <c r="M19" s="683">
        <f t="shared" ref="M19:M23" si="3">SUM(K19:L19)</f>
        <v>77662</v>
      </c>
    </row>
    <row r="20" spans="1:15" ht="17.25" x14ac:dyDescent="0.35">
      <c r="A20" s="297">
        <v>11</v>
      </c>
      <c r="B20" s="666"/>
      <c r="C20" s="51"/>
      <c r="D20" s="51"/>
      <c r="E20" s="51"/>
      <c r="F20" s="684" t="s">
        <v>812</v>
      </c>
      <c r="G20" s="52"/>
      <c r="H20" s="52">
        <v>24000</v>
      </c>
      <c r="I20" s="52"/>
      <c r="J20" s="667">
        <v>24000</v>
      </c>
      <c r="K20" s="52">
        <v>0</v>
      </c>
      <c r="L20" s="52"/>
      <c r="M20" s="683">
        <f t="shared" si="3"/>
        <v>0</v>
      </c>
    </row>
    <row r="21" spans="1:15" ht="17.25" x14ac:dyDescent="0.35">
      <c r="A21" s="297">
        <v>12</v>
      </c>
      <c r="B21" s="666"/>
      <c r="C21" s="51"/>
      <c r="D21" s="51"/>
      <c r="E21" s="51"/>
      <c r="F21" s="684" t="s">
        <v>619</v>
      </c>
      <c r="G21" s="52"/>
      <c r="H21" s="52">
        <v>4741</v>
      </c>
      <c r="I21" s="52"/>
      <c r="J21" s="667"/>
      <c r="K21" s="52"/>
      <c r="L21" s="52"/>
      <c r="M21" s="683">
        <f t="shared" si="3"/>
        <v>0</v>
      </c>
    </row>
    <row r="22" spans="1:15" ht="17.25" x14ac:dyDescent="0.35">
      <c r="A22" s="297">
        <v>13</v>
      </c>
      <c r="B22" s="666"/>
      <c r="C22" s="51"/>
      <c r="D22" s="51"/>
      <c r="E22" s="51"/>
      <c r="F22" s="684" t="s">
        <v>663</v>
      </c>
      <c r="G22" s="52"/>
      <c r="H22" s="52"/>
      <c r="I22" s="52"/>
      <c r="J22" s="667"/>
      <c r="K22" s="52"/>
      <c r="L22" s="52"/>
      <c r="M22" s="683">
        <f t="shared" si="3"/>
        <v>0</v>
      </c>
    </row>
    <row r="23" spans="1:15" ht="17.25" x14ac:dyDescent="0.35">
      <c r="A23" s="297">
        <v>14</v>
      </c>
      <c r="B23" s="666"/>
      <c r="C23" s="51"/>
      <c r="D23" s="51"/>
      <c r="E23" s="51"/>
      <c r="F23" s="684" t="s">
        <v>664</v>
      </c>
      <c r="G23" s="52"/>
      <c r="H23" s="52"/>
      <c r="I23" s="52"/>
      <c r="J23" s="667"/>
      <c r="K23" s="52"/>
      <c r="L23" s="52"/>
      <c r="M23" s="683">
        <f t="shared" si="3"/>
        <v>0</v>
      </c>
    </row>
    <row r="24" spans="1:15" s="55" customFormat="1" ht="25.5" customHeight="1" x14ac:dyDescent="0.35">
      <c r="A24" s="297">
        <v>15</v>
      </c>
      <c r="B24" s="678"/>
      <c r="C24" s="679"/>
      <c r="D24" s="51">
        <v>2</v>
      </c>
      <c r="E24" s="679"/>
      <c r="F24" s="680" t="s">
        <v>601</v>
      </c>
      <c r="G24" s="681">
        <f>SUM(G25:G27)</f>
        <v>0</v>
      </c>
      <c r="H24" s="681">
        <f>SUM(H25:H27)</f>
        <v>289409</v>
      </c>
      <c r="I24" s="681"/>
      <c r="J24" s="682">
        <f>SUM(J25:J27)</f>
        <v>384588</v>
      </c>
      <c r="K24" s="681">
        <f>SUM(K25:K27)</f>
        <v>493588</v>
      </c>
      <c r="L24" s="681">
        <v>0</v>
      </c>
      <c r="M24" s="683">
        <f t="shared" ref="M24" si="4">SUM(M25:M27)</f>
        <v>493588</v>
      </c>
    </row>
    <row r="25" spans="1:15" ht="17.25" x14ac:dyDescent="0.35">
      <c r="A25" s="297">
        <v>16</v>
      </c>
      <c r="B25" s="666"/>
      <c r="C25" s="51"/>
      <c r="D25" s="679"/>
      <c r="E25" s="51"/>
      <c r="F25" s="684" t="s">
        <v>208</v>
      </c>
      <c r="G25" s="52"/>
      <c r="H25" s="52"/>
      <c r="I25" s="52"/>
      <c r="J25" s="667"/>
      <c r="K25" s="52"/>
      <c r="L25" s="52"/>
      <c r="M25" s="668"/>
    </row>
    <row r="26" spans="1:15" ht="17.25" x14ac:dyDescent="0.35">
      <c r="A26" s="297">
        <v>17</v>
      </c>
      <c r="B26" s="666"/>
      <c r="C26" s="51"/>
      <c r="D26" s="679"/>
      <c r="E26" s="51"/>
      <c r="F26" s="685" t="s">
        <v>618</v>
      </c>
      <c r="G26" s="52"/>
      <c r="H26" s="686">
        <v>248370</v>
      </c>
      <c r="I26" s="686"/>
      <c r="J26" s="687"/>
      <c r="K26" s="686">
        <v>109000</v>
      </c>
      <c r="L26" s="52"/>
      <c r="M26" s="668">
        <f>SUM(K26:L26)</f>
        <v>109000</v>
      </c>
    </row>
    <row r="27" spans="1:15" ht="17.25" x14ac:dyDescent="0.35">
      <c r="A27" s="297">
        <v>18</v>
      </c>
      <c r="B27" s="666"/>
      <c r="C27" s="51"/>
      <c r="D27" s="679"/>
      <c r="E27" s="51"/>
      <c r="F27" s="684" t="s">
        <v>527</v>
      </c>
      <c r="G27" s="52"/>
      <c r="H27" s="52">
        <v>41039</v>
      </c>
      <c r="I27" s="52"/>
      <c r="J27" s="667">
        <v>384588</v>
      </c>
      <c r="K27" s="52">
        <v>384588</v>
      </c>
      <c r="L27" s="52"/>
      <c r="M27" s="668">
        <f>SUM(K27:L27)</f>
        <v>384588</v>
      </c>
    </row>
    <row r="28" spans="1:15" s="48" customFormat="1" ht="25.5" customHeight="1" x14ac:dyDescent="0.2">
      <c r="A28" s="297">
        <v>19</v>
      </c>
      <c r="B28" s="688"/>
      <c r="C28" s="689"/>
      <c r="D28" s="689"/>
      <c r="E28" s="689"/>
      <c r="F28" s="56" t="s">
        <v>209</v>
      </c>
      <c r="G28" s="56"/>
      <c r="H28" s="56">
        <v>150000</v>
      </c>
      <c r="I28" s="56"/>
      <c r="J28" s="690">
        <v>177471</v>
      </c>
      <c r="K28" s="56">
        <v>100000</v>
      </c>
      <c r="L28" s="686">
        <v>-36078</v>
      </c>
      <c r="M28" s="691">
        <f>SUM(K28:L28)</f>
        <v>63922</v>
      </c>
    </row>
    <row r="29" spans="1:15" s="50" customFormat="1" ht="25.5" customHeight="1" x14ac:dyDescent="0.35">
      <c r="A29" s="297">
        <v>20</v>
      </c>
      <c r="B29" s="666"/>
      <c r="C29" s="53"/>
      <c r="D29" s="51">
        <v>2</v>
      </c>
      <c r="E29" s="53"/>
      <c r="F29" s="54" t="s">
        <v>163</v>
      </c>
      <c r="G29" s="54">
        <f t="shared" ref="G29:M29" si="5">SUM(G30:G32)</f>
        <v>8506675</v>
      </c>
      <c r="H29" s="54">
        <f t="shared" si="5"/>
        <v>13776203</v>
      </c>
      <c r="I29" s="54">
        <f t="shared" si="5"/>
        <v>5480175</v>
      </c>
      <c r="J29" s="676">
        <f t="shared" si="5"/>
        <v>22160079</v>
      </c>
      <c r="K29" s="54">
        <f t="shared" si="5"/>
        <v>23217809</v>
      </c>
      <c r="L29" s="54">
        <v>595086</v>
      </c>
      <c r="M29" s="677">
        <f t="shared" si="5"/>
        <v>23812895</v>
      </c>
    </row>
    <row r="30" spans="1:15" ht="17.25" x14ac:dyDescent="0.35">
      <c r="A30" s="297">
        <v>21</v>
      </c>
      <c r="B30" s="666"/>
      <c r="C30" s="53"/>
      <c r="D30" s="51"/>
      <c r="E30" s="51">
        <v>1</v>
      </c>
      <c r="F30" s="669" t="s">
        <v>231</v>
      </c>
      <c r="G30" s="52">
        <v>7792799</v>
      </c>
      <c r="H30" s="52">
        <v>13014190</v>
      </c>
      <c r="I30" s="52">
        <v>5000126</v>
      </c>
      <c r="J30" s="667">
        <v>21222147</v>
      </c>
      <c r="K30" s="52">
        <f>22246140-15710</f>
        <v>22230430</v>
      </c>
      <c r="L30" s="52">
        <v>-859839</v>
      </c>
      <c r="M30" s="668">
        <f>SUM(K30:L30)</f>
        <v>21370591</v>
      </c>
    </row>
    <row r="31" spans="1:15" ht="17.25" x14ac:dyDescent="0.35">
      <c r="A31" s="297">
        <v>22</v>
      </c>
      <c r="B31" s="666"/>
      <c r="C31" s="53"/>
      <c r="D31" s="51"/>
      <c r="E31" s="51">
        <v>2</v>
      </c>
      <c r="F31" s="669" t="s">
        <v>164</v>
      </c>
      <c r="G31" s="52">
        <v>502120</v>
      </c>
      <c r="H31" s="52">
        <v>197022</v>
      </c>
      <c r="I31" s="52">
        <v>55982</v>
      </c>
      <c r="J31" s="667">
        <v>549493</v>
      </c>
      <c r="K31" s="52">
        <v>622304</v>
      </c>
      <c r="L31" s="52">
        <v>1449925</v>
      </c>
      <c r="M31" s="668">
        <f t="shared" ref="M31:M32" si="6">SUM(K31:L31)</f>
        <v>2072229</v>
      </c>
    </row>
    <row r="32" spans="1:15" ht="17.25" x14ac:dyDescent="0.35">
      <c r="A32" s="297">
        <v>23</v>
      </c>
      <c r="B32" s="666"/>
      <c r="C32" s="53"/>
      <c r="D32" s="51"/>
      <c r="E32" s="51">
        <v>3</v>
      </c>
      <c r="F32" s="669" t="s">
        <v>232</v>
      </c>
      <c r="G32" s="52">
        <v>211756</v>
      </c>
      <c r="H32" s="52">
        <v>564991</v>
      </c>
      <c r="I32" s="52">
        <v>424067</v>
      </c>
      <c r="J32" s="667">
        <v>388439</v>
      </c>
      <c r="K32" s="52">
        <v>365075</v>
      </c>
      <c r="L32" s="52">
        <v>5000</v>
      </c>
      <c r="M32" s="668">
        <f t="shared" si="6"/>
        <v>370075</v>
      </c>
      <c r="O32" s="52"/>
    </row>
    <row r="33" spans="1:13" s="50" customFormat="1" ht="30" customHeight="1" x14ac:dyDescent="0.35">
      <c r="A33" s="297">
        <v>24</v>
      </c>
      <c r="B33" s="670" t="s">
        <v>548</v>
      </c>
      <c r="C33" s="671"/>
      <c r="D33" s="672"/>
      <c r="E33" s="671"/>
      <c r="F33" s="673" t="s">
        <v>210</v>
      </c>
      <c r="G33" s="673">
        <f>SUM(G34:G35)</f>
        <v>0</v>
      </c>
      <c r="H33" s="673">
        <f>SUM(H34:H35)</f>
        <v>0</v>
      </c>
      <c r="I33" s="673">
        <f>SUM(I34:I35)</f>
        <v>0</v>
      </c>
      <c r="J33" s="674">
        <f>SUM(J34:J35)</f>
        <v>0</v>
      </c>
      <c r="K33" s="673">
        <f>SUM(K34:K35)</f>
        <v>0</v>
      </c>
      <c r="L33" s="673">
        <v>0</v>
      </c>
      <c r="M33" s="675">
        <f t="shared" ref="M33" si="7">SUM(M34:M35)</f>
        <v>0</v>
      </c>
    </row>
    <row r="34" spans="1:13" s="47" customFormat="1" ht="24" customHeight="1" x14ac:dyDescent="0.3">
      <c r="A34" s="518">
        <v>25</v>
      </c>
      <c r="B34" s="666"/>
      <c r="C34" s="51"/>
      <c r="D34" s="51">
        <v>1</v>
      </c>
      <c r="E34" s="51"/>
      <c r="F34" s="57" t="s">
        <v>39</v>
      </c>
      <c r="G34" s="692"/>
      <c r="H34" s="692"/>
      <c r="I34" s="692"/>
      <c r="J34" s="693"/>
      <c r="K34" s="692"/>
      <c r="L34" s="692"/>
      <c r="M34" s="694"/>
    </row>
    <row r="35" spans="1:13" s="47" customFormat="1" ht="24" customHeight="1" thickBot="1" x14ac:dyDescent="0.35">
      <c r="A35" s="518">
        <v>26</v>
      </c>
      <c r="B35" s="666"/>
      <c r="C35" s="51"/>
      <c r="D35" s="51">
        <v>2</v>
      </c>
      <c r="E35" s="51"/>
      <c r="F35" s="695" t="s">
        <v>163</v>
      </c>
      <c r="G35" s="692"/>
      <c r="H35" s="692"/>
      <c r="I35" s="692"/>
      <c r="J35" s="693"/>
      <c r="K35" s="692"/>
      <c r="L35" s="692"/>
      <c r="M35" s="694"/>
    </row>
    <row r="36" spans="1:13" s="56" customFormat="1" ht="39.950000000000003" customHeight="1" thickBot="1" x14ac:dyDescent="0.25">
      <c r="A36" s="297">
        <v>27</v>
      </c>
      <c r="B36" s="696"/>
      <c r="C36" s="697"/>
      <c r="D36" s="698"/>
      <c r="E36" s="697"/>
      <c r="F36" s="699" t="s">
        <v>211</v>
      </c>
      <c r="G36" s="699">
        <f>SUM(G10,G15,G33)</f>
        <v>20578635</v>
      </c>
      <c r="H36" s="699">
        <f>SUM(H10,H15,H33)</f>
        <v>27496549</v>
      </c>
      <c r="I36" s="699">
        <f>SUM(I10,I15,I33)</f>
        <v>19935413</v>
      </c>
      <c r="J36" s="700">
        <f>SUM(J10,J15,J33)</f>
        <v>37552274</v>
      </c>
      <c r="K36" s="699">
        <f>SUM(K10,K15,K33)</f>
        <v>38827516</v>
      </c>
      <c r="L36" s="699">
        <v>769726</v>
      </c>
      <c r="M36" s="701">
        <f t="shared" ref="M36" si="8">SUM(M10,M15,M33)</f>
        <v>39597242</v>
      </c>
    </row>
    <row r="37" spans="1:13" s="47" customFormat="1" ht="30" customHeight="1" x14ac:dyDescent="0.35">
      <c r="A37" s="297">
        <v>28</v>
      </c>
      <c r="B37" s="666" t="s">
        <v>548</v>
      </c>
      <c r="C37" s="51"/>
      <c r="D37" s="51"/>
      <c r="E37" s="51"/>
      <c r="F37" s="54" t="s">
        <v>212</v>
      </c>
      <c r="G37" s="54">
        <f>SUM(G41:G42,G38:G39)</f>
        <v>215713</v>
      </c>
      <c r="H37" s="54">
        <f>SUM(H41:H42,H38:H39)</f>
        <v>209635</v>
      </c>
      <c r="I37" s="54">
        <f>SUM(I41:I42,I38:I39)</f>
        <v>241248</v>
      </c>
      <c r="J37" s="676">
        <f>SUM(J41:J42,J38:J39)</f>
        <v>219771</v>
      </c>
      <c r="K37" s="54">
        <f>SUM(K41:K42,K38:K39)</f>
        <v>219771</v>
      </c>
      <c r="L37" s="54">
        <f t="shared" ref="L37:M37" si="9">SUM(L41:L42,L38:L39)</f>
        <v>0</v>
      </c>
      <c r="M37" s="677">
        <f t="shared" si="9"/>
        <v>219771</v>
      </c>
    </row>
    <row r="38" spans="1:13" s="47" customFormat="1" x14ac:dyDescent="0.3">
      <c r="A38" s="297">
        <v>29</v>
      </c>
      <c r="B38" s="666"/>
      <c r="C38" s="51"/>
      <c r="D38" s="51">
        <v>1</v>
      </c>
      <c r="E38" s="51"/>
      <c r="F38" s="692" t="s">
        <v>213</v>
      </c>
      <c r="G38" s="692"/>
      <c r="H38" s="692"/>
      <c r="I38" s="692"/>
      <c r="J38" s="693"/>
      <c r="K38" s="692"/>
      <c r="L38" s="692"/>
      <c r="M38" s="694"/>
    </row>
    <row r="39" spans="1:13" s="47" customFormat="1" x14ac:dyDescent="0.3">
      <c r="A39" s="297">
        <v>30</v>
      </c>
      <c r="B39" s="666"/>
      <c r="C39" s="51"/>
      <c r="D39" s="51">
        <v>1</v>
      </c>
      <c r="E39" s="51"/>
      <c r="F39" s="692" t="s">
        <v>266</v>
      </c>
      <c r="G39" s="692">
        <v>108118</v>
      </c>
      <c r="H39" s="692">
        <v>96040</v>
      </c>
      <c r="I39" s="692">
        <v>127653</v>
      </c>
      <c r="J39" s="693">
        <v>111267</v>
      </c>
      <c r="K39" s="692">
        <v>111267</v>
      </c>
      <c r="L39" s="692"/>
      <c r="M39" s="694">
        <f>SUM(K39:L39)</f>
        <v>111267</v>
      </c>
    </row>
    <row r="40" spans="1:13" x14ac:dyDescent="0.3">
      <c r="A40" s="297">
        <v>31</v>
      </c>
      <c r="B40" s="666"/>
      <c r="C40" s="51"/>
      <c r="D40" s="51">
        <v>2</v>
      </c>
      <c r="E40" s="51"/>
      <c r="F40" s="692" t="s">
        <v>214</v>
      </c>
      <c r="G40" s="52"/>
      <c r="H40" s="52"/>
      <c r="I40" s="52"/>
      <c r="J40" s="667"/>
      <c r="K40" s="692"/>
      <c r="L40" s="52"/>
      <c r="M40" s="668"/>
    </row>
    <row r="41" spans="1:13" x14ac:dyDescent="0.3">
      <c r="A41" s="297">
        <v>32</v>
      </c>
      <c r="B41" s="666"/>
      <c r="C41" s="51"/>
      <c r="D41" s="51"/>
      <c r="E41" s="51"/>
      <c r="F41" s="702" t="s">
        <v>215</v>
      </c>
      <c r="G41" s="52">
        <v>107595</v>
      </c>
      <c r="H41" s="52">
        <v>113595</v>
      </c>
      <c r="I41" s="52">
        <v>113595</v>
      </c>
      <c r="J41" s="667">
        <v>108504</v>
      </c>
      <c r="K41" s="692">
        <v>108504</v>
      </c>
      <c r="L41" s="52"/>
      <c r="M41" s="668">
        <f>SUM(K41:L41)</f>
        <v>108504</v>
      </c>
    </row>
    <row r="42" spans="1:13" s="58" customFormat="1" ht="18" customHeight="1" thickBot="1" x14ac:dyDescent="0.25">
      <c r="A42" s="297">
        <v>33</v>
      </c>
      <c r="B42" s="703"/>
      <c r="C42" s="704"/>
      <c r="D42" s="704"/>
      <c r="E42" s="704"/>
      <c r="F42" s="705" t="s">
        <v>216</v>
      </c>
      <c r="G42" s="706"/>
      <c r="H42" s="706"/>
      <c r="I42" s="706"/>
      <c r="J42" s="707"/>
      <c r="K42" s="706"/>
      <c r="L42" s="706"/>
      <c r="M42" s="708"/>
    </row>
    <row r="43" spans="1:13" s="56" customFormat="1" ht="39.950000000000003" customHeight="1" thickBot="1" x14ac:dyDescent="0.25">
      <c r="A43" s="297">
        <v>34</v>
      </c>
      <c r="B43" s="696"/>
      <c r="C43" s="697"/>
      <c r="D43" s="698"/>
      <c r="E43" s="697"/>
      <c r="F43" s="699" t="s">
        <v>217</v>
      </c>
      <c r="G43" s="699">
        <f>SUM(G36:G37)</f>
        <v>20794348</v>
      </c>
      <c r="H43" s="699">
        <f>SUM(H36:H37)</f>
        <v>27706184</v>
      </c>
      <c r="I43" s="699">
        <f>SUM(I36:I37)</f>
        <v>20176661</v>
      </c>
      <c r="J43" s="700">
        <f>SUM(J36:J37)</f>
        <v>37772045</v>
      </c>
      <c r="K43" s="699">
        <f>SUM(K36:K37)</f>
        <v>39047287</v>
      </c>
      <c r="L43" s="699">
        <f t="shared" ref="L43:M43" si="10">SUM(L36:L37)</f>
        <v>769726</v>
      </c>
      <c r="M43" s="701">
        <f t="shared" si="10"/>
        <v>39817013</v>
      </c>
    </row>
  </sheetData>
  <mergeCells count="4">
    <mergeCell ref="B1:F1"/>
    <mergeCell ref="B5:J5"/>
    <mergeCell ref="B6:J6"/>
    <mergeCell ref="B2:F2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55" fitToHeight="2" orientation="portrait" r:id="rId1"/>
  <headerFooter alignWithMargins="0">
    <oddFooter>&amp;C- &amp;P--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88"/>
  <sheetViews>
    <sheetView tabSelected="1" view="pageBreakPreview" zoomScaleNormal="100" zoomScaleSheetLayoutView="100" workbookViewId="0">
      <selection activeCell="Q10" sqref="Q10"/>
    </sheetView>
  </sheetViews>
  <sheetFormatPr defaultColWidth="9.140625" defaultRowHeight="12.75" x14ac:dyDescent="0.2"/>
  <cols>
    <col min="1" max="1" width="3.7109375" style="253" customWidth="1"/>
    <col min="2" max="2" width="5.7109375" style="110" customWidth="1"/>
    <col min="3" max="3" width="5.7109375" style="113" customWidth="1"/>
    <col min="4" max="4" width="4.7109375" style="113" customWidth="1"/>
    <col min="5" max="5" width="51.7109375" style="113" customWidth="1"/>
    <col min="6" max="6" width="10" style="110" customWidth="1"/>
    <col min="7" max="7" width="14" style="110" bestFit="1" customWidth="1"/>
    <col min="8" max="8" width="11.7109375" style="110" customWidth="1"/>
    <col min="9" max="9" width="12.42578125" style="110" bestFit="1" customWidth="1"/>
    <col min="10" max="10" width="14" style="110" customWidth="1"/>
    <col min="11" max="12" width="12.7109375" style="110" customWidth="1"/>
    <col min="13" max="13" width="10.7109375" style="110" customWidth="1"/>
    <col min="14" max="14" width="12.7109375" style="111" customWidth="1"/>
    <col min="15" max="15" width="13.7109375" style="112" customWidth="1"/>
    <col min="16" max="16384" width="9.140625" style="110"/>
  </cols>
  <sheetData>
    <row r="1" spans="1:16" s="123" customFormat="1" ht="18" customHeight="1" x14ac:dyDescent="0.2">
      <c r="A1" s="42"/>
      <c r="B1" s="1952" t="s">
        <v>966</v>
      </c>
      <c r="C1" s="1952"/>
      <c r="D1" s="1952"/>
      <c r="E1" s="1952"/>
      <c r="F1" s="250"/>
      <c r="G1" s="250"/>
      <c r="H1" s="250"/>
      <c r="I1" s="250"/>
      <c r="J1" s="250"/>
      <c r="K1" s="250"/>
      <c r="L1" s="250"/>
      <c r="M1" s="250"/>
      <c r="N1" s="251"/>
      <c r="O1" s="252"/>
      <c r="P1" s="250"/>
    </row>
    <row r="2" spans="1:16" s="123" customFormat="1" ht="18" customHeight="1" x14ac:dyDescent="0.2">
      <c r="A2" s="42"/>
      <c r="B2" s="465" t="s">
        <v>1041</v>
      </c>
      <c r="C2" s="465"/>
      <c r="D2" s="465"/>
      <c r="E2" s="465"/>
      <c r="F2" s="250"/>
      <c r="G2" s="250"/>
      <c r="H2" s="250"/>
      <c r="I2" s="250"/>
      <c r="J2" s="250"/>
      <c r="K2" s="250"/>
      <c r="L2" s="250"/>
      <c r="M2" s="250"/>
      <c r="N2" s="251"/>
      <c r="O2" s="252"/>
      <c r="P2" s="250"/>
    </row>
    <row r="3" spans="1:16" s="123" customFormat="1" ht="18" customHeight="1" x14ac:dyDescent="0.2">
      <c r="A3" s="42"/>
      <c r="B3" s="501" t="s">
        <v>1065</v>
      </c>
      <c r="C3" s="501"/>
      <c r="D3" s="501"/>
      <c r="E3" s="501"/>
      <c r="F3" s="250"/>
      <c r="G3" s="250"/>
      <c r="H3" s="250"/>
      <c r="I3" s="250"/>
      <c r="J3" s="250"/>
      <c r="K3" s="250"/>
      <c r="L3" s="250"/>
      <c r="M3" s="250"/>
      <c r="N3" s="251"/>
      <c r="O3" s="252"/>
      <c r="P3" s="250"/>
    </row>
    <row r="4" spans="1:16" s="123" customFormat="1" ht="18" customHeight="1" x14ac:dyDescent="0.3">
      <c r="A4" s="42"/>
      <c r="B4" s="1905" t="s">
        <v>1231</v>
      </c>
      <c r="C4" s="1890"/>
      <c r="D4" s="1890"/>
      <c r="E4" s="1890"/>
      <c r="F4" s="250"/>
      <c r="G4" s="250"/>
      <c r="H4" s="250"/>
      <c r="I4" s="250"/>
      <c r="J4" s="250"/>
      <c r="K4" s="250"/>
      <c r="L4" s="250"/>
      <c r="M4" s="250"/>
      <c r="N4" s="251"/>
      <c r="O4" s="252"/>
      <c r="P4" s="250"/>
    </row>
    <row r="5" spans="1:16" s="123" customFormat="1" ht="24.75" customHeight="1" x14ac:dyDescent="0.2">
      <c r="A5" s="42"/>
      <c r="B5" s="1953" t="s">
        <v>142</v>
      </c>
      <c r="C5" s="1953"/>
      <c r="D5" s="1953"/>
      <c r="E5" s="1953"/>
      <c r="F5" s="1953"/>
      <c r="G5" s="1953"/>
      <c r="H5" s="1953"/>
      <c r="I5" s="1953"/>
      <c r="J5" s="1953"/>
      <c r="K5" s="1953"/>
      <c r="L5" s="1953"/>
      <c r="M5" s="1953"/>
      <c r="N5" s="1953"/>
      <c r="O5" s="1953"/>
      <c r="P5" s="250"/>
    </row>
    <row r="6" spans="1:16" s="123" customFormat="1" ht="24.75" customHeight="1" x14ac:dyDescent="0.2">
      <c r="A6" s="42"/>
      <c r="B6" s="1953" t="s">
        <v>630</v>
      </c>
      <c r="C6" s="1953"/>
      <c r="D6" s="1953"/>
      <c r="E6" s="1953"/>
      <c r="F6" s="1953"/>
      <c r="G6" s="1953"/>
      <c r="H6" s="1953"/>
      <c r="I6" s="1953"/>
      <c r="J6" s="1953"/>
      <c r="K6" s="1953"/>
      <c r="L6" s="1953"/>
      <c r="M6" s="1953"/>
      <c r="N6" s="1953"/>
      <c r="O6" s="1953"/>
      <c r="P6" s="250"/>
    </row>
    <row r="7" spans="1:16" ht="18" customHeight="1" x14ac:dyDescent="0.3">
      <c r="A7" s="42"/>
      <c r="B7" s="32"/>
      <c r="C7" s="34"/>
      <c r="D7" s="34"/>
      <c r="E7" s="34"/>
      <c r="F7" s="33"/>
      <c r="G7" s="33"/>
      <c r="H7" s="33"/>
      <c r="I7" s="33"/>
      <c r="J7" s="33"/>
      <c r="K7" s="33"/>
      <c r="L7" s="30"/>
      <c r="M7" s="30"/>
      <c r="N7" s="1970" t="s">
        <v>0</v>
      </c>
      <c r="O7" s="1970"/>
      <c r="P7" s="30"/>
    </row>
    <row r="8" spans="1:16" s="42" customFormat="1" ht="18" customHeight="1" thickBot="1" x14ac:dyDescent="0.25">
      <c r="B8" s="42" t="s">
        <v>1</v>
      </c>
      <c r="C8" s="42" t="s">
        <v>3</v>
      </c>
      <c r="D8" s="1971" t="s">
        <v>2</v>
      </c>
      <c r="E8" s="1971"/>
      <c r="F8" s="709" t="s">
        <v>4</v>
      </c>
      <c r="G8" s="709" t="s">
        <v>5</v>
      </c>
      <c r="H8" s="709" t="s">
        <v>15</v>
      </c>
      <c r="I8" s="709" t="s">
        <v>16</v>
      </c>
      <c r="J8" s="709" t="s">
        <v>17</v>
      </c>
      <c r="K8" s="709" t="s">
        <v>36</v>
      </c>
      <c r="L8" s="42" t="s">
        <v>30</v>
      </c>
      <c r="M8" s="42" t="s">
        <v>23</v>
      </c>
      <c r="N8" s="42" t="s">
        <v>37</v>
      </c>
      <c r="O8" s="42" t="s">
        <v>38</v>
      </c>
    </row>
    <row r="9" spans="1:16" s="32" customFormat="1" ht="30" customHeight="1" x14ac:dyDescent="0.2">
      <c r="A9" s="42"/>
      <c r="B9" s="1954" t="s">
        <v>18</v>
      </c>
      <c r="C9" s="1959" t="s">
        <v>19</v>
      </c>
      <c r="D9" s="1961" t="s">
        <v>6</v>
      </c>
      <c r="E9" s="1962"/>
      <c r="F9" s="1965" t="s">
        <v>143</v>
      </c>
      <c r="G9" s="1965"/>
      <c r="H9" s="1965"/>
      <c r="I9" s="1956" t="s">
        <v>144</v>
      </c>
      <c r="J9" s="1956"/>
      <c r="K9" s="1956"/>
      <c r="L9" s="1956" t="s">
        <v>264</v>
      </c>
      <c r="M9" s="1956" t="s">
        <v>145</v>
      </c>
      <c r="N9" s="1956"/>
      <c r="O9" s="1957" t="s">
        <v>639</v>
      </c>
    </row>
    <row r="10" spans="1:16" ht="60.75" thickBot="1" x14ac:dyDescent="0.25">
      <c r="A10" s="42"/>
      <c r="B10" s="1955"/>
      <c r="C10" s="1960"/>
      <c r="D10" s="1963"/>
      <c r="E10" s="1964"/>
      <c r="F10" s="1891" t="s">
        <v>146</v>
      </c>
      <c r="G10" s="1891" t="s">
        <v>147</v>
      </c>
      <c r="H10" s="1891" t="s">
        <v>148</v>
      </c>
      <c r="I10" s="1891" t="s">
        <v>149</v>
      </c>
      <c r="J10" s="1891" t="s">
        <v>150</v>
      </c>
      <c r="K10" s="1891" t="s">
        <v>151</v>
      </c>
      <c r="L10" s="1966"/>
      <c r="M10" s="1891" t="s">
        <v>129</v>
      </c>
      <c r="N10" s="710" t="s">
        <v>416</v>
      </c>
      <c r="O10" s="1958"/>
      <c r="P10" s="30"/>
    </row>
    <row r="11" spans="1:16" s="34" customFormat="1" ht="22.5" customHeight="1" x14ac:dyDescent="0.3">
      <c r="A11" s="42">
        <v>1</v>
      </c>
      <c r="B11" s="711">
        <v>1</v>
      </c>
      <c r="C11" s="712"/>
      <c r="D11" s="713" t="s">
        <v>314</v>
      </c>
      <c r="E11" s="714"/>
      <c r="F11" s="715"/>
      <c r="G11" s="715"/>
      <c r="H11" s="715"/>
      <c r="I11" s="715"/>
      <c r="J11" s="715"/>
      <c r="K11" s="715"/>
      <c r="L11" s="715"/>
      <c r="M11" s="715"/>
      <c r="N11" s="716"/>
      <c r="O11" s="717"/>
    </row>
    <row r="12" spans="1:16" s="34" customFormat="1" ht="18" customHeight="1" x14ac:dyDescent="0.3">
      <c r="A12" s="42">
        <v>2</v>
      </c>
      <c r="B12" s="718"/>
      <c r="C12" s="719"/>
      <c r="D12" s="720" t="s">
        <v>347</v>
      </c>
      <c r="E12" s="1889"/>
      <c r="F12" s="721"/>
      <c r="G12" s="721"/>
      <c r="H12" s="721"/>
      <c r="I12" s="721"/>
      <c r="J12" s="721"/>
      <c r="K12" s="721"/>
      <c r="L12" s="721"/>
      <c r="M12" s="721"/>
      <c r="N12" s="722"/>
      <c r="O12" s="723"/>
    </row>
    <row r="13" spans="1:16" s="283" customFormat="1" ht="18" customHeight="1" x14ac:dyDescent="0.3">
      <c r="A13" s="42">
        <v>3</v>
      </c>
      <c r="B13" s="724"/>
      <c r="C13" s="725"/>
      <c r="D13" s="726"/>
      <c r="E13" s="727" t="s">
        <v>311</v>
      </c>
      <c r="F13" s="728">
        <v>4940</v>
      </c>
      <c r="G13" s="728"/>
      <c r="H13" s="728"/>
      <c r="I13" s="728"/>
      <c r="J13" s="728"/>
      <c r="K13" s="728"/>
      <c r="L13" s="728">
        <v>710</v>
      </c>
      <c r="M13" s="728">
        <v>207975</v>
      </c>
      <c r="N13" s="729">
        <v>142608</v>
      </c>
      <c r="O13" s="730">
        <f>SUM(F13:M13)</f>
        <v>213625</v>
      </c>
      <c r="P13" s="282"/>
    </row>
    <row r="14" spans="1:16" s="283" customFormat="1" ht="18" customHeight="1" x14ac:dyDescent="0.3">
      <c r="A14" s="42">
        <v>4</v>
      </c>
      <c r="B14" s="724"/>
      <c r="C14" s="725"/>
      <c r="D14" s="731"/>
      <c r="E14" s="732" t="s">
        <v>1064</v>
      </c>
      <c r="F14" s="733">
        <v>4940</v>
      </c>
      <c r="G14" s="733"/>
      <c r="H14" s="733"/>
      <c r="I14" s="733"/>
      <c r="J14" s="733"/>
      <c r="K14" s="733"/>
      <c r="L14" s="733">
        <v>6146</v>
      </c>
      <c r="M14" s="733">
        <v>209170</v>
      </c>
      <c r="N14" s="734">
        <v>142612</v>
      </c>
      <c r="O14" s="723">
        <f>SUM(F14:M14)</f>
        <v>220256</v>
      </c>
      <c r="P14" s="282"/>
    </row>
    <row r="15" spans="1:16" s="111" customFormat="1" ht="18" customHeight="1" x14ac:dyDescent="0.3">
      <c r="A15" s="42">
        <v>5</v>
      </c>
      <c r="B15" s="735"/>
      <c r="C15" s="736"/>
      <c r="D15" s="737"/>
      <c r="E15" s="738" t="s">
        <v>1112</v>
      </c>
      <c r="F15" s="722"/>
      <c r="G15" s="722"/>
      <c r="H15" s="722"/>
      <c r="I15" s="722"/>
      <c r="J15" s="722"/>
      <c r="K15" s="722"/>
      <c r="L15" s="722"/>
      <c r="M15" s="722"/>
      <c r="N15" s="722">
        <v>10552</v>
      </c>
      <c r="O15" s="739">
        <f>SUM(F15:M15)</f>
        <v>0</v>
      </c>
      <c r="P15" s="31"/>
    </row>
    <row r="16" spans="1:16" s="112" customFormat="1" ht="18" customHeight="1" x14ac:dyDescent="0.3">
      <c r="A16" s="42">
        <v>6</v>
      </c>
      <c r="B16" s="735"/>
      <c r="C16" s="736"/>
      <c r="D16" s="737"/>
      <c r="E16" s="738" t="s">
        <v>1113</v>
      </c>
      <c r="F16" s="722"/>
      <c r="G16" s="722"/>
      <c r="H16" s="722"/>
      <c r="I16" s="722"/>
      <c r="J16" s="722"/>
      <c r="K16" s="722"/>
      <c r="L16" s="722"/>
      <c r="M16" s="722"/>
      <c r="N16" s="722">
        <v>493</v>
      </c>
      <c r="O16" s="739">
        <f>SUM(F16:M16)</f>
        <v>0</v>
      </c>
      <c r="P16" s="38"/>
    </row>
    <row r="17" spans="1:16" s="77" customFormat="1" ht="22.5" customHeight="1" x14ac:dyDescent="0.3">
      <c r="A17" s="42">
        <v>7</v>
      </c>
      <c r="B17" s="735"/>
      <c r="C17" s="736"/>
      <c r="D17" s="737"/>
      <c r="E17" s="738" t="s">
        <v>1114</v>
      </c>
      <c r="F17" s="722"/>
      <c r="G17" s="722"/>
      <c r="H17" s="722"/>
      <c r="I17" s="722"/>
      <c r="J17" s="722"/>
      <c r="K17" s="722"/>
      <c r="L17" s="722"/>
      <c r="M17" s="722"/>
      <c r="N17" s="722">
        <v>727</v>
      </c>
      <c r="O17" s="739">
        <f t="shared" ref="O17:O18" si="0">SUM(F17:M17)</f>
        <v>0</v>
      </c>
    </row>
    <row r="18" spans="1:16" s="77" customFormat="1" ht="18" customHeight="1" x14ac:dyDescent="0.3">
      <c r="A18" s="42">
        <v>8</v>
      </c>
      <c r="B18" s="735"/>
      <c r="C18" s="736"/>
      <c r="D18" s="737"/>
      <c r="E18" s="738" t="s">
        <v>1115</v>
      </c>
      <c r="F18" s="722"/>
      <c r="G18" s="722"/>
      <c r="H18" s="722"/>
      <c r="I18" s="722"/>
      <c r="J18" s="722"/>
      <c r="K18" s="722"/>
      <c r="L18" s="722"/>
      <c r="M18" s="722">
        <v>1</v>
      </c>
      <c r="N18" s="722">
        <v>1</v>
      </c>
      <c r="O18" s="739">
        <f t="shared" si="0"/>
        <v>1</v>
      </c>
    </row>
    <row r="19" spans="1:16" s="284" customFormat="1" ht="18" customHeight="1" x14ac:dyDescent="0.3">
      <c r="A19" s="42">
        <v>9</v>
      </c>
      <c r="B19" s="740"/>
      <c r="C19" s="741"/>
      <c r="D19" s="731"/>
      <c r="E19" s="732" t="s">
        <v>1116</v>
      </c>
      <c r="F19" s="733">
        <f>SUM(F14:F18)</f>
        <v>4940</v>
      </c>
      <c r="G19" s="733"/>
      <c r="H19" s="733"/>
      <c r="I19" s="733"/>
      <c r="J19" s="733"/>
      <c r="K19" s="733"/>
      <c r="L19" s="733">
        <f>SUM(L14:L18)</f>
        <v>6146</v>
      </c>
      <c r="M19" s="733">
        <f t="shared" ref="M19:N19" si="1">SUM(M14:M18)</f>
        <v>209171</v>
      </c>
      <c r="N19" s="733">
        <f t="shared" si="1"/>
        <v>154385</v>
      </c>
      <c r="O19" s="723">
        <f>SUM(F19:M19)</f>
        <v>220257</v>
      </c>
    </row>
    <row r="20" spans="1:16" s="284" customFormat="1" ht="18" customHeight="1" x14ac:dyDescent="0.3">
      <c r="A20" s="42">
        <v>10</v>
      </c>
      <c r="B20" s="718">
        <v>2</v>
      </c>
      <c r="C20" s="719"/>
      <c r="D20" s="742" t="s">
        <v>415</v>
      </c>
      <c r="E20" s="742"/>
      <c r="F20" s="743"/>
      <c r="G20" s="743"/>
      <c r="H20" s="743"/>
      <c r="I20" s="743"/>
      <c r="J20" s="743"/>
      <c r="K20" s="743"/>
      <c r="L20" s="743"/>
      <c r="M20" s="743"/>
      <c r="N20" s="744"/>
      <c r="O20" s="745"/>
    </row>
    <row r="21" spans="1:16" s="111" customFormat="1" ht="18" customHeight="1" x14ac:dyDescent="0.3">
      <c r="A21" s="42">
        <v>11</v>
      </c>
      <c r="B21" s="718"/>
      <c r="C21" s="719"/>
      <c r="D21" s="1889" t="s">
        <v>312</v>
      </c>
      <c r="E21" s="1889"/>
      <c r="F21" s="743"/>
      <c r="G21" s="743"/>
      <c r="H21" s="743"/>
      <c r="I21" s="743"/>
      <c r="J21" s="743"/>
      <c r="K21" s="743"/>
      <c r="L21" s="743"/>
      <c r="M21" s="743"/>
      <c r="N21" s="744"/>
      <c r="O21" s="745"/>
      <c r="P21" s="31"/>
    </row>
    <row r="22" spans="1:16" s="111" customFormat="1" ht="18" customHeight="1" x14ac:dyDescent="0.3">
      <c r="A22" s="42">
        <v>12</v>
      </c>
      <c r="B22" s="724"/>
      <c r="C22" s="725"/>
      <c r="D22" s="726"/>
      <c r="E22" s="727" t="s">
        <v>311</v>
      </c>
      <c r="F22" s="728">
        <v>9516</v>
      </c>
      <c r="G22" s="728"/>
      <c r="H22" s="728"/>
      <c r="I22" s="728"/>
      <c r="J22" s="728"/>
      <c r="K22" s="728"/>
      <c r="L22" s="728">
        <v>700</v>
      </c>
      <c r="M22" s="728">
        <v>356874</v>
      </c>
      <c r="N22" s="729">
        <v>277977</v>
      </c>
      <c r="O22" s="730">
        <f>SUM(F22:M22)</f>
        <v>367090</v>
      </c>
      <c r="P22" s="31"/>
    </row>
    <row r="23" spans="1:16" s="112" customFormat="1" ht="18" customHeight="1" x14ac:dyDescent="0.3">
      <c r="A23" s="42">
        <v>13</v>
      </c>
      <c r="B23" s="724"/>
      <c r="C23" s="725"/>
      <c r="D23" s="726"/>
      <c r="E23" s="732" t="s">
        <v>1064</v>
      </c>
      <c r="F23" s="733">
        <v>7516</v>
      </c>
      <c r="G23" s="733"/>
      <c r="H23" s="733"/>
      <c r="I23" s="733"/>
      <c r="J23" s="733"/>
      <c r="K23" s="733"/>
      <c r="L23" s="733">
        <v>28037</v>
      </c>
      <c r="M23" s="733">
        <v>358733</v>
      </c>
      <c r="N23" s="734">
        <v>278006</v>
      </c>
      <c r="O23" s="723">
        <f>SUM(F23:M23)</f>
        <v>394286</v>
      </c>
      <c r="P23" s="38"/>
    </row>
    <row r="24" spans="1:16" s="76" customFormat="1" ht="22.5" customHeight="1" x14ac:dyDescent="0.3">
      <c r="A24" s="42">
        <v>14</v>
      </c>
      <c r="B24" s="735"/>
      <c r="C24" s="736"/>
      <c r="D24" s="737"/>
      <c r="E24" s="738" t="s">
        <v>1112</v>
      </c>
      <c r="F24" s="722"/>
      <c r="G24" s="722"/>
      <c r="H24" s="722"/>
      <c r="I24" s="722"/>
      <c r="J24" s="722"/>
      <c r="K24" s="722"/>
      <c r="L24" s="722"/>
      <c r="M24" s="722"/>
      <c r="N24" s="722">
        <v>17374</v>
      </c>
      <c r="O24" s="739">
        <f>SUM(F24:M24)</f>
        <v>0</v>
      </c>
    </row>
    <row r="25" spans="1:16" s="34" customFormat="1" ht="18" customHeight="1" x14ac:dyDescent="0.3">
      <c r="A25" s="42">
        <v>15</v>
      </c>
      <c r="B25" s="735"/>
      <c r="C25" s="736"/>
      <c r="D25" s="737"/>
      <c r="E25" s="738" t="s">
        <v>1113</v>
      </c>
      <c r="F25" s="722"/>
      <c r="G25" s="722"/>
      <c r="H25" s="722"/>
      <c r="I25" s="722"/>
      <c r="J25" s="722"/>
      <c r="K25" s="722"/>
      <c r="L25" s="722"/>
      <c r="M25" s="722"/>
      <c r="N25" s="722">
        <v>873</v>
      </c>
      <c r="O25" s="739">
        <f>SUM(F25:M25)</f>
        <v>0</v>
      </c>
    </row>
    <row r="26" spans="1:16" s="283" customFormat="1" ht="18" customHeight="1" x14ac:dyDescent="0.3">
      <c r="A26" s="42">
        <v>16</v>
      </c>
      <c r="B26" s="735"/>
      <c r="C26" s="736"/>
      <c r="D26" s="737"/>
      <c r="E26" s="738" t="s">
        <v>1115</v>
      </c>
      <c r="F26" s="722"/>
      <c r="G26" s="722"/>
      <c r="H26" s="722"/>
      <c r="I26" s="722"/>
      <c r="J26" s="722"/>
      <c r="K26" s="722"/>
      <c r="L26" s="722"/>
      <c r="M26" s="722">
        <v>7</v>
      </c>
      <c r="N26" s="722">
        <v>7</v>
      </c>
      <c r="O26" s="739">
        <f t="shared" ref="O26" si="2">SUM(F26:M26)</f>
        <v>7</v>
      </c>
      <c r="P26" s="282"/>
    </row>
    <row r="27" spans="1:16" s="283" customFormat="1" ht="18" customHeight="1" x14ac:dyDescent="0.3">
      <c r="A27" s="42">
        <v>17</v>
      </c>
      <c r="B27" s="740"/>
      <c r="C27" s="741"/>
      <c r="D27" s="731"/>
      <c r="E27" s="732" t="s">
        <v>1116</v>
      </c>
      <c r="F27" s="733">
        <f>SUM(F23:F26)</f>
        <v>7516</v>
      </c>
      <c r="G27" s="733"/>
      <c r="H27" s="733"/>
      <c r="I27" s="733"/>
      <c r="J27" s="733"/>
      <c r="K27" s="733"/>
      <c r="L27" s="733">
        <f>SUM(L23:L26)</f>
        <v>28037</v>
      </c>
      <c r="M27" s="733">
        <f>SUM(M23:M26)</f>
        <v>358740</v>
      </c>
      <c r="N27" s="733">
        <f>SUM(N23:N26)</f>
        <v>296260</v>
      </c>
      <c r="O27" s="723">
        <f>SUM(F27:M27)</f>
        <v>394293</v>
      </c>
      <c r="P27" s="282"/>
    </row>
    <row r="28" spans="1:16" s="111" customFormat="1" ht="18" customHeight="1" x14ac:dyDescent="0.3">
      <c r="A28" s="42">
        <v>18</v>
      </c>
      <c r="B28" s="718">
        <v>3</v>
      </c>
      <c r="C28" s="719"/>
      <c r="D28" s="742" t="s">
        <v>267</v>
      </c>
      <c r="E28" s="742"/>
      <c r="F28" s="743"/>
      <c r="G28" s="743"/>
      <c r="H28" s="743"/>
      <c r="I28" s="743"/>
      <c r="J28" s="743"/>
      <c r="K28" s="743"/>
      <c r="L28" s="743"/>
      <c r="M28" s="743"/>
      <c r="N28" s="744"/>
      <c r="O28" s="745"/>
      <c r="P28" s="31"/>
    </row>
    <row r="29" spans="1:16" s="112" customFormat="1" ht="18" customHeight="1" x14ac:dyDescent="0.3">
      <c r="A29" s="42">
        <v>19</v>
      </c>
      <c r="B29" s="746"/>
      <c r="C29" s="719"/>
      <c r="D29" s="747" t="s">
        <v>153</v>
      </c>
      <c r="E29" s="747"/>
      <c r="F29" s="748"/>
      <c r="G29" s="748"/>
      <c r="H29" s="748"/>
      <c r="I29" s="748"/>
      <c r="J29" s="748"/>
      <c r="K29" s="748"/>
      <c r="L29" s="748"/>
      <c r="M29" s="748"/>
      <c r="N29" s="749"/>
      <c r="O29" s="750"/>
      <c r="P29" s="38"/>
    </row>
    <row r="30" spans="1:16" s="77" customFormat="1" ht="22.5" customHeight="1" x14ac:dyDescent="0.3">
      <c r="A30" s="42">
        <v>20</v>
      </c>
      <c r="B30" s="724"/>
      <c r="C30" s="725"/>
      <c r="D30" s="726"/>
      <c r="E30" s="727" t="s">
        <v>311</v>
      </c>
      <c r="F30" s="728">
        <v>17581</v>
      </c>
      <c r="G30" s="728"/>
      <c r="H30" s="728"/>
      <c r="I30" s="728"/>
      <c r="J30" s="728"/>
      <c r="K30" s="728"/>
      <c r="L30" s="728"/>
      <c r="M30" s="728">
        <v>411379</v>
      </c>
      <c r="N30" s="729">
        <v>365584</v>
      </c>
      <c r="O30" s="730">
        <f>SUM(F30:M30)</f>
        <v>428960</v>
      </c>
    </row>
    <row r="31" spans="1:16" s="76" customFormat="1" ht="18" customHeight="1" x14ac:dyDescent="0.3">
      <c r="A31" s="42">
        <v>21</v>
      </c>
      <c r="B31" s="724"/>
      <c r="C31" s="725"/>
      <c r="D31" s="726"/>
      <c r="E31" s="732" t="s">
        <v>1064</v>
      </c>
      <c r="F31" s="733">
        <v>12581</v>
      </c>
      <c r="G31" s="733"/>
      <c r="H31" s="733"/>
      <c r="I31" s="733"/>
      <c r="J31" s="733"/>
      <c r="K31" s="733"/>
      <c r="L31" s="733">
        <v>14688</v>
      </c>
      <c r="M31" s="733">
        <v>417705</v>
      </c>
      <c r="N31" s="734">
        <v>365584</v>
      </c>
      <c r="O31" s="723">
        <f>SUM(F31:M31)</f>
        <v>444974</v>
      </c>
    </row>
    <row r="32" spans="1:16" s="285" customFormat="1" ht="18" customHeight="1" x14ac:dyDescent="0.3">
      <c r="A32" s="42">
        <v>22</v>
      </c>
      <c r="B32" s="735"/>
      <c r="C32" s="736"/>
      <c r="D32" s="737"/>
      <c r="E32" s="738" t="s">
        <v>1112</v>
      </c>
      <c r="F32" s="722"/>
      <c r="G32" s="722"/>
      <c r="H32" s="722"/>
      <c r="I32" s="722"/>
      <c r="J32" s="722"/>
      <c r="K32" s="722"/>
      <c r="L32" s="722"/>
      <c r="M32" s="722"/>
      <c r="N32" s="722">
        <v>21218</v>
      </c>
      <c r="O32" s="739">
        <f>SUM(F32:M32)</f>
        <v>0</v>
      </c>
    </row>
    <row r="33" spans="1:16" s="285" customFormat="1" ht="18" customHeight="1" x14ac:dyDescent="0.3">
      <c r="A33" s="42">
        <v>23</v>
      </c>
      <c r="B33" s="735"/>
      <c r="C33" s="736"/>
      <c r="D33" s="737"/>
      <c r="E33" s="738" t="s">
        <v>1113</v>
      </c>
      <c r="F33" s="722"/>
      <c r="G33" s="722"/>
      <c r="H33" s="722"/>
      <c r="I33" s="722"/>
      <c r="J33" s="722"/>
      <c r="K33" s="722"/>
      <c r="L33" s="722"/>
      <c r="M33" s="722"/>
      <c r="N33" s="722">
        <v>1079</v>
      </c>
      <c r="O33" s="739">
        <f>SUM(F33:M33)</f>
        <v>0</v>
      </c>
    </row>
    <row r="34" spans="1:16" s="111" customFormat="1" ht="18" customHeight="1" x14ac:dyDescent="0.3">
      <c r="A34" s="42">
        <v>24</v>
      </c>
      <c r="B34" s="735"/>
      <c r="C34" s="736"/>
      <c r="D34" s="737"/>
      <c r="E34" s="738" t="s">
        <v>1114</v>
      </c>
      <c r="F34" s="722"/>
      <c r="G34" s="722"/>
      <c r="H34" s="722"/>
      <c r="I34" s="722"/>
      <c r="J34" s="722"/>
      <c r="K34" s="722"/>
      <c r="L34" s="722"/>
      <c r="M34" s="722"/>
      <c r="N34" s="722">
        <v>1454</v>
      </c>
      <c r="O34" s="739">
        <f t="shared" ref="O34" si="3">SUM(F34:M34)</f>
        <v>0</v>
      </c>
      <c r="P34" s="31"/>
    </row>
    <row r="35" spans="1:16" s="111" customFormat="1" ht="18" customHeight="1" x14ac:dyDescent="0.3">
      <c r="A35" s="42">
        <v>25</v>
      </c>
      <c r="B35" s="740"/>
      <c r="C35" s="741"/>
      <c r="D35" s="731"/>
      <c r="E35" s="732" t="s">
        <v>1116</v>
      </c>
      <c r="F35" s="733">
        <f>SUM(F31:F34)</f>
        <v>12581</v>
      </c>
      <c r="G35" s="733"/>
      <c r="H35" s="733"/>
      <c r="I35" s="733"/>
      <c r="J35" s="733"/>
      <c r="K35" s="733"/>
      <c r="L35" s="733">
        <f>SUM(L31:L34)</f>
        <v>14688</v>
      </c>
      <c r="M35" s="733">
        <f>SUM(M31:M34)</f>
        <v>417705</v>
      </c>
      <c r="N35" s="733">
        <f>SUM(N31:N34)</f>
        <v>389335</v>
      </c>
      <c r="O35" s="723">
        <f>SUM(F35:M35)</f>
        <v>444974</v>
      </c>
      <c r="P35" s="31"/>
    </row>
    <row r="36" spans="1:16" s="112" customFormat="1" ht="18" customHeight="1" x14ac:dyDescent="0.3">
      <c r="A36" s="42">
        <v>26</v>
      </c>
      <c r="B36" s="718">
        <v>4</v>
      </c>
      <c r="C36" s="719"/>
      <c r="D36" s="732" t="s">
        <v>268</v>
      </c>
      <c r="E36" s="732"/>
      <c r="F36" s="743"/>
      <c r="G36" s="743"/>
      <c r="H36" s="743"/>
      <c r="I36" s="743"/>
      <c r="J36" s="743"/>
      <c r="K36" s="743"/>
      <c r="L36" s="743"/>
      <c r="M36" s="743"/>
      <c r="N36" s="744"/>
      <c r="O36" s="745"/>
      <c r="P36" s="38"/>
    </row>
    <row r="37" spans="1:16" s="37" customFormat="1" ht="22.5" customHeight="1" x14ac:dyDescent="0.3">
      <c r="A37" s="42">
        <v>27</v>
      </c>
      <c r="B37" s="746"/>
      <c r="C37" s="719"/>
      <c r="D37" s="747" t="s">
        <v>154</v>
      </c>
      <c r="E37" s="747"/>
      <c r="F37" s="748"/>
      <c r="G37" s="748"/>
      <c r="H37" s="748"/>
      <c r="I37" s="748"/>
      <c r="J37" s="748"/>
      <c r="K37" s="748"/>
      <c r="L37" s="748"/>
      <c r="M37" s="748"/>
      <c r="N37" s="749"/>
      <c r="O37" s="750"/>
    </row>
    <row r="38" spans="1:16" s="77" customFormat="1" ht="18" customHeight="1" x14ac:dyDescent="0.3">
      <c r="A38" s="42">
        <v>28</v>
      </c>
      <c r="B38" s="724"/>
      <c r="C38" s="725"/>
      <c r="D38" s="726"/>
      <c r="E38" s="727" t="s">
        <v>311</v>
      </c>
      <c r="F38" s="728">
        <v>10020</v>
      </c>
      <c r="G38" s="728"/>
      <c r="H38" s="728"/>
      <c r="I38" s="728"/>
      <c r="J38" s="728"/>
      <c r="K38" s="728"/>
      <c r="L38" s="728"/>
      <c r="M38" s="728">
        <v>309492</v>
      </c>
      <c r="N38" s="729">
        <v>193144</v>
      </c>
      <c r="O38" s="730">
        <f t="shared" ref="O38:O43" si="4">SUM(F38:M38)</f>
        <v>319512</v>
      </c>
    </row>
    <row r="39" spans="1:16" s="284" customFormat="1" ht="18" customHeight="1" x14ac:dyDescent="0.3">
      <c r="A39" s="42">
        <v>29</v>
      </c>
      <c r="B39" s="724"/>
      <c r="C39" s="725"/>
      <c r="D39" s="726"/>
      <c r="E39" s="732" t="s">
        <v>1064</v>
      </c>
      <c r="F39" s="733">
        <v>7133</v>
      </c>
      <c r="G39" s="733"/>
      <c r="H39" s="733"/>
      <c r="I39" s="733"/>
      <c r="J39" s="733"/>
      <c r="K39" s="733"/>
      <c r="L39" s="733">
        <v>18600</v>
      </c>
      <c r="M39" s="733">
        <v>309505</v>
      </c>
      <c r="N39" s="734">
        <v>193157</v>
      </c>
      <c r="O39" s="723">
        <f t="shared" si="4"/>
        <v>335238</v>
      </c>
    </row>
    <row r="40" spans="1:16" s="284" customFormat="1" ht="18" customHeight="1" x14ac:dyDescent="0.3">
      <c r="A40" s="42">
        <v>30</v>
      </c>
      <c r="B40" s="735"/>
      <c r="C40" s="736"/>
      <c r="D40" s="737"/>
      <c r="E40" s="738" t="s">
        <v>1112</v>
      </c>
      <c r="F40" s="722"/>
      <c r="G40" s="722"/>
      <c r="H40" s="722"/>
      <c r="I40" s="722"/>
      <c r="J40" s="722"/>
      <c r="K40" s="722"/>
      <c r="L40" s="722"/>
      <c r="M40" s="722"/>
      <c r="N40" s="722">
        <v>14718</v>
      </c>
      <c r="O40" s="739">
        <f t="shared" si="4"/>
        <v>0</v>
      </c>
    </row>
    <row r="41" spans="1:16" s="111" customFormat="1" ht="18" customHeight="1" x14ac:dyDescent="0.3">
      <c r="A41" s="42">
        <v>31</v>
      </c>
      <c r="B41" s="735"/>
      <c r="C41" s="736"/>
      <c r="D41" s="737"/>
      <c r="E41" s="738" t="s">
        <v>1113</v>
      </c>
      <c r="F41" s="722"/>
      <c r="G41" s="722"/>
      <c r="H41" s="722"/>
      <c r="I41" s="722"/>
      <c r="J41" s="722"/>
      <c r="K41" s="722"/>
      <c r="L41" s="722"/>
      <c r="M41" s="722"/>
      <c r="N41" s="722">
        <v>586</v>
      </c>
      <c r="O41" s="739">
        <f t="shared" si="4"/>
        <v>0</v>
      </c>
      <c r="P41" s="31"/>
    </row>
    <row r="42" spans="1:16" s="112" customFormat="1" ht="18" customHeight="1" x14ac:dyDescent="0.3">
      <c r="A42" s="42">
        <v>32</v>
      </c>
      <c r="B42" s="735"/>
      <c r="C42" s="736"/>
      <c r="D42" s="737"/>
      <c r="E42" s="738" t="s">
        <v>1114</v>
      </c>
      <c r="F42" s="722"/>
      <c r="G42" s="722"/>
      <c r="H42" s="722"/>
      <c r="I42" s="722"/>
      <c r="J42" s="722"/>
      <c r="K42" s="722"/>
      <c r="L42" s="722"/>
      <c r="M42" s="722"/>
      <c r="N42" s="722">
        <v>364</v>
      </c>
      <c r="O42" s="739">
        <f t="shared" si="4"/>
        <v>0</v>
      </c>
      <c r="P42" s="38"/>
    </row>
    <row r="43" spans="1:16" s="37" customFormat="1" ht="22.5" customHeight="1" x14ac:dyDescent="0.3">
      <c r="A43" s="42">
        <v>33</v>
      </c>
      <c r="B43" s="735"/>
      <c r="C43" s="736"/>
      <c r="D43" s="737"/>
      <c r="E43" s="738" t="s">
        <v>1115</v>
      </c>
      <c r="F43" s="722"/>
      <c r="G43" s="722"/>
      <c r="H43" s="722"/>
      <c r="I43" s="722"/>
      <c r="J43" s="722"/>
      <c r="K43" s="722"/>
      <c r="L43" s="722"/>
      <c r="M43" s="722">
        <v>7</v>
      </c>
      <c r="N43" s="722">
        <v>7</v>
      </c>
      <c r="O43" s="739">
        <f t="shared" si="4"/>
        <v>7</v>
      </c>
    </row>
    <row r="44" spans="1:16" s="37" customFormat="1" ht="18" customHeight="1" x14ac:dyDescent="0.3">
      <c r="A44" s="42">
        <v>34</v>
      </c>
      <c r="B44" s="740"/>
      <c r="C44" s="741"/>
      <c r="D44" s="731"/>
      <c r="E44" s="732" t="s">
        <v>1116</v>
      </c>
      <c r="F44" s="733">
        <f>SUM(F39:F43)</f>
        <v>7133</v>
      </c>
      <c r="G44" s="733"/>
      <c r="H44" s="733"/>
      <c r="I44" s="733"/>
      <c r="J44" s="733"/>
      <c r="K44" s="733"/>
      <c r="L44" s="733">
        <f>SUM(L39:L43)</f>
        <v>18600</v>
      </c>
      <c r="M44" s="733">
        <f>SUM(M39:M43)</f>
        <v>309512</v>
      </c>
      <c r="N44" s="733">
        <f>SUM(N39:N43)</f>
        <v>208832</v>
      </c>
      <c r="O44" s="723">
        <f>SUM(F44:M44)</f>
        <v>335245</v>
      </c>
    </row>
    <row r="45" spans="1:16" s="286" customFormat="1" ht="18" customHeight="1" x14ac:dyDescent="0.3">
      <c r="A45" s="42">
        <v>35</v>
      </c>
      <c r="B45" s="718">
        <v>5</v>
      </c>
      <c r="C45" s="719"/>
      <c r="D45" s="732" t="s">
        <v>269</v>
      </c>
      <c r="E45" s="732"/>
      <c r="F45" s="743"/>
      <c r="G45" s="743"/>
      <c r="H45" s="743"/>
      <c r="I45" s="743"/>
      <c r="J45" s="743"/>
      <c r="K45" s="743"/>
      <c r="L45" s="743"/>
      <c r="M45" s="743"/>
      <c r="N45" s="744"/>
      <c r="O45" s="745"/>
    </row>
    <row r="46" spans="1:16" s="286" customFormat="1" ht="18" customHeight="1" x14ac:dyDescent="0.3">
      <c r="A46" s="42">
        <v>36</v>
      </c>
      <c r="B46" s="746"/>
      <c r="C46" s="719"/>
      <c r="D46" s="747" t="s">
        <v>155</v>
      </c>
      <c r="E46" s="747"/>
      <c r="F46" s="748"/>
      <c r="G46" s="748"/>
      <c r="H46" s="748"/>
      <c r="I46" s="748"/>
      <c r="J46" s="748"/>
      <c r="K46" s="748"/>
      <c r="L46" s="748"/>
      <c r="M46" s="748"/>
      <c r="N46" s="749"/>
      <c r="O46" s="750"/>
    </row>
    <row r="47" spans="1:16" s="111" customFormat="1" ht="18" customHeight="1" x14ac:dyDescent="0.3">
      <c r="A47" s="42">
        <v>37</v>
      </c>
      <c r="B47" s="724"/>
      <c r="C47" s="725"/>
      <c r="D47" s="726"/>
      <c r="E47" s="727" t="s">
        <v>311</v>
      </c>
      <c r="F47" s="728">
        <v>18635</v>
      </c>
      <c r="G47" s="728"/>
      <c r="H47" s="728"/>
      <c r="I47" s="728"/>
      <c r="J47" s="728"/>
      <c r="K47" s="728"/>
      <c r="L47" s="728"/>
      <c r="M47" s="728">
        <v>322903</v>
      </c>
      <c r="N47" s="729">
        <v>237570</v>
      </c>
      <c r="O47" s="730">
        <f>SUM(F47:M47)</f>
        <v>341538</v>
      </c>
      <c r="P47" s="31"/>
    </row>
    <row r="48" spans="1:16" s="112" customFormat="1" ht="18" customHeight="1" x14ac:dyDescent="0.3">
      <c r="A48" s="42">
        <v>38</v>
      </c>
      <c r="B48" s="724"/>
      <c r="C48" s="725"/>
      <c r="D48" s="726"/>
      <c r="E48" s="732" t="s">
        <v>1064</v>
      </c>
      <c r="F48" s="733">
        <v>18635</v>
      </c>
      <c r="G48" s="733"/>
      <c r="H48" s="733"/>
      <c r="I48" s="733"/>
      <c r="J48" s="733"/>
      <c r="K48" s="733"/>
      <c r="L48" s="733">
        <v>11955</v>
      </c>
      <c r="M48" s="733">
        <v>333916</v>
      </c>
      <c r="N48" s="734">
        <v>237570</v>
      </c>
      <c r="O48" s="723">
        <f>SUM(F48:M48)</f>
        <v>364506</v>
      </c>
      <c r="P48" s="38"/>
    </row>
    <row r="49" spans="1:16" ht="18" customHeight="1" x14ac:dyDescent="0.3">
      <c r="A49" s="42">
        <v>39</v>
      </c>
      <c r="B49" s="735"/>
      <c r="C49" s="736"/>
      <c r="D49" s="737"/>
      <c r="E49" s="738" t="s">
        <v>1112</v>
      </c>
      <c r="F49" s="722"/>
      <c r="G49" s="722"/>
      <c r="H49" s="722"/>
      <c r="I49" s="722"/>
      <c r="J49" s="722"/>
      <c r="K49" s="722"/>
      <c r="L49" s="722"/>
      <c r="M49" s="722"/>
      <c r="N49" s="722">
        <v>17375</v>
      </c>
      <c r="O49" s="739">
        <f>SUM(F49:M49)</f>
        <v>0</v>
      </c>
      <c r="P49" s="30"/>
    </row>
    <row r="50" spans="1:16" s="283" customFormat="1" ht="18" customHeight="1" x14ac:dyDescent="0.3">
      <c r="A50" s="42">
        <v>40</v>
      </c>
      <c r="B50" s="735"/>
      <c r="C50" s="736"/>
      <c r="D50" s="737"/>
      <c r="E50" s="738" t="s">
        <v>1113</v>
      </c>
      <c r="F50" s="722"/>
      <c r="G50" s="722"/>
      <c r="H50" s="722"/>
      <c r="I50" s="722"/>
      <c r="J50" s="722"/>
      <c r="K50" s="722"/>
      <c r="L50" s="722"/>
      <c r="M50" s="722"/>
      <c r="N50" s="722">
        <v>933</v>
      </c>
      <c r="O50" s="739">
        <f>SUM(F50:M50)</f>
        <v>0</v>
      </c>
      <c r="P50" s="282"/>
    </row>
    <row r="51" spans="1:16" s="283" customFormat="1" ht="18" customHeight="1" x14ac:dyDescent="0.3">
      <c r="A51" s="42">
        <v>41</v>
      </c>
      <c r="B51" s="735"/>
      <c r="C51" s="736"/>
      <c r="D51" s="737"/>
      <c r="E51" s="738" t="s">
        <v>1114</v>
      </c>
      <c r="F51" s="722"/>
      <c r="G51" s="722"/>
      <c r="H51" s="722"/>
      <c r="I51" s="722"/>
      <c r="J51" s="722"/>
      <c r="K51" s="722"/>
      <c r="L51" s="722"/>
      <c r="M51" s="722"/>
      <c r="N51" s="722">
        <v>1091</v>
      </c>
      <c r="O51" s="739">
        <f t="shared" ref="O51" si="5">SUM(F51:M51)</f>
        <v>0</v>
      </c>
      <c r="P51" s="282"/>
    </row>
    <row r="52" spans="1:16" s="111" customFormat="1" ht="18" customHeight="1" x14ac:dyDescent="0.3">
      <c r="A52" s="42">
        <v>42</v>
      </c>
      <c r="B52" s="740"/>
      <c r="C52" s="741"/>
      <c r="D52" s="731"/>
      <c r="E52" s="732" t="s">
        <v>1116</v>
      </c>
      <c r="F52" s="733">
        <f>SUM(F48:F51)</f>
        <v>18635</v>
      </c>
      <c r="G52" s="733"/>
      <c r="H52" s="733"/>
      <c r="I52" s="733"/>
      <c r="J52" s="733"/>
      <c r="K52" s="733"/>
      <c r="L52" s="733">
        <f>SUM(L48:L51)</f>
        <v>11955</v>
      </c>
      <c r="M52" s="733">
        <f>SUM(M48:M51)</f>
        <v>333916</v>
      </c>
      <c r="N52" s="733">
        <f>SUM(N48:N51)</f>
        <v>256969</v>
      </c>
      <c r="O52" s="723">
        <f>SUM(F52:M52)</f>
        <v>364506</v>
      </c>
      <c r="P52" s="31"/>
    </row>
    <row r="53" spans="1:16" s="112" customFormat="1" ht="18" customHeight="1" x14ac:dyDescent="0.3">
      <c r="A53" s="42">
        <v>43</v>
      </c>
      <c r="B53" s="718">
        <v>6</v>
      </c>
      <c r="C53" s="719"/>
      <c r="D53" s="732" t="s">
        <v>270</v>
      </c>
      <c r="E53" s="732"/>
      <c r="F53" s="743"/>
      <c r="G53" s="743"/>
      <c r="H53" s="743"/>
      <c r="I53" s="743"/>
      <c r="J53" s="743"/>
      <c r="K53" s="743"/>
      <c r="L53" s="743"/>
      <c r="M53" s="743"/>
      <c r="N53" s="744"/>
      <c r="O53" s="745"/>
      <c r="P53" s="38"/>
    </row>
    <row r="54" spans="1:16" s="30" customFormat="1" ht="22.5" customHeight="1" x14ac:dyDescent="0.3">
      <c r="A54" s="42">
        <v>44</v>
      </c>
      <c r="B54" s="746"/>
      <c r="C54" s="719"/>
      <c r="D54" s="747" t="s">
        <v>156</v>
      </c>
      <c r="E54" s="747"/>
      <c r="F54" s="748"/>
      <c r="G54" s="748"/>
      <c r="H54" s="748"/>
      <c r="I54" s="748"/>
      <c r="J54" s="748"/>
      <c r="K54" s="748"/>
      <c r="L54" s="748"/>
      <c r="M54" s="748"/>
      <c r="N54" s="749"/>
      <c r="O54" s="750"/>
    </row>
    <row r="55" spans="1:16" s="283" customFormat="1" ht="18" customHeight="1" x14ac:dyDescent="0.3">
      <c r="A55" s="42">
        <v>45</v>
      </c>
      <c r="B55" s="724"/>
      <c r="C55" s="725"/>
      <c r="D55" s="726"/>
      <c r="E55" s="727" t="s">
        <v>311</v>
      </c>
      <c r="F55" s="728">
        <v>5441</v>
      </c>
      <c r="G55" s="728"/>
      <c r="H55" s="728"/>
      <c r="I55" s="728"/>
      <c r="J55" s="728"/>
      <c r="K55" s="728"/>
      <c r="L55" s="728"/>
      <c r="M55" s="728">
        <v>166965</v>
      </c>
      <c r="N55" s="729">
        <v>119083</v>
      </c>
      <c r="O55" s="730">
        <f>SUM(F55:M55)</f>
        <v>172406</v>
      </c>
      <c r="P55" s="282"/>
    </row>
    <row r="56" spans="1:16" s="283" customFormat="1" ht="18" customHeight="1" x14ac:dyDescent="0.3">
      <c r="A56" s="42">
        <v>46</v>
      </c>
      <c r="B56" s="724"/>
      <c r="C56" s="725"/>
      <c r="D56" s="726"/>
      <c r="E56" s="732" t="s">
        <v>1064</v>
      </c>
      <c r="F56" s="733">
        <v>2968</v>
      </c>
      <c r="G56" s="733"/>
      <c r="H56" s="733"/>
      <c r="I56" s="733"/>
      <c r="J56" s="733"/>
      <c r="K56" s="733"/>
      <c r="L56" s="733">
        <v>15535</v>
      </c>
      <c r="M56" s="733">
        <v>166965</v>
      </c>
      <c r="N56" s="734">
        <v>119083</v>
      </c>
      <c r="O56" s="723">
        <f>SUM(F56:M56)</f>
        <v>185468</v>
      </c>
      <c r="P56" s="282"/>
    </row>
    <row r="57" spans="1:16" s="111" customFormat="1" ht="18" customHeight="1" x14ac:dyDescent="0.3">
      <c r="A57" s="42">
        <v>47</v>
      </c>
      <c r="B57" s="735"/>
      <c r="C57" s="736"/>
      <c r="D57" s="737"/>
      <c r="E57" s="738" t="s">
        <v>1112</v>
      </c>
      <c r="F57" s="722"/>
      <c r="G57" s="722"/>
      <c r="H57" s="722"/>
      <c r="I57" s="722"/>
      <c r="J57" s="722"/>
      <c r="K57" s="722"/>
      <c r="L57" s="722"/>
      <c r="M57" s="722"/>
      <c r="N57" s="722">
        <v>6494</v>
      </c>
      <c r="O57" s="739">
        <f>SUM(F57:M57)</f>
        <v>0</v>
      </c>
      <c r="P57" s="31"/>
    </row>
    <row r="58" spans="1:16" s="112" customFormat="1" ht="18" customHeight="1" x14ac:dyDescent="0.3">
      <c r="A58" s="42">
        <v>48</v>
      </c>
      <c r="B58" s="735"/>
      <c r="C58" s="736"/>
      <c r="D58" s="737"/>
      <c r="E58" s="738" t="s">
        <v>1113</v>
      </c>
      <c r="F58" s="722"/>
      <c r="G58" s="722"/>
      <c r="H58" s="722"/>
      <c r="I58" s="722"/>
      <c r="J58" s="722"/>
      <c r="K58" s="722"/>
      <c r="L58" s="722"/>
      <c r="M58" s="722"/>
      <c r="N58" s="722">
        <v>336</v>
      </c>
      <c r="O58" s="739">
        <f>SUM(F58:M58)</f>
        <v>0</v>
      </c>
      <c r="P58" s="38"/>
    </row>
    <row r="59" spans="1:16" s="34" customFormat="1" ht="22.5" customHeight="1" x14ac:dyDescent="0.3">
      <c r="A59" s="42">
        <v>49</v>
      </c>
      <c r="B59" s="735"/>
      <c r="C59" s="736"/>
      <c r="D59" s="737"/>
      <c r="E59" s="738" t="s">
        <v>1114</v>
      </c>
      <c r="F59" s="722"/>
      <c r="G59" s="722"/>
      <c r="H59" s="722"/>
      <c r="I59" s="722"/>
      <c r="J59" s="722"/>
      <c r="K59" s="722"/>
      <c r="L59" s="722"/>
      <c r="M59" s="722"/>
      <c r="N59" s="722">
        <v>137</v>
      </c>
      <c r="O59" s="739">
        <f t="shared" ref="O59" si="6">SUM(F59:M59)</f>
        <v>0</v>
      </c>
    </row>
    <row r="60" spans="1:16" s="282" customFormat="1" ht="18" customHeight="1" x14ac:dyDescent="0.3">
      <c r="A60" s="42">
        <v>50</v>
      </c>
      <c r="B60" s="740"/>
      <c r="C60" s="741"/>
      <c r="D60" s="731"/>
      <c r="E60" s="732" t="s">
        <v>1116</v>
      </c>
      <c r="F60" s="733">
        <f>SUM(F56:F59)</f>
        <v>2968</v>
      </c>
      <c r="G60" s="733"/>
      <c r="H60" s="733"/>
      <c r="I60" s="733"/>
      <c r="J60" s="733"/>
      <c r="K60" s="733"/>
      <c r="L60" s="733">
        <f>SUM(L56:L59)</f>
        <v>15535</v>
      </c>
      <c r="M60" s="733">
        <f>SUM(M56:M59)</f>
        <v>166965</v>
      </c>
      <c r="N60" s="733">
        <f>SUM(N56:N59)</f>
        <v>126050</v>
      </c>
      <c r="O60" s="723">
        <f>SUM(F60:M60)</f>
        <v>185468</v>
      </c>
    </row>
    <row r="61" spans="1:16" s="282" customFormat="1" ht="18" customHeight="1" x14ac:dyDescent="0.3">
      <c r="A61" s="42">
        <v>51</v>
      </c>
      <c r="B61" s="751"/>
      <c r="C61" s="719">
        <v>1</v>
      </c>
      <c r="D61" s="1972" t="s">
        <v>152</v>
      </c>
      <c r="E61" s="1973"/>
      <c r="F61" s="752"/>
      <c r="G61" s="752"/>
      <c r="H61" s="752"/>
      <c r="I61" s="752"/>
      <c r="J61" s="752"/>
      <c r="K61" s="752"/>
      <c r="L61" s="752"/>
      <c r="M61" s="752"/>
      <c r="N61" s="753"/>
      <c r="O61" s="754"/>
    </row>
    <row r="62" spans="1:16" s="111" customFormat="1" ht="18" customHeight="1" x14ac:dyDescent="0.3">
      <c r="A62" s="42">
        <v>52</v>
      </c>
      <c r="B62" s="755"/>
      <c r="C62" s="756"/>
      <c r="D62" s="757"/>
      <c r="E62" s="758" t="s">
        <v>311</v>
      </c>
      <c r="F62" s="759"/>
      <c r="G62" s="759">
        <v>2225</v>
      </c>
      <c r="H62" s="759"/>
      <c r="I62" s="759"/>
      <c r="J62" s="759"/>
      <c r="K62" s="759"/>
      <c r="L62" s="759"/>
      <c r="M62" s="759"/>
      <c r="N62" s="760"/>
      <c r="O62" s="761">
        <f>SUM(F62:M62)</f>
        <v>2225</v>
      </c>
      <c r="P62" s="31"/>
    </row>
    <row r="63" spans="1:16" s="111" customFormat="1" ht="18" customHeight="1" x14ac:dyDescent="0.3">
      <c r="A63" s="42">
        <v>53</v>
      </c>
      <c r="B63" s="755"/>
      <c r="C63" s="756"/>
      <c r="D63" s="757"/>
      <c r="E63" s="732" t="s">
        <v>1064</v>
      </c>
      <c r="F63" s="759"/>
      <c r="G63" s="762">
        <v>2225</v>
      </c>
      <c r="H63" s="759"/>
      <c r="I63" s="759"/>
      <c r="J63" s="759"/>
      <c r="K63" s="759"/>
      <c r="L63" s="759"/>
      <c r="M63" s="759"/>
      <c r="N63" s="760"/>
      <c r="O63" s="723">
        <f>SUM(F63:M63)</f>
        <v>2225</v>
      </c>
      <c r="P63" s="31"/>
    </row>
    <row r="64" spans="1:16" s="111" customFormat="1" ht="18" customHeight="1" x14ac:dyDescent="0.3">
      <c r="A64" s="42">
        <v>54</v>
      </c>
      <c r="B64" s="735"/>
      <c r="C64" s="736"/>
      <c r="D64" s="737"/>
      <c r="E64" s="738" t="s">
        <v>999</v>
      </c>
      <c r="F64" s="722"/>
      <c r="G64" s="722"/>
      <c r="H64" s="722"/>
      <c r="I64" s="722"/>
      <c r="J64" s="722"/>
      <c r="K64" s="722"/>
      <c r="L64" s="722"/>
      <c r="M64" s="722"/>
      <c r="N64" s="722"/>
      <c r="O64" s="739">
        <f>SUM(F64:M64)</f>
        <v>0</v>
      </c>
      <c r="P64" s="31"/>
    </row>
    <row r="65" spans="1:16" s="111" customFormat="1" ht="18" customHeight="1" thickBot="1" x14ac:dyDescent="0.35">
      <c r="A65" s="42">
        <v>55</v>
      </c>
      <c r="B65" s="740"/>
      <c r="C65" s="741"/>
      <c r="D65" s="731"/>
      <c r="E65" s="732" t="s">
        <v>1116</v>
      </c>
      <c r="F65" s="733"/>
      <c r="G65" s="733">
        <f>SUM(G63:G64)</f>
        <v>2225</v>
      </c>
      <c r="H65" s="733"/>
      <c r="I65" s="733"/>
      <c r="J65" s="733"/>
      <c r="K65" s="733"/>
      <c r="L65" s="733"/>
      <c r="M65" s="733"/>
      <c r="N65" s="734"/>
      <c r="O65" s="723">
        <f>SUM(F65:M65)</f>
        <v>2225</v>
      </c>
      <c r="P65" s="31"/>
    </row>
    <row r="66" spans="1:16" s="111" customFormat="1" ht="18" customHeight="1" thickTop="1" x14ac:dyDescent="0.2">
      <c r="A66" s="42">
        <v>56</v>
      </c>
      <c r="B66" s="746"/>
      <c r="C66" s="1974" t="s">
        <v>665</v>
      </c>
      <c r="D66" s="1975"/>
      <c r="E66" s="1976"/>
      <c r="F66" s="763"/>
      <c r="G66" s="763"/>
      <c r="H66" s="763"/>
      <c r="I66" s="763"/>
      <c r="J66" s="763"/>
      <c r="K66" s="763"/>
      <c r="L66" s="763"/>
      <c r="M66" s="763"/>
      <c r="N66" s="764"/>
      <c r="O66" s="765"/>
      <c r="P66" s="31"/>
    </row>
    <row r="67" spans="1:16" s="112" customFormat="1" ht="18" customHeight="1" x14ac:dyDescent="0.3">
      <c r="A67" s="42">
        <v>57</v>
      </c>
      <c r="B67" s="755"/>
      <c r="C67" s="756"/>
      <c r="D67" s="757"/>
      <c r="E67" s="758" t="s">
        <v>311</v>
      </c>
      <c r="F67" s="759">
        <f t="shared" ref="F67:N68" si="7">SUM(F13,F22,F30,F38,F47,F55,F62)</f>
        <v>66133</v>
      </c>
      <c r="G67" s="759">
        <f t="shared" si="7"/>
        <v>2225</v>
      </c>
      <c r="H67" s="759">
        <f t="shared" si="7"/>
        <v>0</v>
      </c>
      <c r="I67" s="759">
        <f t="shared" si="7"/>
        <v>0</v>
      </c>
      <c r="J67" s="759">
        <f t="shared" si="7"/>
        <v>0</v>
      </c>
      <c r="K67" s="759">
        <f t="shared" si="7"/>
        <v>0</v>
      </c>
      <c r="L67" s="759">
        <f t="shared" si="7"/>
        <v>1410</v>
      </c>
      <c r="M67" s="759">
        <f t="shared" si="7"/>
        <v>1775588</v>
      </c>
      <c r="N67" s="760">
        <f t="shared" si="7"/>
        <v>1335966</v>
      </c>
      <c r="O67" s="761">
        <f>SUM(F67:M67)</f>
        <v>1845356</v>
      </c>
      <c r="P67" s="38"/>
    </row>
    <row r="68" spans="1:16" s="113" customFormat="1" ht="22.5" customHeight="1" x14ac:dyDescent="0.3">
      <c r="A68" s="42">
        <v>58</v>
      </c>
      <c r="B68" s="755"/>
      <c r="C68" s="756"/>
      <c r="D68" s="757"/>
      <c r="E68" s="732" t="s">
        <v>1064</v>
      </c>
      <c r="F68" s="762">
        <f t="shared" si="7"/>
        <v>53773</v>
      </c>
      <c r="G68" s="762">
        <f t="shared" si="7"/>
        <v>2225</v>
      </c>
      <c r="H68" s="762">
        <f t="shared" si="7"/>
        <v>0</v>
      </c>
      <c r="I68" s="762">
        <f t="shared" si="7"/>
        <v>0</v>
      </c>
      <c r="J68" s="762">
        <f t="shared" si="7"/>
        <v>0</v>
      </c>
      <c r="K68" s="762">
        <f t="shared" si="7"/>
        <v>0</v>
      </c>
      <c r="L68" s="762">
        <f t="shared" si="7"/>
        <v>94961</v>
      </c>
      <c r="M68" s="762">
        <f t="shared" si="7"/>
        <v>1795994</v>
      </c>
      <c r="N68" s="766">
        <f t="shared" si="7"/>
        <v>1336012</v>
      </c>
      <c r="O68" s="767">
        <f>SUM(F68:M68)</f>
        <v>1946953</v>
      </c>
      <c r="P68" s="34"/>
    </row>
    <row r="69" spans="1:16" s="284" customFormat="1" ht="18" customHeight="1" x14ac:dyDescent="0.3">
      <c r="A69" s="42">
        <v>59</v>
      </c>
      <c r="B69" s="735"/>
      <c r="C69" s="736"/>
      <c r="D69" s="737"/>
      <c r="E69" s="738" t="s">
        <v>999</v>
      </c>
      <c r="F69" s="722">
        <f t="shared" ref="F69:N69" si="8">SUM(F15:F18,F24:F26,F32:F34,F40:F43,F49:F51,F57:F59,F64)</f>
        <v>0</v>
      </c>
      <c r="G69" s="722">
        <f t="shared" si="8"/>
        <v>0</v>
      </c>
      <c r="H69" s="722">
        <f t="shared" si="8"/>
        <v>0</v>
      </c>
      <c r="I69" s="722">
        <f t="shared" si="8"/>
        <v>0</v>
      </c>
      <c r="J69" s="722">
        <f t="shared" si="8"/>
        <v>0</v>
      </c>
      <c r="K69" s="722">
        <f t="shared" si="8"/>
        <v>0</v>
      </c>
      <c r="L69" s="722">
        <f t="shared" si="8"/>
        <v>0</v>
      </c>
      <c r="M69" s="722">
        <f t="shared" si="8"/>
        <v>15</v>
      </c>
      <c r="N69" s="722">
        <f t="shared" si="8"/>
        <v>95819</v>
      </c>
      <c r="O69" s="739">
        <f>SUM(F69:M69)</f>
        <v>15</v>
      </c>
    </row>
    <row r="70" spans="1:16" s="284" customFormat="1" ht="18" customHeight="1" thickBot="1" x14ac:dyDescent="0.35">
      <c r="A70" s="42">
        <v>60</v>
      </c>
      <c r="B70" s="740"/>
      <c r="C70" s="768"/>
      <c r="D70" s="769"/>
      <c r="E70" s="770" t="s">
        <v>1116</v>
      </c>
      <c r="F70" s="771">
        <f>SUM(F68:F69)</f>
        <v>53773</v>
      </c>
      <c r="G70" s="771">
        <f t="shared" ref="G70:N70" si="9">SUM(G68:G69)</f>
        <v>2225</v>
      </c>
      <c r="H70" s="771">
        <f t="shared" si="9"/>
        <v>0</v>
      </c>
      <c r="I70" s="771">
        <f t="shared" si="9"/>
        <v>0</v>
      </c>
      <c r="J70" s="771">
        <f t="shared" si="9"/>
        <v>0</v>
      </c>
      <c r="K70" s="771">
        <f t="shared" si="9"/>
        <v>0</v>
      </c>
      <c r="L70" s="771">
        <f>SUM(L68:L69)</f>
        <v>94961</v>
      </c>
      <c r="M70" s="771">
        <f t="shared" si="9"/>
        <v>1796009</v>
      </c>
      <c r="N70" s="771">
        <f t="shared" si="9"/>
        <v>1431831</v>
      </c>
      <c r="O70" s="772">
        <f>SUM(F70:M70)</f>
        <v>1946968</v>
      </c>
    </row>
    <row r="71" spans="1:16" s="111" customFormat="1" ht="18" customHeight="1" thickTop="1" x14ac:dyDescent="0.3">
      <c r="A71" s="42">
        <v>61</v>
      </c>
      <c r="B71" s="711">
        <v>7</v>
      </c>
      <c r="C71" s="712"/>
      <c r="D71" s="773" t="s">
        <v>389</v>
      </c>
      <c r="E71" s="773"/>
      <c r="F71" s="774"/>
      <c r="G71" s="774"/>
      <c r="H71" s="774"/>
      <c r="I71" s="774"/>
      <c r="J71" s="774"/>
      <c r="K71" s="774"/>
      <c r="L71" s="774"/>
      <c r="M71" s="774"/>
      <c r="N71" s="775"/>
      <c r="O71" s="776"/>
      <c r="P71" s="31"/>
    </row>
    <row r="72" spans="1:16" s="111" customFormat="1" ht="18" customHeight="1" x14ac:dyDescent="0.3">
      <c r="A72" s="42">
        <v>62</v>
      </c>
      <c r="B72" s="724"/>
      <c r="C72" s="725"/>
      <c r="D72" s="726"/>
      <c r="E72" s="727" t="s">
        <v>311</v>
      </c>
      <c r="F72" s="777">
        <v>21777</v>
      </c>
      <c r="G72" s="777">
        <v>1473</v>
      </c>
      <c r="H72" s="777"/>
      <c r="I72" s="777"/>
      <c r="J72" s="777"/>
      <c r="K72" s="777"/>
      <c r="L72" s="777">
        <v>1630</v>
      </c>
      <c r="M72" s="777">
        <v>972097</v>
      </c>
      <c r="N72" s="778">
        <v>747388</v>
      </c>
      <c r="O72" s="779">
        <f t="shared" ref="O72:O82" si="10">SUM(F72:M72)</f>
        <v>996977</v>
      </c>
      <c r="P72" s="31"/>
    </row>
    <row r="73" spans="1:16" s="111" customFormat="1" ht="18" customHeight="1" x14ac:dyDescent="0.3">
      <c r="A73" s="42">
        <v>63</v>
      </c>
      <c r="B73" s="724"/>
      <c r="C73" s="725"/>
      <c r="D73" s="726"/>
      <c r="E73" s="732" t="s">
        <v>1064</v>
      </c>
      <c r="F73" s="781">
        <v>15700</v>
      </c>
      <c r="G73" s="781">
        <v>6542</v>
      </c>
      <c r="H73" s="781"/>
      <c r="I73" s="781"/>
      <c r="J73" s="781"/>
      <c r="K73" s="781"/>
      <c r="L73" s="781">
        <v>49233</v>
      </c>
      <c r="M73" s="781">
        <v>987180</v>
      </c>
      <c r="N73" s="782">
        <v>754753</v>
      </c>
      <c r="O73" s="723">
        <f t="shared" si="10"/>
        <v>1058655</v>
      </c>
      <c r="P73" s="31"/>
    </row>
    <row r="74" spans="1:16" s="112" customFormat="1" ht="18" customHeight="1" x14ac:dyDescent="0.3">
      <c r="A74" s="42">
        <v>64</v>
      </c>
      <c r="B74" s="735"/>
      <c r="C74" s="736"/>
      <c r="D74" s="737"/>
      <c r="E74" s="738" t="s">
        <v>1117</v>
      </c>
      <c r="F74" s="722"/>
      <c r="G74" s="722"/>
      <c r="H74" s="722"/>
      <c r="I74" s="722"/>
      <c r="J74" s="722"/>
      <c r="K74" s="722"/>
      <c r="L74" s="722"/>
      <c r="M74" s="722"/>
      <c r="N74" s="722">
        <v>12755</v>
      </c>
      <c r="O74" s="739">
        <f t="shared" si="10"/>
        <v>0</v>
      </c>
      <c r="P74" s="38"/>
    </row>
    <row r="75" spans="1:16" s="113" customFormat="1" ht="22.5" customHeight="1" x14ac:dyDescent="0.3">
      <c r="A75" s="42">
        <v>65</v>
      </c>
      <c r="B75" s="735"/>
      <c r="C75" s="736"/>
      <c r="D75" s="737"/>
      <c r="E75" s="738" t="s">
        <v>1113</v>
      </c>
      <c r="F75" s="722"/>
      <c r="G75" s="722"/>
      <c r="H75" s="722"/>
      <c r="I75" s="722"/>
      <c r="J75" s="722"/>
      <c r="K75" s="722"/>
      <c r="L75" s="722"/>
      <c r="M75" s="722"/>
      <c r="N75" s="722">
        <v>1079</v>
      </c>
      <c r="O75" s="739">
        <f t="shared" si="10"/>
        <v>0</v>
      </c>
      <c r="P75" s="34"/>
    </row>
    <row r="76" spans="1:16" s="284" customFormat="1" ht="18" customHeight="1" x14ac:dyDescent="0.3">
      <c r="A76" s="42">
        <v>66</v>
      </c>
      <c r="B76" s="735"/>
      <c r="C76" s="736"/>
      <c r="D76" s="737"/>
      <c r="E76" s="738" t="s">
        <v>1118</v>
      </c>
      <c r="F76" s="722"/>
      <c r="G76" s="722"/>
      <c r="H76" s="722"/>
      <c r="I76" s="722"/>
      <c r="J76" s="722"/>
      <c r="K76" s="722"/>
      <c r="L76" s="722"/>
      <c r="M76" s="722"/>
      <c r="N76" s="722">
        <v>-40437</v>
      </c>
      <c r="O76" s="739">
        <f t="shared" si="10"/>
        <v>0</v>
      </c>
    </row>
    <row r="77" spans="1:16" s="284" customFormat="1" ht="18" customHeight="1" x14ac:dyDescent="0.3">
      <c r="A77" s="42">
        <v>67</v>
      </c>
      <c r="B77" s="735"/>
      <c r="C77" s="736"/>
      <c r="D77" s="737"/>
      <c r="E77" s="738" t="s">
        <v>1119</v>
      </c>
      <c r="F77" s="722"/>
      <c r="G77" s="722"/>
      <c r="H77" s="722"/>
      <c r="I77" s="722"/>
      <c r="J77" s="722"/>
      <c r="K77" s="722"/>
      <c r="L77" s="722"/>
      <c r="M77" s="722"/>
      <c r="N77" s="722">
        <v>38579</v>
      </c>
      <c r="O77" s="739">
        <f t="shared" si="10"/>
        <v>0</v>
      </c>
    </row>
    <row r="78" spans="1:16" s="284" customFormat="1" ht="18" customHeight="1" x14ac:dyDescent="0.3">
      <c r="A78" s="42">
        <v>68</v>
      </c>
      <c r="B78" s="735"/>
      <c r="C78" s="736"/>
      <c r="D78" s="737"/>
      <c r="E78" s="738" t="s">
        <v>1115</v>
      </c>
      <c r="F78" s="722"/>
      <c r="G78" s="722"/>
      <c r="H78" s="722"/>
      <c r="I78" s="722"/>
      <c r="J78" s="722"/>
      <c r="K78" s="722"/>
      <c r="L78" s="722"/>
      <c r="M78" s="722">
        <v>699</v>
      </c>
      <c r="N78" s="722">
        <v>699</v>
      </c>
      <c r="O78" s="739">
        <f t="shared" si="10"/>
        <v>699</v>
      </c>
    </row>
    <row r="79" spans="1:16" s="111" customFormat="1" ht="18" customHeight="1" x14ac:dyDescent="0.3">
      <c r="A79" s="42">
        <v>69</v>
      </c>
      <c r="B79" s="735"/>
      <c r="C79" s="736"/>
      <c r="D79" s="737"/>
      <c r="E79" s="738" t="s">
        <v>1120</v>
      </c>
      <c r="F79" s="722"/>
      <c r="G79" s="722"/>
      <c r="H79" s="722"/>
      <c r="I79" s="722"/>
      <c r="J79" s="722"/>
      <c r="K79" s="722"/>
      <c r="L79" s="722"/>
      <c r="M79" s="722">
        <v>3766</v>
      </c>
      <c r="N79" s="722">
        <v>3766</v>
      </c>
      <c r="O79" s="739">
        <f t="shared" si="10"/>
        <v>3766</v>
      </c>
      <c r="P79" s="31"/>
    </row>
    <row r="80" spans="1:16" s="111" customFormat="1" ht="18" customHeight="1" x14ac:dyDescent="0.3">
      <c r="A80" s="42">
        <v>70</v>
      </c>
      <c r="B80" s="735"/>
      <c r="C80" s="736"/>
      <c r="D80" s="737"/>
      <c r="E80" s="738" t="s">
        <v>1121</v>
      </c>
      <c r="F80" s="722"/>
      <c r="G80" s="722"/>
      <c r="H80" s="722"/>
      <c r="I80" s="722"/>
      <c r="J80" s="722"/>
      <c r="K80" s="722"/>
      <c r="L80" s="722"/>
      <c r="M80" s="722">
        <v>19387</v>
      </c>
      <c r="N80" s="722">
        <v>19387</v>
      </c>
      <c r="O80" s="739">
        <f t="shared" si="10"/>
        <v>19387</v>
      </c>
      <c r="P80" s="31"/>
    </row>
    <row r="81" spans="1:16" s="112" customFormat="1" ht="18" customHeight="1" x14ac:dyDescent="0.3">
      <c r="A81" s="42">
        <v>71</v>
      </c>
      <c r="B81" s="735"/>
      <c r="C81" s="736"/>
      <c r="D81" s="737"/>
      <c r="E81" s="738" t="s">
        <v>1122</v>
      </c>
      <c r="F81" s="722"/>
      <c r="G81" s="722">
        <v>1788</v>
      </c>
      <c r="H81" s="722"/>
      <c r="I81" s="722"/>
      <c r="J81" s="722"/>
      <c r="K81" s="722"/>
      <c r="L81" s="722"/>
      <c r="M81" s="722"/>
      <c r="N81" s="722"/>
      <c r="O81" s="739">
        <f t="shared" si="10"/>
        <v>1788</v>
      </c>
      <c r="P81" s="38"/>
    </row>
    <row r="82" spans="1:16" s="37" customFormat="1" ht="22.5" customHeight="1" x14ac:dyDescent="0.3">
      <c r="A82" s="42">
        <v>72</v>
      </c>
      <c r="B82" s="735"/>
      <c r="C82" s="736"/>
      <c r="D82" s="737"/>
      <c r="E82" s="738" t="s">
        <v>1123</v>
      </c>
      <c r="F82" s="722"/>
      <c r="G82" s="722"/>
      <c r="H82" s="722"/>
      <c r="I82" s="722">
        <v>1200</v>
      </c>
      <c r="J82" s="722"/>
      <c r="K82" s="722"/>
      <c r="L82" s="722"/>
      <c r="M82" s="722"/>
      <c r="N82" s="722"/>
      <c r="O82" s="739">
        <f t="shared" si="10"/>
        <v>1200</v>
      </c>
    </row>
    <row r="83" spans="1:16" s="284" customFormat="1" ht="18" customHeight="1" x14ac:dyDescent="0.3">
      <c r="A83" s="42">
        <v>73</v>
      </c>
      <c r="B83" s="740"/>
      <c r="C83" s="741"/>
      <c r="D83" s="731"/>
      <c r="E83" s="732" t="s">
        <v>1116</v>
      </c>
      <c r="F83" s="733">
        <f>SUM(F73:F82)</f>
        <v>15700</v>
      </c>
      <c r="G83" s="733">
        <f>SUM(G73:G82)</f>
        <v>8330</v>
      </c>
      <c r="H83" s="733"/>
      <c r="I83" s="733">
        <f t="shared" ref="I83" si="11">SUM(I73:I82)</f>
        <v>1200</v>
      </c>
      <c r="J83" s="733"/>
      <c r="K83" s="733"/>
      <c r="L83" s="733">
        <f>SUM(L73:L82)</f>
        <v>49233</v>
      </c>
      <c r="M83" s="733">
        <f t="shared" ref="M83:N83" si="12">SUM(M73:M82)</f>
        <v>1011032</v>
      </c>
      <c r="N83" s="733">
        <f t="shared" si="12"/>
        <v>790581</v>
      </c>
      <c r="O83" s="723">
        <f>SUM(F83:M83)</f>
        <v>1085495</v>
      </c>
    </row>
    <row r="84" spans="1:16" s="284" customFormat="1" ht="18" customHeight="1" x14ac:dyDescent="0.3">
      <c r="A84" s="42">
        <v>74</v>
      </c>
      <c r="B84" s="718">
        <v>8</v>
      </c>
      <c r="C84" s="719"/>
      <c r="D84" s="732" t="s">
        <v>125</v>
      </c>
      <c r="E84" s="732"/>
      <c r="F84" s="752"/>
      <c r="G84" s="752"/>
      <c r="H84" s="752"/>
      <c r="I84" s="752"/>
      <c r="J84" s="752"/>
      <c r="K84" s="752"/>
      <c r="L84" s="752"/>
      <c r="M84" s="752"/>
      <c r="N84" s="753"/>
      <c r="O84" s="754"/>
    </row>
    <row r="85" spans="1:16" s="111" customFormat="1" ht="18" customHeight="1" x14ac:dyDescent="0.3">
      <c r="A85" s="42">
        <v>75</v>
      </c>
      <c r="B85" s="724"/>
      <c r="C85" s="725"/>
      <c r="D85" s="726"/>
      <c r="E85" s="727" t="s">
        <v>311</v>
      </c>
      <c r="F85" s="777">
        <v>13800</v>
      </c>
      <c r="G85" s="777"/>
      <c r="H85" s="777"/>
      <c r="I85" s="777"/>
      <c r="J85" s="777"/>
      <c r="K85" s="777"/>
      <c r="L85" s="777"/>
      <c r="M85" s="777">
        <v>55450</v>
      </c>
      <c r="N85" s="778">
        <v>32245</v>
      </c>
      <c r="O85" s="779">
        <f t="shared" ref="O85:O89" si="13">SUM(F85:M85)</f>
        <v>69250</v>
      </c>
      <c r="P85" s="31"/>
    </row>
    <row r="86" spans="1:16" s="112" customFormat="1" ht="18" customHeight="1" x14ac:dyDescent="0.3">
      <c r="A86" s="42">
        <v>76</v>
      </c>
      <c r="B86" s="724"/>
      <c r="C86" s="725"/>
      <c r="D86" s="726"/>
      <c r="E86" s="732" t="s">
        <v>1064</v>
      </c>
      <c r="F86" s="781">
        <v>10425</v>
      </c>
      <c r="G86" s="781"/>
      <c r="H86" s="781"/>
      <c r="I86" s="781"/>
      <c r="J86" s="781"/>
      <c r="K86" s="781"/>
      <c r="L86" s="781">
        <v>16508</v>
      </c>
      <c r="M86" s="781">
        <v>67008</v>
      </c>
      <c r="N86" s="782">
        <v>43803</v>
      </c>
      <c r="O86" s="723">
        <f t="shared" si="13"/>
        <v>93941</v>
      </c>
      <c r="P86" s="38"/>
    </row>
    <row r="87" spans="1:16" s="31" customFormat="1" ht="22.5" customHeight="1" x14ac:dyDescent="0.3">
      <c r="A87" s="42">
        <v>77</v>
      </c>
      <c r="B87" s="735"/>
      <c r="C87" s="736"/>
      <c r="D87" s="737"/>
      <c r="E87" s="738" t="s">
        <v>1124</v>
      </c>
      <c r="F87" s="722"/>
      <c r="G87" s="722"/>
      <c r="H87" s="722"/>
      <c r="I87" s="722"/>
      <c r="J87" s="722"/>
      <c r="K87" s="722"/>
      <c r="L87" s="722"/>
      <c r="M87" s="722"/>
      <c r="N87" s="722">
        <f>1806+206</f>
        <v>2012</v>
      </c>
      <c r="O87" s="739">
        <f t="shared" si="13"/>
        <v>0</v>
      </c>
      <c r="P87" s="30"/>
    </row>
    <row r="88" spans="1:16" s="282" customFormat="1" ht="18" customHeight="1" x14ac:dyDescent="0.3">
      <c r="A88" s="42">
        <v>78</v>
      </c>
      <c r="B88" s="735"/>
      <c r="C88" s="736"/>
      <c r="D88" s="737"/>
      <c r="E88" s="738" t="s">
        <v>1115</v>
      </c>
      <c r="F88" s="722"/>
      <c r="G88" s="722"/>
      <c r="H88" s="722"/>
      <c r="I88" s="722"/>
      <c r="J88" s="722"/>
      <c r="K88" s="722"/>
      <c r="L88" s="722"/>
      <c r="M88" s="722">
        <v>96</v>
      </c>
      <c r="N88" s="722">
        <v>96</v>
      </c>
      <c r="O88" s="739">
        <f t="shared" si="13"/>
        <v>96</v>
      </c>
    </row>
    <row r="89" spans="1:16" s="282" customFormat="1" ht="18" customHeight="1" x14ac:dyDescent="0.3">
      <c r="A89" s="42">
        <v>79</v>
      </c>
      <c r="B89" s="735"/>
      <c r="C89" s="736"/>
      <c r="D89" s="737"/>
      <c r="E89" s="738" t="s">
        <v>1120</v>
      </c>
      <c r="F89" s="722"/>
      <c r="G89" s="722"/>
      <c r="H89" s="722"/>
      <c r="I89" s="722"/>
      <c r="J89" s="722"/>
      <c r="K89" s="722"/>
      <c r="L89" s="722"/>
      <c r="M89" s="722">
        <v>3125</v>
      </c>
      <c r="N89" s="722">
        <v>3125</v>
      </c>
      <c r="O89" s="739">
        <f t="shared" si="13"/>
        <v>3125</v>
      </c>
    </row>
    <row r="90" spans="1:16" s="111" customFormat="1" ht="18" customHeight="1" x14ac:dyDescent="0.3">
      <c r="A90" s="42">
        <v>80</v>
      </c>
      <c r="B90" s="740"/>
      <c r="C90" s="741"/>
      <c r="D90" s="731"/>
      <c r="E90" s="732" t="s">
        <v>1116</v>
      </c>
      <c r="F90" s="733">
        <f>SUM(F86:F89)</f>
        <v>10425</v>
      </c>
      <c r="G90" s="733"/>
      <c r="H90" s="733"/>
      <c r="I90" s="733"/>
      <c r="J90" s="733"/>
      <c r="K90" s="733"/>
      <c r="L90" s="733">
        <f t="shared" ref="L90:N90" si="14">SUM(L86:L89)</f>
        <v>16508</v>
      </c>
      <c r="M90" s="733">
        <f t="shared" si="14"/>
        <v>70229</v>
      </c>
      <c r="N90" s="733">
        <f t="shared" si="14"/>
        <v>49036</v>
      </c>
      <c r="O90" s="723">
        <f>SUM(F90:M90)</f>
        <v>97162</v>
      </c>
      <c r="P90" s="31"/>
    </row>
    <row r="91" spans="1:16" s="111" customFormat="1" ht="18" customHeight="1" x14ac:dyDescent="0.3">
      <c r="A91" s="42">
        <v>81</v>
      </c>
      <c r="B91" s="718">
        <v>9</v>
      </c>
      <c r="C91" s="719"/>
      <c r="D91" s="732" t="s">
        <v>544</v>
      </c>
      <c r="E91" s="732"/>
      <c r="F91" s="752"/>
      <c r="G91" s="752"/>
      <c r="H91" s="752"/>
      <c r="I91" s="752"/>
      <c r="J91" s="752"/>
      <c r="K91" s="752"/>
      <c r="L91" s="752"/>
      <c r="M91" s="752"/>
      <c r="N91" s="753"/>
      <c r="O91" s="754"/>
      <c r="P91" s="31"/>
    </row>
    <row r="92" spans="1:16" s="112" customFormat="1" ht="18" customHeight="1" x14ac:dyDescent="0.3">
      <c r="A92" s="42">
        <v>82</v>
      </c>
      <c r="B92" s="724"/>
      <c r="C92" s="756"/>
      <c r="D92" s="757"/>
      <c r="E92" s="783" t="s">
        <v>311</v>
      </c>
      <c r="F92" s="784">
        <v>1800</v>
      </c>
      <c r="G92" s="784"/>
      <c r="H92" s="784"/>
      <c r="I92" s="784"/>
      <c r="J92" s="784"/>
      <c r="K92" s="784"/>
      <c r="L92" s="784">
        <v>1150</v>
      </c>
      <c r="M92" s="784">
        <v>240692</v>
      </c>
      <c r="N92" s="785">
        <v>148192</v>
      </c>
      <c r="O92" s="786">
        <f t="shared" ref="O92:O97" si="15">SUM(F92:M92)</f>
        <v>243642</v>
      </c>
      <c r="P92" s="38"/>
    </row>
    <row r="93" spans="1:16" s="38" customFormat="1" ht="18" customHeight="1" x14ac:dyDescent="0.3">
      <c r="A93" s="42">
        <v>83</v>
      </c>
      <c r="B93" s="724"/>
      <c r="C93" s="756"/>
      <c r="D93" s="757"/>
      <c r="E93" s="732" t="s">
        <v>1064</v>
      </c>
      <c r="F93" s="787">
        <v>1800</v>
      </c>
      <c r="G93" s="787"/>
      <c r="H93" s="787"/>
      <c r="I93" s="787"/>
      <c r="J93" s="787"/>
      <c r="K93" s="787"/>
      <c r="L93" s="787">
        <v>29468</v>
      </c>
      <c r="M93" s="787">
        <v>270910</v>
      </c>
      <c r="N93" s="788">
        <v>178876</v>
      </c>
      <c r="O93" s="723">
        <f t="shared" si="15"/>
        <v>302178</v>
      </c>
      <c r="P93" s="30"/>
    </row>
    <row r="94" spans="1:16" s="282" customFormat="1" ht="18" customHeight="1" x14ac:dyDescent="0.3">
      <c r="A94" s="42">
        <v>84</v>
      </c>
      <c r="B94" s="724"/>
      <c r="C94" s="756"/>
      <c r="D94" s="757"/>
      <c r="E94" s="738" t="s">
        <v>1125</v>
      </c>
      <c r="F94" s="787"/>
      <c r="G94" s="787"/>
      <c r="H94" s="787"/>
      <c r="I94" s="787"/>
      <c r="J94" s="787"/>
      <c r="K94" s="787"/>
      <c r="L94" s="787"/>
      <c r="M94" s="789"/>
      <c r="N94" s="789">
        <f>7362+2828</f>
        <v>10190</v>
      </c>
      <c r="O94" s="739">
        <f t="shared" si="15"/>
        <v>0</v>
      </c>
    </row>
    <row r="95" spans="1:16" s="282" customFormat="1" ht="18" customHeight="1" x14ac:dyDescent="0.3">
      <c r="A95" s="42">
        <v>85</v>
      </c>
      <c r="B95" s="735"/>
      <c r="C95" s="736"/>
      <c r="D95" s="737"/>
      <c r="E95" s="738" t="s">
        <v>1126</v>
      </c>
      <c r="F95" s="722"/>
      <c r="G95" s="722"/>
      <c r="H95" s="722"/>
      <c r="I95" s="722"/>
      <c r="J95" s="722"/>
      <c r="K95" s="722"/>
      <c r="L95" s="722"/>
      <c r="M95" s="722"/>
      <c r="N95" s="722">
        <v>1880</v>
      </c>
      <c r="O95" s="739">
        <f t="shared" si="15"/>
        <v>0</v>
      </c>
    </row>
    <row r="96" spans="1:16" s="111" customFormat="1" ht="18" customHeight="1" x14ac:dyDescent="0.3">
      <c r="A96" s="42">
        <v>86</v>
      </c>
      <c r="B96" s="735"/>
      <c r="C96" s="736"/>
      <c r="D96" s="737"/>
      <c r="E96" s="738" t="s">
        <v>1115</v>
      </c>
      <c r="F96" s="722"/>
      <c r="G96" s="722"/>
      <c r="H96" s="722"/>
      <c r="I96" s="722"/>
      <c r="J96" s="722"/>
      <c r="K96" s="722"/>
      <c r="L96" s="722"/>
      <c r="M96" s="722">
        <v>236</v>
      </c>
      <c r="N96" s="722">
        <v>236</v>
      </c>
      <c r="O96" s="739">
        <f t="shared" si="15"/>
        <v>236</v>
      </c>
      <c r="P96" s="31"/>
    </row>
    <row r="97" spans="1:16" s="112" customFormat="1" ht="18" customHeight="1" x14ac:dyDescent="0.3">
      <c r="A97" s="42">
        <v>87</v>
      </c>
      <c r="B97" s="735"/>
      <c r="C97" s="736"/>
      <c r="D97" s="737"/>
      <c r="E97" s="738" t="s">
        <v>1120</v>
      </c>
      <c r="F97" s="722"/>
      <c r="G97" s="722"/>
      <c r="H97" s="722"/>
      <c r="I97" s="722"/>
      <c r="J97" s="722"/>
      <c r="K97" s="722"/>
      <c r="L97" s="722"/>
      <c r="M97" s="722">
        <v>17640</v>
      </c>
      <c r="N97" s="722">
        <v>17640</v>
      </c>
      <c r="O97" s="739">
        <f t="shared" si="15"/>
        <v>17640</v>
      </c>
      <c r="P97" s="38"/>
    </row>
    <row r="98" spans="1:16" s="38" customFormat="1" ht="22.5" customHeight="1" thickBot="1" x14ac:dyDescent="0.35">
      <c r="A98" s="42">
        <v>88</v>
      </c>
      <c r="B98" s="740"/>
      <c r="C98" s="741"/>
      <c r="D98" s="731"/>
      <c r="E98" s="732" t="s">
        <v>1116</v>
      </c>
      <c r="F98" s="733">
        <f>SUM(F93:F97)</f>
        <v>1800</v>
      </c>
      <c r="G98" s="733"/>
      <c r="H98" s="733"/>
      <c r="I98" s="733"/>
      <c r="J98" s="733"/>
      <c r="K98" s="733"/>
      <c r="L98" s="733">
        <f>SUM(L93:L97)</f>
        <v>29468</v>
      </c>
      <c r="M98" s="733">
        <f t="shared" ref="M98:N98" si="16">SUM(M93:M97)</f>
        <v>288786</v>
      </c>
      <c r="N98" s="733">
        <f t="shared" si="16"/>
        <v>208822</v>
      </c>
      <c r="O98" s="723">
        <f>SUM(F98:M98)</f>
        <v>320054</v>
      </c>
      <c r="P98" s="30"/>
    </row>
    <row r="99" spans="1:16" s="282" customFormat="1" ht="18" customHeight="1" thickTop="1" x14ac:dyDescent="0.2">
      <c r="A99" s="42">
        <v>89</v>
      </c>
      <c r="B99" s="746"/>
      <c r="C99" s="1974" t="s">
        <v>666</v>
      </c>
      <c r="D99" s="1975"/>
      <c r="E99" s="1976"/>
      <c r="F99" s="763"/>
      <c r="G99" s="763"/>
      <c r="H99" s="763"/>
      <c r="I99" s="763"/>
      <c r="J99" s="763"/>
      <c r="K99" s="763"/>
      <c r="L99" s="763"/>
      <c r="M99" s="763"/>
      <c r="N99" s="763"/>
      <c r="O99" s="765"/>
    </row>
    <row r="100" spans="1:16" s="282" customFormat="1" ht="18" customHeight="1" x14ac:dyDescent="0.3">
      <c r="A100" s="42">
        <v>90</v>
      </c>
      <c r="B100" s="724"/>
      <c r="C100" s="756"/>
      <c r="D100" s="757"/>
      <c r="E100" s="783" t="s">
        <v>311</v>
      </c>
      <c r="F100" s="784">
        <f t="shared" ref="F100:N101" si="17">SUM(F72,F85,F92)</f>
        <v>37377</v>
      </c>
      <c r="G100" s="784">
        <f t="shared" si="17"/>
        <v>1473</v>
      </c>
      <c r="H100" s="784">
        <f t="shared" si="17"/>
        <v>0</v>
      </c>
      <c r="I100" s="784">
        <f t="shared" si="17"/>
        <v>0</v>
      </c>
      <c r="J100" s="784">
        <f t="shared" si="17"/>
        <v>0</v>
      </c>
      <c r="K100" s="784">
        <f t="shared" si="17"/>
        <v>0</v>
      </c>
      <c r="L100" s="784">
        <f t="shared" si="17"/>
        <v>2780</v>
      </c>
      <c r="M100" s="784">
        <f t="shared" si="17"/>
        <v>1268239</v>
      </c>
      <c r="N100" s="785">
        <f t="shared" si="17"/>
        <v>927825</v>
      </c>
      <c r="O100" s="786">
        <f>SUM(F100:M100)</f>
        <v>1309869</v>
      </c>
    </row>
    <row r="101" spans="1:16" s="111" customFormat="1" ht="18" customHeight="1" x14ac:dyDescent="0.3">
      <c r="A101" s="42">
        <v>91</v>
      </c>
      <c r="B101" s="724"/>
      <c r="C101" s="756"/>
      <c r="D101" s="757"/>
      <c r="E101" s="732" t="s">
        <v>1064</v>
      </c>
      <c r="F101" s="787">
        <f t="shared" si="17"/>
        <v>27925</v>
      </c>
      <c r="G101" s="787">
        <f t="shared" si="17"/>
        <v>6542</v>
      </c>
      <c r="H101" s="787">
        <f t="shared" si="17"/>
        <v>0</v>
      </c>
      <c r="I101" s="787">
        <f t="shared" si="17"/>
        <v>0</v>
      </c>
      <c r="J101" s="787">
        <f t="shared" si="17"/>
        <v>0</v>
      </c>
      <c r="K101" s="787">
        <f t="shared" si="17"/>
        <v>0</v>
      </c>
      <c r="L101" s="787">
        <f t="shared" si="17"/>
        <v>95209</v>
      </c>
      <c r="M101" s="787">
        <f t="shared" si="17"/>
        <v>1325098</v>
      </c>
      <c r="N101" s="788">
        <f t="shared" si="17"/>
        <v>977432</v>
      </c>
      <c r="O101" s="790">
        <f>SUM(F101:M101)</f>
        <v>1454774</v>
      </c>
      <c r="P101" s="31"/>
    </row>
    <row r="102" spans="1:16" s="111" customFormat="1" ht="18" customHeight="1" x14ac:dyDescent="0.3">
      <c r="A102" s="42">
        <v>92</v>
      </c>
      <c r="B102" s="735"/>
      <c r="C102" s="736"/>
      <c r="D102" s="737"/>
      <c r="E102" s="738" t="s">
        <v>999</v>
      </c>
      <c r="F102" s="722">
        <f>SUM(F74:F82,F87:F89,F94:F97)</f>
        <v>0</v>
      </c>
      <c r="G102" s="722">
        <f t="shared" ref="G102:N102" si="18">SUM(G74:G82,G87:G89,G94:G97)</f>
        <v>1788</v>
      </c>
      <c r="H102" s="722">
        <f t="shared" si="18"/>
        <v>0</v>
      </c>
      <c r="I102" s="722">
        <f t="shared" si="18"/>
        <v>1200</v>
      </c>
      <c r="J102" s="722">
        <f t="shared" si="18"/>
        <v>0</v>
      </c>
      <c r="K102" s="722">
        <f t="shared" si="18"/>
        <v>0</v>
      </c>
      <c r="L102" s="722">
        <f t="shared" si="18"/>
        <v>0</v>
      </c>
      <c r="M102" s="722">
        <f t="shared" si="18"/>
        <v>44949</v>
      </c>
      <c r="N102" s="722">
        <f t="shared" si="18"/>
        <v>71007</v>
      </c>
      <c r="O102" s="739">
        <f>SUM(F102:M102)</f>
        <v>47937</v>
      </c>
      <c r="P102" s="31"/>
    </row>
    <row r="103" spans="1:16" s="111" customFormat="1" ht="18" customHeight="1" thickBot="1" x14ac:dyDescent="0.35">
      <c r="A103" s="42">
        <v>93</v>
      </c>
      <c r="B103" s="740"/>
      <c r="C103" s="768"/>
      <c r="D103" s="769"/>
      <c r="E103" s="770" t="s">
        <v>1116</v>
      </c>
      <c r="F103" s="771">
        <f>SUM(F101:F102)</f>
        <v>27925</v>
      </c>
      <c r="G103" s="771">
        <f t="shared" ref="G103:N103" si="19">SUM(G101:G102)</f>
        <v>8330</v>
      </c>
      <c r="H103" s="771">
        <f t="shared" si="19"/>
        <v>0</v>
      </c>
      <c r="I103" s="771">
        <f t="shared" si="19"/>
        <v>1200</v>
      </c>
      <c r="J103" s="771">
        <f t="shared" si="19"/>
        <v>0</v>
      </c>
      <c r="K103" s="771">
        <f t="shared" si="19"/>
        <v>0</v>
      </c>
      <c r="L103" s="771">
        <f t="shared" si="19"/>
        <v>95209</v>
      </c>
      <c r="M103" s="771">
        <f t="shared" si="19"/>
        <v>1370047</v>
      </c>
      <c r="N103" s="771">
        <f t="shared" si="19"/>
        <v>1048439</v>
      </c>
      <c r="O103" s="772">
        <f>SUM(F103:M103)</f>
        <v>1502711</v>
      </c>
      <c r="P103" s="31"/>
    </row>
    <row r="104" spans="1:16" s="112" customFormat="1" ht="18" customHeight="1" thickTop="1" x14ac:dyDescent="0.3">
      <c r="A104" s="42">
        <v>94</v>
      </c>
      <c r="B104" s="711">
        <v>10</v>
      </c>
      <c r="C104" s="712"/>
      <c r="D104" s="773" t="s">
        <v>546</v>
      </c>
      <c r="E104" s="791"/>
      <c r="F104" s="715"/>
      <c r="G104" s="715"/>
      <c r="H104" s="715"/>
      <c r="I104" s="715"/>
      <c r="J104" s="715"/>
      <c r="K104" s="715"/>
      <c r="L104" s="715"/>
      <c r="M104" s="715"/>
      <c r="N104" s="716"/>
      <c r="O104" s="717"/>
      <c r="P104" s="38"/>
    </row>
    <row r="105" spans="1:16" s="76" customFormat="1" ht="22.5" customHeight="1" x14ac:dyDescent="0.3">
      <c r="A105" s="42">
        <v>95</v>
      </c>
      <c r="B105" s="724"/>
      <c r="C105" s="725"/>
      <c r="D105" s="726"/>
      <c r="E105" s="727" t="s">
        <v>311</v>
      </c>
      <c r="F105" s="777">
        <v>39412</v>
      </c>
      <c r="G105" s="777"/>
      <c r="H105" s="777"/>
      <c r="I105" s="777"/>
      <c r="J105" s="777"/>
      <c r="K105" s="777"/>
      <c r="L105" s="777"/>
      <c r="M105" s="777">
        <v>173717</v>
      </c>
      <c r="N105" s="778"/>
      <c r="O105" s="779">
        <f t="shared" ref="O105:O108" si="20">SUM(F105:M105)</f>
        <v>213129</v>
      </c>
    </row>
    <row r="106" spans="1:16" s="285" customFormat="1" ht="18" customHeight="1" x14ac:dyDescent="0.3">
      <c r="A106" s="42">
        <v>96</v>
      </c>
      <c r="B106" s="724"/>
      <c r="C106" s="725"/>
      <c r="D106" s="726"/>
      <c r="E106" s="732" t="s">
        <v>1064</v>
      </c>
      <c r="F106" s="781">
        <v>23539</v>
      </c>
      <c r="G106" s="781"/>
      <c r="H106" s="781"/>
      <c r="I106" s="781"/>
      <c r="J106" s="781"/>
      <c r="K106" s="781"/>
      <c r="L106" s="781">
        <v>39054</v>
      </c>
      <c r="M106" s="781">
        <v>181349</v>
      </c>
      <c r="N106" s="782">
        <v>2753</v>
      </c>
      <c r="O106" s="723">
        <f t="shared" si="20"/>
        <v>243942</v>
      </c>
    </row>
    <row r="107" spans="1:16" s="285" customFormat="1" ht="18" customHeight="1" x14ac:dyDescent="0.3">
      <c r="A107" s="42">
        <v>97</v>
      </c>
      <c r="B107" s="735"/>
      <c r="C107" s="736"/>
      <c r="D107" s="737"/>
      <c r="E107" s="738" t="s">
        <v>1127</v>
      </c>
      <c r="F107" s="722"/>
      <c r="G107" s="722"/>
      <c r="H107" s="722"/>
      <c r="I107" s="722"/>
      <c r="J107" s="722"/>
      <c r="K107" s="722"/>
      <c r="L107" s="722"/>
      <c r="M107" s="722">
        <v>1696</v>
      </c>
      <c r="N107" s="722">
        <v>1696</v>
      </c>
      <c r="O107" s="739">
        <f t="shared" si="20"/>
        <v>1696</v>
      </c>
    </row>
    <row r="108" spans="1:16" s="111" customFormat="1" ht="18" customHeight="1" x14ac:dyDescent="0.3">
      <c r="A108" s="42">
        <v>98</v>
      </c>
      <c r="B108" s="740"/>
      <c r="C108" s="741"/>
      <c r="D108" s="731"/>
      <c r="E108" s="732" t="s">
        <v>1116</v>
      </c>
      <c r="F108" s="733">
        <f>SUM(F106:F107)</f>
        <v>23539</v>
      </c>
      <c r="G108" s="733"/>
      <c r="H108" s="733"/>
      <c r="I108" s="733"/>
      <c r="J108" s="733"/>
      <c r="K108" s="733"/>
      <c r="L108" s="733">
        <f>SUM(L106:L107)</f>
        <v>39054</v>
      </c>
      <c r="M108" s="733">
        <f>SUM(M106:M107)</f>
        <v>183045</v>
      </c>
      <c r="N108" s="734">
        <f>SUM(N105:N107)</f>
        <v>4449</v>
      </c>
      <c r="O108" s="723">
        <f t="shared" si="20"/>
        <v>245638</v>
      </c>
      <c r="P108" s="31"/>
    </row>
    <row r="109" spans="1:16" s="111" customFormat="1" ht="18" customHeight="1" x14ac:dyDescent="0.3">
      <c r="A109" s="42">
        <v>99</v>
      </c>
      <c r="B109" s="718"/>
      <c r="C109" s="719">
        <v>1</v>
      </c>
      <c r="D109" s="1889" t="s">
        <v>655</v>
      </c>
      <c r="E109" s="1889"/>
      <c r="F109" s="721"/>
      <c r="G109" s="721"/>
      <c r="H109" s="721"/>
      <c r="I109" s="721"/>
      <c r="J109" s="721"/>
      <c r="K109" s="721"/>
      <c r="L109" s="721"/>
      <c r="M109" s="721"/>
      <c r="N109" s="722"/>
      <c r="O109" s="723"/>
      <c r="P109" s="31"/>
    </row>
    <row r="110" spans="1:16" s="112" customFormat="1" ht="18" customHeight="1" x14ac:dyDescent="0.3">
      <c r="A110" s="42">
        <v>100</v>
      </c>
      <c r="B110" s="755"/>
      <c r="C110" s="756"/>
      <c r="D110" s="757"/>
      <c r="E110" s="758" t="s">
        <v>311</v>
      </c>
      <c r="F110" s="759"/>
      <c r="G110" s="759">
        <v>66905</v>
      </c>
      <c r="H110" s="759"/>
      <c r="I110" s="759"/>
      <c r="J110" s="759">
        <v>4050</v>
      </c>
      <c r="K110" s="759"/>
      <c r="L110" s="759">
        <v>18424</v>
      </c>
      <c r="M110" s="759"/>
      <c r="N110" s="760"/>
      <c r="O110" s="761">
        <f>SUM(F110:M110)</f>
        <v>89379</v>
      </c>
      <c r="P110" s="38"/>
    </row>
    <row r="111" spans="1:16" s="76" customFormat="1" ht="18" customHeight="1" x14ac:dyDescent="0.3">
      <c r="A111" s="42">
        <v>101</v>
      </c>
      <c r="B111" s="755"/>
      <c r="C111" s="756"/>
      <c r="D111" s="757"/>
      <c r="E111" s="732" t="s">
        <v>1064</v>
      </c>
      <c r="F111" s="759"/>
      <c r="G111" s="762">
        <v>66905</v>
      </c>
      <c r="H111" s="762"/>
      <c r="I111" s="762"/>
      <c r="J111" s="762">
        <v>4050</v>
      </c>
      <c r="K111" s="762"/>
      <c r="L111" s="762">
        <v>18424</v>
      </c>
      <c r="M111" s="762"/>
      <c r="N111" s="766"/>
      <c r="O111" s="723">
        <f>SUM(F111:M111)</f>
        <v>89379</v>
      </c>
    </row>
    <row r="112" spans="1:16" s="283" customFormat="1" ht="18" customHeight="1" x14ac:dyDescent="0.3">
      <c r="A112" s="42">
        <v>102</v>
      </c>
      <c r="B112" s="735"/>
      <c r="C112" s="736"/>
      <c r="D112" s="737"/>
      <c r="E112" s="738" t="s">
        <v>1012</v>
      </c>
      <c r="F112" s="722"/>
      <c r="G112" s="722"/>
      <c r="H112" s="722"/>
      <c r="I112" s="722"/>
      <c r="J112" s="722"/>
      <c r="K112" s="722"/>
      <c r="L112" s="722"/>
      <c r="M112" s="722"/>
      <c r="N112" s="722"/>
      <c r="O112" s="739">
        <f>SUM(F112:M112)</f>
        <v>0</v>
      </c>
      <c r="P112" s="282"/>
    </row>
    <row r="113" spans="1:16" s="283" customFormat="1" ht="18" customHeight="1" x14ac:dyDescent="0.3">
      <c r="A113" s="42">
        <v>103</v>
      </c>
      <c r="B113" s="740"/>
      <c r="C113" s="741"/>
      <c r="D113" s="731"/>
      <c r="E113" s="732" t="s">
        <v>1116</v>
      </c>
      <c r="F113" s="733"/>
      <c r="G113" s="733">
        <f>SUM(G111:G112)</f>
        <v>66905</v>
      </c>
      <c r="H113" s="733"/>
      <c r="I113" s="733"/>
      <c r="J113" s="733">
        <f>SUM(J111:J112)</f>
        <v>4050</v>
      </c>
      <c r="K113" s="733"/>
      <c r="L113" s="733">
        <f>SUM(L111:L112)</f>
        <v>18424</v>
      </c>
      <c r="M113" s="733"/>
      <c r="N113" s="734"/>
      <c r="O113" s="723">
        <f>SUM(F113:M113)</f>
        <v>89379</v>
      </c>
      <c r="P113" s="282"/>
    </row>
    <row r="114" spans="1:16" s="111" customFormat="1" ht="18" customHeight="1" x14ac:dyDescent="0.3">
      <c r="A114" s="42">
        <v>104</v>
      </c>
      <c r="B114" s="718">
        <v>11</v>
      </c>
      <c r="C114" s="719"/>
      <c r="D114" s="732" t="s">
        <v>528</v>
      </c>
      <c r="E114" s="732"/>
      <c r="F114" s="752"/>
      <c r="G114" s="752"/>
      <c r="H114" s="752"/>
      <c r="I114" s="752"/>
      <c r="J114" s="752"/>
      <c r="K114" s="752"/>
      <c r="L114" s="752"/>
      <c r="M114" s="752"/>
      <c r="N114" s="753"/>
      <c r="O114" s="754"/>
      <c r="P114" s="31"/>
    </row>
    <row r="115" spans="1:16" s="112" customFormat="1" ht="18" customHeight="1" x14ac:dyDescent="0.3">
      <c r="A115" s="42">
        <v>105</v>
      </c>
      <c r="B115" s="724"/>
      <c r="C115" s="725"/>
      <c r="D115" s="726"/>
      <c r="E115" s="727" t="s">
        <v>311</v>
      </c>
      <c r="F115" s="777">
        <v>9529</v>
      </c>
      <c r="G115" s="777">
        <v>400</v>
      </c>
      <c r="H115" s="777"/>
      <c r="I115" s="777"/>
      <c r="J115" s="777"/>
      <c r="K115" s="777"/>
      <c r="L115" s="777"/>
      <c r="M115" s="777">
        <v>115399</v>
      </c>
      <c r="N115" s="778"/>
      <c r="O115" s="779">
        <f t="shared" ref="O115:O120" si="21">SUM(F115:M115)</f>
        <v>125328</v>
      </c>
      <c r="P115" s="38"/>
    </row>
    <row r="116" spans="1:16" s="76" customFormat="1" ht="22.5" customHeight="1" x14ac:dyDescent="0.3">
      <c r="A116" s="42">
        <v>106</v>
      </c>
      <c r="B116" s="724"/>
      <c r="C116" s="725"/>
      <c r="D116" s="726"/>
      <c r="E116" s="732" t="s">
        <v>1064</v>
      </c>
      <c r="F116" s="781">
        <v>6527</v>
      </c>
      <c r="G116" s="781">
        <v>1700</v>
      </c>
      <c r="H116" s="781"/>
      <c r="I116" s="781"/>
      <c r="J116" s="781"/>
      <c r="K116" s="781"/>
      <c r="L116" s="781">
        <v>12321</v>
      </c>
      <c r="M116" s="781">
        <v>118002</v>
      </c>
      <c r="N116" s="782">
        <v>2603</v>
      </c>
      <c r="O116" s="723">
        <f t="shared" si="21"/>
        <v>138550</v>
      </c>
    </row>
    <row r="117" spans="1:16" s="285" customFormat="1" ht="18" customHeight="1" x14ac:dyDescent="0.3">
      <c r="A117" s="42">
        <v>107</v>
      </c>
      <c r="B117" s="735"/>
      <c r="C117" s="736"/>
      <c r="D117" s="737"/>
      <c r="E117" s="738" t="s">
        <v>1127</v>
      </c>
      <c r="F117" s="722"/>
      <c r="G117" s="722"/>
      <c r="H117" s="722"/>
      <c r="I117" s="722"/>
      <c r="J117" s="722"/>
      <c r="K117" s="722"/>
      <c r="L117" s="722"/>
      <c r="M117" s="722">
        <v>1496</v>
      </c>
      <c r="N117" s="722">
        <v>1496</v>
      </c>
      <c r="O117" s="739">
        <f t="shared" si="21"/>
        <v>1496</v>
      </c>
    </row>
    <row r="118" spans="1:16" s="285" customFormat="1" ht="18" customHeight="1" x14ac:dyDescent="0.3">
      <c r="A118" s="42">
        <v>108</v>
      </c>
      <c r="B118" s="735"/>
      <c r="C118" s="736"/>
      <c r="D118" s="737"/>
      <c r="E118" s="738" t="s">
        <v>1115</v>
      </c>
      <c r="F118" s="722"/>
      <c r="G118" s="722"/>
      <c r="H118" s="722"/>
      <c r="I118" s="722"/>
      <c r="J118" s="722"/>
      <c r="K118" s="722"/>
      <c r="L118" s="722"/>
      <c r="M118" s="722">
        <v>25</v>
      </c>
      <c r="N118" s="722">
        <v>25</v>
      </c>
      <c r="O118" s="739">
        <f t="shared" si="21"/>
        <v>25</v>
      </c>
    </row>
    <row r="119" spans="1:16" s="111" customFormat="1" ht="18" customHeight="1" x14ac:dyDescent="0.3">
      <c r="A119" s="42">
        <v>109</v>
      </c>
      <c r="B119" s="735"/>
      <c r="C119" s="736"/>
      <c r="D119" s="737"/>
      <c r="E119" s="738" t="s">
        <v>1128</v>
      </c>
      <c r="F119" s="722"/>
      <c r="G119" s="722">
        <v>3532</v>
      </c>
      <c r="H119" s="722">
        <v>200</v>
      </c>
      <c r="I119" s="722"/>
      <c r="J119" s="722"/>
      <c r="K119" s="722"/>
      <c r="L119" s="722"/>
      <c r="M119" s="722"/>
      <c r="N119" s="722"/>
      <c r="O119" s="739">
        <f t="shared" si="21"/>
        <v>3732</v>
      </c>
      <c r="P119" s="31"/>
    </row>
    <row r="120" spans="1:16" s="112" customFormat="1" ht="18" customHeight="1" x14ac:dyDescent="0.3">
      <c r="A120" s="42">
        <v>110</v>
      </c>
      <c r="B120" s="740"/>
      <c r="C120" s="741"/>
      <c r="D120" s="731"/>
      <c r="E120" s="732" t="s">
        <v>1116</v>
      </c>
      <c r="F120" s="733">
        <f>SUM(F116:F119)</f>
        <v>6527</v>
      </c>
      <c r="G120" s="733">
        <f>SUM(G116:G119)</f>
        <v>5232</v>
      </c>
      <c r="H120" s="733">
        <f>SUM(H116:H119)</f>
        <v>200</v>
      </c>
      <c r="I120" s="733"/>
      <c r="J120" s="733"/>
      <c r="K120" s="733"/>
      <c r="L120" s="733">
        <f t="shared" ref="L120:N120" si="22">SUM(L115:L119)</f>
        <v>12321</v>
      </c>
      <c r="M120" s="733">
        <f>SUM(M116:M119)</f>
        <v>119523</v>
      </c>
      <c r="N120" s="734">
        <f t="shared" si="22"/>
        <v>4124</v>
      </c>
      <c r="O120" s="723">
        <f t="shared" si="21"/>
        <v>143803</v>
      </c>
      <c r="P120" s="38"/>
    </row>
    <row r="121" spans="1:16" s="76" customFormat="1" ht="22.5" customHeight="1" x14ac:dyDescent="0.3">
      <c r="A121" s="42">
        <v>111</v>
      </c>
      <c r="B121" s="718">
        <v>12</v>
      </c>
      <c r="C121" s="719"/>
      <c r="D121" s="732" t="s">
        <v>25</v>
      </c>
      <c r="E121" s="792"/>
      <c r="F121" s="743"/>
      <c r="G121" s="743"/>
      <c r="H121" s="743"/>
      <c r="I121" s="743"/>
      <c r="J121" s="743"/>
      <c r="K121" s="743"/>
      <c r="L121" s="743"/>
      <c r="M121" s="743"/>
      <c r="N121" s="744"/>
      <c r="O121" s="745"/>
    </row>
    <row r="122" spans="1:16" s="285" customFormat="1" ht="18" customHeight="1" x14ac:dyDescent="0.3">
      <c r="A122" s="42">
        <v>112</v>
      </c>
      <c r="B122" s="724"/>
      <c r="C122" s="725"/>
      <c r="D122" s="726"/>
      <c r="E122" s="727" t="s">
        <v>311</v>
      </c>
      <c r="F122" s="777">
        <v>21200</v>
      </c>
      <c r="G122" s="777"/>
      <c r="H122" s="777"/>
      <c r="I122" s="777"/>
      <c r="J122" s="777"/>
      <c r="K122" s="777"/>
      <c r="L122" s="777"/>
      <c r="M122" s="777">
        <v>390704</v>
      </c>
      <c r="N122" s="778">
        <v>290848</v>
      </c>
      <c r="O122" s="779">
        <f t="shared" ref="O122:O128" si="23">SUM(F122:M122)</f>
        <v>411904</v>
      </c>
    </row>
    <row r="123" spans="1:16" s="285" customFormat="1" ht="18" customHeight="1" x14ac:dyDescent="0.3">
      <c r="A123" s="42">
        <v>113</v>
      </c>
      <c r="B123" s="724"/>
      <c r="C123" s="725"/>
      <c r="D123" s="726"/>
      <c r="E123" s="732" t="s">
        <v>1064</v>
      </c>
      <c r="F123" s="781">
        <v>14075</v>
      </c>
      <c r="G123" s="777"/>
      <c r="H123" s="777"/>
      <c r="I123" s="777"/>
      <c r="J123" s="777"/>
      <c r="K123" s="777"/>
      <c r="L123" s="781">
        <v>21523</v>
      </c>
      <c r="M123" s="781">
        <v>397170</v>
      </c>
      <c r="N123" s="782">
        <v>297314</v>
      </c>
      <c r="O123" s="723">
        <f t="shared" si="23"/>
        <v>432768</v>
      </c>
    </row>
    <row r="124" spans="1:16" s="111" customFormat="1" ht="18" customHeight="1" x14ac:dyDescent="0.3">
      <c r="A124" s="42">
        <v>114</v>
      </c>
      <c r="B124" s="735"/>
      <c r="C124" s="736"/>
      <c r="D124" s="737"/>
      <c r="E124" s="738" t="s">
        <v>1127</v>
      </c>
      <c r="F124" s="722"/>
      <c r="G124" s="722"/>
      <c r="H124" s="722"/>
      <c r="I124" s="722"/>
      <c r="J124" s="722"/>
      <c r="K124" s="722"/>
      <c r="L124" s="722"/>
      <c r="M124" s="722">
        <v>3884</v>
      </c>
      <c r="N124" s="722">
        <v>3884</v>
      </c>
      <c r="O124" s="739">
        <f t="shared" si="23"/>
        <v>3884</v>
      </c>
      <c r="P124" s="31"/>
    </row>
    <row r="125" spans="1:16" s="111" customFormat="1" ht="18" customHeight="1" x14ac:dyDescent="0.3">
      <c r="A125" s="42">
        <v>115</v>
      </c>
      <c r="B125" s="735"/>
      <c r="C125" s="736"/>
      <c r="D125" s="737"/>
      <c r="E125" s="738" t="s">
        <v>1115</v>
      </c>
      <c r="F125" s="722"/>
      <c r="G125" s="722"/>
      <c r="H125" s="722"/>
      <c r="I125" s="722"/>
      <c r="J125" s="722"/>
      <c r="K125" s="722"/>
      <c r="L125" s="722"/>
      <c r="M125" s="722">
        <v>80</v>
      </c>
      <c r="N125" s="722">
        <v>80</v>
      </c>
      <c r="O125" s="739">
        <f t="shared" si="23"/>
        <v>80</v>
      </c>
      <c r="P125" s="31"/>
    </row>
    <row r="126" spans="1:16" s="111" customFormat="1" ht="18" customHeight="1" x14ac:dyDescent="0.3">
      <c r="A126" s="42">
        <v>116</v>
      </c>
      <c r="B126" s="735"/>
      <c r="C126" s="736"/>
      <c r="D126" s="737"/>
      <c r="E126" s="738" t="s">
        <v>1129</v>
      </c>
      <c r="F126" s="722"/>
      <c r="G126" s="722"/>
      <c r="H126" s="722"/>
      <c r="I126" s="722"/>
      <c r="J126" s="722"/>
      <c r="K126" s="722"/>
      <c r="L126" s="722"/>
      <c r="M126" s="722">
        <v>1403</v>
      </c>
      <c r="N126" s="722">
        <v>1403</v>
      </c>
      <c r="O126" s="739">
        <f t="shared" si="23"/>
        <v>1403</v>
      </c>
      <c r="P126" s="31"/>
    </row>
    <row r="127" spans="1:16" s="111" customFormat="1" ht="18" customHeight="1" x14ac:dyDescent="0.3">
      <c r="A127" s="42">
        <v>117</v>
      </c>
      <c r="B127" s="735"/>
      <c r="C127" s="736"/>
      <c r="D127" s="737"/>
      <c r="E127" s="738" t="s">
        <v>1130</v>
      </c>
      <c r="F127" s="722">
        <v>3839</v>
      </c>
      <c r="G127" s="722">
        <v>650</v>
      </c>
      <c r="H127" s="722"/>
      <c r="I127" s="722"/>
      <c r="J127" s="722"/>
      <c r="K127" s="722"/>
      <c r="L127" s="722"/>
      <c r="M127" s="722"/>
      <c r="N127" s="722"/>
      <c r="O127" s="739">
        <f t="shared" si="23"/>
        <v>4489</v>
      </c>
      <c r="P127" s="31"/>
    </row>
    <row r="128" spans="1:16" s="112" customFormat="1" ht="18" customHeight="1" x14ac:dyDescent="0.3">
      <c r="A128" s="42">
        <v>118</v>
      </c>
      <c r="B128" s="740"/>
      <c r="C128" s="741"/>
      <c r="D128" s="731"/>
      <c r="E128" s="732" t="s">
        <v>1116</v>
      </c>
      <c r="F128" s="733">
        <f>SUM(F123:F127)</f>
        <v>17914</v>
      </c>
      <c r="G128" s="733">
        <f>SUM(G123:G127)</f>
        <v>650</v>
      </c>
      <c r="H128" s="733"/>
      <c r="I128" s="733"/>
      <c r="J128" s="733"/>
      <c r="K128" s="733"/>
      <c r="L128" s="733">
        <f>SUM(L123:L127)</f>
        <v>21523</v>
      </c>
      <c r="M128" s="733">
        <f t="shared" ref="M128:N128" si="24">SUM(M123:M127)</f>
        <v>402537</v>
      </c>
      <c r="N128" s="733">
        <f t="shared" si="24"/>
        <v>302681</v>
      </c>
      <c r="O128" s="723">
        <f t="shared" si="23"/>
        <v>442624</v>
      </c>
      <c r="P128" s="38"/>
    </row>
    <row r="129" spans="1:16" s="111" customFormat="1" ht="18" customHeight="1" x14ac:dyDescent="0.3">
      <c r="A129" s="42">
        <v>119</v>
      </c>
      <c r="B129" s="746"/>
      <c r="C129" s="719">
        <v>2</v>
      </c>
      <c r="D129" s="1889" t="s">
        <v>655</v>
      </c>
      <c r="E129" s="1889"/>
      <c r="F129" s="752"/>
      <c r="G129" s="752"/>
      <c r="H129" s="752"/>
      <c r="I129" s="752"/>
      <c r="J129" s="752"/>
      <c r="K129" s="752"/>
      <c r="L129" s="752"/>
      <c r="M129" s="752"/>
      <c r="N129" s="753"/>
      <c r="O129" s="754"/>
      <c r="P129" s="31"/>
    </row>
    <row r="130" spans="1:16" s="288" customFormat="1" ht="18" customHeight="1" x14ac:dyDescent="0.3">
      <c r="A130" s="42">
        <v>120</v>
      </c>
      <c r="B130" s="755"/>
      <c r="C130" s="725"/>
      <c r="D130" s="726"/>
      <c r="E130" s="793" t="s">
        <v>311</v>
      </c>
      <c r="F130" s="794"/>
      <c r="G130" s="794">
        <v>43191</v>
      </c>
      <c r="H130" s="794"/>
      <c r="I130" s="794"/>
      <c r="J130" s="794"/>
      <c r="K130" s="794"/>
      <c r="L130" s="794">
        <f>9983+2400</f>
        <v>12383</v>
      </c>
      <c r="M130" s="794"/>
      <c r="N130" s="795"/>
      <c r="O130" s="796">
        <f>SUM(F130:M130)</f>
        <v>55574</v>
      </c>
      <c r="P130" s="287"/>
    </row>
    <row r="131" spans="1:16" s="288" customFormat="1" ht="18" customHeight="1" x14ac:dyDescent="0.3">
      <c r="A131" s="42">
        <v>121</v>
      </c>
      <c r="B131" s="755"/>
      <c r="C131" s="725"/>
      <c r="D131" s="726"/>
      <c r="E131" s="732" t="s">
        <v>1064</v>
      </c>
      <c r="F131" s="794"/>
      <c r="G131" s="797">
        <v>43191</v>
      </c>
      <c r="H131" s="797"/>
      <c r="I131" s="797"/>
      <c r="J131" s="797"/>
      <c r="K131" s="797"/>
      <c r="L131" s="797">
        <v>12300</v>
      </c>
      <c r="M131" s="797"/>
      <c r="N131" s="798"/>
      <c r="O131" s="723">
        <f>SUM(F131:M131)</f>
        <v>55491</v>
      </c>
      <c r="P131" s="287"/>
    </row>
    <row r="132" spans="1:16" s="111" customFormat="1" ht="18" customHeight="1" x14ac:dyDescent="0.3">
      <c r="A132" s="42">
        <v>122</v>
      </c>
      <c r="B132" s="735"/>
      <c r="C132" s="736"/>
      <c r="D132" s="737"/>
      <c r="E132" s="738" t="s">
        <v>1012</v>
      </c>
      <c r="F132" s="722"/>
      <c r="G132" s="722"/>
      <c r="H132" s="722"/>
      <c r="I132" s="722"/>
      <c r="J132" s="722"/>
      <c r="K132" s="722"/>
      <c r="L132" s="722"/>
      <c r="M132" s="722"/>
      <c r="N132" s="722"/>
      <c r="O132" s="739">
        <f>SUM(F132:M132)</f>
        <v>0</v>
      </c>
      <c r="P132" s="31"/>
    </row>
    <row r="133" spans="1:16" s="112" customFormat="1" ht="18" customHeight="1" x14ac:dyDescent="0.3">
      <c r="A133" s="42">
        <v>123</v>
      </c>
      <c r="B133" s="740"/>
      <c r="C133" s="741"/>
      <c r="D133" s="731"/>
      <c r="E133" s="732" t="s">
        <v>1116</v>
      </c>
      <c r="F133" s="733"/>
      <c r="G133" s="733">
        <f>SUM(G131:G132)</f>
        <v>43191</v>
      </c>
      <c r="H133" s="733"/>
      <c r="I133" s="733"/>
      <c r="J133" s="733"/>
      <c r="K133" s="733"/>
      <c r="L133" s="733">
        <f>SUM(L131:L132)</f>
        <v>12300</v>
      </c>
      <c r="M133" s="733"/>
      <c r="N133" s="734"/>
      <c r="O133" s="723">
        <f>SUM(F133:M133)</f>
        <v>55491</v>
      </c>
      <c r="P133" s="38"/>
    </row>
    <row r="134" spans="1:16" s="111" customFormat="1" ht="29.25" customHeight="1" x14ac:dyDescent="0.3">
      <c r="A134" s="42">
        <v>124</v>
      </c>
      <c r="B134" s="718">
        <v>13</v>
      </c>
      <c r="C134" s="719"/>
      <c r="D134" s="732" t="s">
        <v>34</v>
      </c>
      <c r="E134" s="792"/>
      <c r="F134" s="743"/>
      <c r="G134" s="743"/>
      <c r="H134" s="743"/>
      <c r="I134" s="743"/>
      <c r="J134" s="743"/>
      <c r="K134" s="743"/>
      <c r="L134" s="743"/>
      <c r="M134" s="743"/>
      <c r="N134" s="744"/>
      <c r="O134" s="745"/>
      <c r="P134" s="31"/>
    </row>
    <row r="135" spans="1:16" s="288" customFormat="1" ht="18" customHeight="1" x14ac:dyDescent="0.3">
      <c r="A135" s="42">
        <v>125</v>
      </c>
      <c r="B135" s="724"/>
      <c r="C135" s="725"/>
      <c r="D135" s="726"/>
      <c r="E135" s="727" t="s">
        <v>311</v>
      </c>
      <c r="F135" s="777">
        <v>209389</v>
      </c>
      <c r="G135" s="777">
        <v>400</v>
      </c>
      <c r="H135" s="777"/>
      <c r="I135" s="777">
        <v>3000</v>
      </c>
      <c r="J135" s="777"/>
      <c r="K135" s="777"/>
      <c r="L135" s="777">
        <v>1200</v>
      </c>
      <c r="M135" s="777">
        <v>192730</v>
      </c>
      <c r="N135" s="778">
        <v>120660</v>
      </c>
      <c r="O135" s="779">
        <f t="shared" ref="O135:O139" si="25">SUM(F135:M135)</f>
        <v>406719</v>
      </c>
      <c r="P135" s="287"/>
    </row>
    <row r="136" spans="1:16" s="288" customFormat="1" ht="18" customHeight="1" x14ac:dyDescent="0.3">
      <c r="A136" s="42">
        <v>126</v>
      </c>
      <c r="B136" s="724"/>
      <c r="C136" s="725"/>
      <c r="D136" s="726"/>
      <c r="E136" s="732" t="s">
        <v>1064</v>
      </c>
      <c r="F136" s="781">
        <v>209389</v>
      </c>
      <c r="G136" s="781">
        <v>400</v>
      </c>
      <c r="H136" s="781"/>
      <c r="I136" s="781">
        <v>3000</v>
      </c>
      <c r="J136" s="781"/>
      <c r="K136" s="781"/>
      <c r="L136" s="781">
        <v>36876</v>
      </c>
      <c r="M136" s="781">
        <v>198663</v>
      </c>
      <c r="N136" s="782">
        <v>126593</v>
      </c>
      <c r="O136" s="723">
        <f t="shared" si="25"/>
        <v>448328</v>
      </c>
      <c r="P136" s="287"/>
    </row>
    <row r="137" spans="1:16" s="111" customFormat="1" ht="18" customHeight="1" x14ac:dyDescent="0.3">
      <c r="A137" s="42">
        <v>127</v>
      </c>
      <c r="B137" s="735"/>
      <c r="C137" s="736"/>
      <c r="D137" s="737"/>
      <c r="E137" s="738" t="s">
        <v>1127</v>
      </c>
      <c r="F137" s="722"/>
      <c r="G137" s="722"/>
      <c r="H137" s="722"/>
      <c r="I137" s="722"/>
      <c r="J137" s="722"/>
      <c r="K137" s="722"/>
      <c r="L137" s="722"/>
      <c r="M137" s="722">
        <v>3438</v>
      </c>
      <c r="N137" s="722">
        <v>3438</v>
      </c>
      <c r="O137" s="739">
        <f t="shared" si="25"/>
        <v>3438</v>
      </c>
      <c r="P137" s="31"/>
    </row>
    <row r="138" spans="1:16" s="112" customFormat="1" ht="18" customHeight="1" x14ac:dyDescent="0.3">
      <c r="A138" s="42">
        <v>128</v>
      </c>
      <c r="B138" s="735"/>
      <c r="C138" s="736"/>
      <c r="D138" s="737"/>
      <c r="E138" s="738" t="s">
        <v>1131</v>
      </c>
      <c r="F138" s="722"/>
      <c r="G138" s="722">
        <v>1200</v>
      </c>
      <c r="H138" s="722"/>
      <c r="I138" s="722">
        <v>200</v>
      </c>
      <c r="J138" s="722"/>
      <c r="K138" s="722"/>
      <c r="L138" s="722"/>
      <c r="M138" s="722"/>
      <c r="N138" s="722"/>
      <c r="O138" s="739">
        <f t="shared" si="25"/>
        <v>1400</v>
      </c>
      <c r="P138" s="38"/>
    </row>
    <row r="139" spans="1:16" s="77" customFormat="1" ht="22.5" customHeight="1" x14ac:dyDescent="0.3">
      <c r="A139" s="42">
        <v>129</v>
      </c>
      <c r="B139" s="740"/>
      <c r="C139" s="741"/>
      <c r="D139" s="731"/>
      <c r="E139" s="732" t="s">
        <v>1116</v>
      </c>
      <c r="F139" s="733">
        <f>SUM(F136:F138)</f>
        <v>209389</v>
      </c>
      <c r="G139" s="733">
        <f t="shared" ref="G139:I139" si="26">SUM(G136:G138)</f>
        <v>1600</v>
      </c>
      <c r="H139" s="733"/>
      <c r="I139" s="733">
        <f t="shared" si="26"/>
        <v>3200</v>
      </c>
      <c r="J139" s="733"/>
      <c r="K139" s="733"/>
      <c r="L139" s="733">
        <f>SUM(L136:L138)</f>
        <v>36876</v>
      </c>
      <c r="M139" s="733">
        <f t="shared" ref="M139:N139" si="27">SUM(M136:M138)</f>
        <v>202101</v>
      </c>
      <c r="N139" s="733">
        <f t="shared" si="27"/>
        <v>130031</v>
      </c>
      <c r="O139" s="723">
        <f t="shared" si="25"/>
        <v>453166</v>
      </c>
    </row>
    <row r="140" spans="1:16" s="284" customFormat="1" ht="18" customHeight="1" x14ac:dyDescent="0.3">
      <c r="A140" s="42">
        <v>130</v>
      </c>
      <c r="B140" s="718">
        <v>14</v>
      </c>
      <c r="C140" s="719"/>
      <c r="D140" s="732" t="s">
        <v>529</v>
      </c>
      <c r="E140" s="732"/>
      <c r="F140" s="743"/>
      <c r="G140" s="743"/>
      <c r="H140" s="743"/>
      <c r="I140" s="743"/>
      <c r="J140" s="743"/>
      <c r="K140" s="743"/>
      <c r="L140" s="743"/>
      <c r="M140" s="743"/>
      <c r="N140" s="744"/>
      <c r="O140" s="745"/>
    </row>
    <row r="141" spans="1:16" s="284" customFormat="1" ht="18" customHeight="1" x14ac:dyDescent="0.3">
      <c r="A141" s="42">
        <v>131</v>
      </c>
      <c r="B141" s="724"/>
      <c r="C141" s="725"/>
      <c r="D141" s="726"/>
      <c r="E141" s="727" t="s">
        <v>311</v>
      </c>
      <c r="F141" s="777">
        <v>30270</v>
      </c>
      <c r="G141" s="777">
        <v>9000</v>
      </c>
      <c r="H141" s="777"/>
      <c r="I141" s="777"/>
      <c r="J141" s="777"/>
      <c r="K141" s="777"/>
      <c r="L141" s="777"/>
      <c r="M141" s="777">
        <v>90292</v>
      </c>
      <c r="N141" s="778">
        <v>49700</v>
      </c>
      <c r="O141" s="779">
        <f>SUM(F141:M141)</f>
        <v>129562</v>
      </c>
    </row>
    <row r="142" spans="1:16" s="111" customFormat="1" ht="18" customHeight="1" x14ac:dyDescent="0.3">
      <c r="A142" s="42">
        <v>132</v>
      </c>
      <c r="B142" s="724"/>
      <c r="C142" s="725"/>
      <c r="D142" s="726"/>
      <c r="E142" s="732" t="s">
        <v>1064</v>
      </c>
      <c r="F142" s="781">
        <v>22964</v>
      </c>
      <c r="G142" s="781">
        <v>10000</v>
      </c>
      <c r="H142" s="781">
        <v>1306</v>
      </c>
      <c r="I142" s="781"/>
      <c r="J142" s="781"/>
      <c r="K142" s="781"/>
      <c r="L142" s="781">
        <v>5245</v>
      </c>
      <c r="M142" s="781">
        <v>104368</v>
      </c>
      <c r="N142" s="782">
        <v>63776</v>
      </c>
      <c r="O142" s="723">
        <f>SUM(F142:M142)</f>
        <v>143883</v>
      </c>
      <c r="P142" s="31"/>
    </row>
    <row r="143" spans="1:16" s="111" customFormat="1" ht="18" customHeight="1" x14ac:dyDescent="0.3">
      <c r="A143" s="42">
        <v>133</v>
      </c>
      <c r="B143" s="735"/>
      <c r="C143" s="736"/>
      <c r="D143" s="737"/>
      <c r="E143" s="738" t="s">
        <v>1127</v>
      </c>
      <c r="F143" s="722"/>
      <c r="G143" s="722"/>
      <c r="H143" s="722"/>
      <c r="I143" s="722"/>
      <c r="J143" s="722"/>
      <c r="K143" s="722"/>
      <c r="L143" s="722"/>
      <c r="M143" s="722">
        <v>1305</v>
      </c>
      <c r="N143" s="722">
        <v>1305</v>
      </c>
      <c r="O143" s="739">
        <f>SUM(F143:M143)</f>
        <v>1305</v>
      </c>
      <c r="P143" s="31"/>
    </row>
    <row r="144" spans="1:16" s="111" customFormat="1" ht="18" customHeight="1" x14ac:dyDescent="0.3">
      <c r="A144" s="42">
        <v>134</v>
      </c>
      <c r="B144" s="735"/>
      <c r="C144" s="736"/>
      <c r="D144" s="737"/>
      <c r="E144" s="738" t="s">
        <v>1132</v>
      </c>
      <c r="F144" s="722">
        <v>-7550</v>
      </c>
      <c r="G144" s="722">
        <v>7465</v>
      </c>
      <c r="H144" s="722"/>
      <c r="I144" s="722"/>
      <c r="J144" s="722">
        <v>85</v>
      </c>
      <c r="K144" s="722"/>
      <c r="L144" s="722"/>
      <c r="M144" s="722"/>
      <c r="N144" s="722"/>
      <c r="O144" s="739">
        <f>SUM(F144:M144)</f>
        <v>0</v>
      </c>
      <c r="P144" s="31"/>
    </row>
    <row r="145" spans="1:16" s="111" customFormat="1" ht="18" customHeight="1" x14ac:dyDescent="0.3">
      <c r="A145" s="42">
        <v>135</v>
      </c>
      <c r="B145" s="740"/>
      <c r="C145" s="741"/>
      <c r="D145" s="731"/>
      <c r="E145" s="732" t="s">
        <v>1116</v>
      </c>
      <c r="F145" s="733">
        <f>SUM(F142:F144)</f>
        <v>15414</v>
      </c>
      <c r="G145" s="733">
        <f>SUM(G142:G144)</f>
        <v>17465</v>
      </c>
      <c r="H145" s="733">
        <f>SUM(H142:H144)</f>
        <v>1306</v>
      </c>
      <c r="I145" s="733"/>
      <c r="J145" s="733">
        <f>SUM(J142:J144)</f>
        <v>85</v>
      </c>
      <c r="K145" s="733"/>
      <c r="L145" s="733">
        <f>SUM(L142:L144)</f>
        <v>5245</v>
      </c>
      <c r="M145" s="733">
        <f>SUM(M142:M144)</f>
        <v>105673</v>
      </c>
      <c r="N145" s="733">
        <f>SUM(N142:N144)</f>
        <v>65081</v>
      </c>
      <c r="O145" s="723">
        <f>SUM(F145:M145)</f>
        <v>145188</v>
      </c>
      <c r="P145" s="31"/>
    </row>
    <row r="146" spans="1:16" s="112" customFormat="1" ht="18" customHeight="1" x14ac:dyDescent="0.3">
      <c r="A146" s="42">
        <v>136</v>
      </c>
      <c r="B146" s="751"/>
      <c r="C146" s="719">
        <v>1</v>
      </c>
      <c r="D146" s="1889" t="s">
        <v>152</v>
      </c>
      <c r="E146" s="1889"/>
      <c r="F146" s="721"/>
      <c r="G146" s="721"/>
      <c r="H146" s="721"/>
      <c r="I146" s="721"/>
      <c r="J146" s="721"/>
      <c r="K146" s="721"/>
      <c r="L146" s="721"/>
      <c r="M146" s="721"/>
      <c r="N146" s="722"/>
      <c r="O146" s="723"/>
      <c r="P146" s="38"/>
    </row>
    <row r="147" spans="1:16" s="77" customFormat="1" ht="22.5" customHeight="1" x14ac:dyDescent="0.3">
      <c r="A147" s="42">
        <v>137</v>
      </c>
      <c r="B147" s="755"/>
      <c r="C147" s="725"/>
      <c r="D147" s="726"/>
      <c r="E147" s="793" t="s">
        <v>311</v>
      </c>
      <c r="F147" s="728"/>
      <c r="G147" s="728">
        <v>2455</v>
      </c>
      <c r="H147" s="728"/>
      <c r="I147" s="728"/>
      <c r="J147" s="728"/>
      <c r="K147" s="728"/>
      <c r="L147" s="728"/>
      <c r="M147" s="728"/>
      <c r="N147" s="729"/>
      <c r="O147" s="796">
        <f>SUM(F147:M147)</f>
        <v>2455</v>
      </c>
    </row>
    <row r="148" spans="1:16" s="284" customFormat="1" ht="18" customHeight="1" x14ac:dyDescent="0.3">
      <c r="A148" s="42">
        <v>138</v>
      </c>
      <c r="B148" s="755"/>
      <c r="C148" s="725"/>
      <c r="D148" s="726"/>
      <c r="E148" s="732" t="s">
        <v>1064</v>
      </c>
      <c r="F148" s="728"/>
      <c r="G148" s="733">
        <v>1064</v>
      </c>
      <c r="H148" s="728"/>
      <c r="I148" s="728"/>
      <c r="J148" s="728"/>
      <c r="K148" s="728"/>
      <c r="L148" s="728"/>
      <c r="M148" s="728"/>
      <c r="N148" s="729"/>
      <c r="O148" s="723">
        <f>SUM(F148:M148)</f>
        <v>1064</v>
      </c>
    </row>
    <row r="149" spans="1:16" s="284" customFormat="1" ht="18" customHeight="1" x14ac:dyDescent="0.3">
      <c r="A149" s="42">
        <v>139</v>
      </c>
      <c r="B149" s="735"/>
      <c r="C149" s="736"/>
      <c r="D149" s="737"/>
      <c r="E149" s="738" t="s">
        <v>1012</v>
      </c>
      <c r="F149" s="722"/>
      <c r="G149" s="722"/>
      <c r="H149" s="722"/>
      <c r="I149" s="722"/>
      <c r="J149" s="722"/>
      <c r="K149" s="722"/>
      <c r="L149" s="722"/>
      <c r="M149" s="722"/>
      <c r="N149" s="722"/>
      <c r="O149" s="739">
        <f>SUM(F149:M149)</f>
        <v>0</v>
      </c>
    </row>
    <row r="150" spans="1:16" s="111" customFormat="1" ht="18" customHeight="1" x14ac:dyDescent="0.3">
      <c r="A150" s="42">
        <v>140</v>
      </c>
      <c r="B150" s="740"/>
      <c r="C150" s="741"/>
      <c r="D150" s="731"/>
      <c r="E150" s="732" t="s">
        <v>1116</v>
      </c>
      <c r="F150" s="733"/>
      <c r="G150" s="733">
        <f>SUM(G148:G149)</f>
        <v>1064</v>
      </c>
      <c r="H150" s="733"/>
      <c r="I150" s="733"/>
      <c r="J150" s="733"/>
      <c r="K150" s="733"/>
      <c r="L150" s="733"/>
      <c r="M150" s="733"/>
      <c r="N150" s="734"/>
      <c r="O150" s="723">
        <f>SUM(F150:M150)</f>
        <v>1064</v>
      </c>
      <c r="P150" s="31"/>
    </row>
    <row r="151" spans="1:16" s="112" customFormat="1" ht="18" customHeight="1" x14ac:dyDescent="0.3">
      <c r="A151" s="42">
        <v>141</v>
      </c>
      <c r="B151" s="751"/>
      <c r="C151" s="799">
        <v>2</v>
      </c>
      <c r="D151" s="1977" t="s">
        <v>532</v>
      </c>
      <c r="E151" s="1978"/>
      <c r="F151" s="721"/>
      <c r="G151" s="721"/>
      <c r="H151" s="721"/>
      <c r="I151" s="721"/>
      <c r="J151" s="721"/>
      <c r="K151" s="721"/>
      <c r="L151" s="721"/>
      <c r="M151" s="721"/>
      <c r="N151" s="722"/>
      <c r="O151" s="723"/>
      <c r="P151" s="38"/>
    </row>
    <row r="152" spans="1:16" ht="22.5" customHeight="1" x14ac:dyDescent="0.3">
      <c r="A152" s="42">
        <v>142</v>
      </c>
      <c r="B152" s="755"/>
      <c r="C152" s="725"/>
      <c r="D152" s="726"/>
      <c r="E152" s="793" t="s">
        <v>311</v>
      </c>
      <c r="F152" s="728"/>
      <c r="G152" s="728"/>
      <c r="H152" s="728"/>
      <c r="I152" s="728"/>
      <c r="J152" s="728"/>
      <c r="K152" s="728"/>
      <c r="L152" s="728">
        <v>5725</v>
      </c>
      <c r="M152" s="728"/>
      <c r="N152" s="729"/>
      <c r="O152" s="796">
        <f>SUM(F152:M152)</f>
        <v>5725</v>
      </c>
      <c r="P152" s="30"/>
    </row>
    <row r="153" spans="1:16" s="288" customFormat="1" ht="18" customHeight="1" x14ac:dyDescent="0.3">
      <c r="A153" s="42">
        <v>143</v>
      </c>
      <c r="B153" s="755"/>
      <c r="C153" s="725"/>
      <c r="D153" s="726"/>
      <c r="E153" s="732" t="s">
        <v>1064</v>
      </c>
      <c r="F153" s="733">
        <v>228</v>
      </c>
      <c r="G153" s="733"/>
      <c r="H153" s="733"/>
      <c r="I153" s="733"/>
      <c r="J153" s="733"/>
      <c r="K153" s="733"/>
      <c r="L153" s="733">
        <v>5124</v>
      </c>
      <c r="M153" s="733"/>
      <c r="N153" s="734"/>
      <c r="O153" s="723">
        <f>SUM(F153:M153)</f>
        <v>5352</v>
      </c>
      <c r="P153" s="287"/>
    </row>
    <row r="154" spans="1:16" s="288" customFormat="1" ht="18" customHeight="1" x14ac:dyDescent="0.3">
      <c r="A154" s="42">
        <v>144</v>
      </c>
      <c r="B154" s="735"/>
      <c r="C154" s="736"/>
      <c r="D154" s="737"/>
      <c r="E154" s="738" t="s">
        <v>999</v>
      </c>
      <c r="F154" s="722"/>
      <c r="G154" s="722"/>
      <c r="H154" s="722"/>
      <c r="I154" s="722"/>
      <c r="J154" s="722"/>
      <c r="K154" s="722"/>
      <c r="L154" s="722"/>
      <c r="M154" s="722"/>
      <c r="N154" s="722"/>
      <c r="O154" s="739">
        <f>SUM(F154:M154)</f>
        <v>0</v>
      </c>
      <c r="P154" s="287"/>
    </row>
    <row r="155" spans="1:16" s="111" customFormat="1" ht="18" customHeight="1" x14ac:dyDescent="0.3">
      <c r="A155" s="42">
        <v>145</v>
      </c>
      <c r="B155" s="740"/>
      <c r="C155" s="741"/>
      <c r="D155" s="731"/>
      <c r="E155" s="732" t="s">
        <v>1116</v>
      </c>
      <c r="F155" s="733">
        <f t="shared" ref="F155" si="28">SUM(F152:F154)</f>
        <v>228</v>
      </c>
      <c r="G155" s="733"/>
      <c r="H155" s="733"/>
      <c r="I155" s="733"/>
      <c r="J155" s="733"/>
      <c r="K155" s="733"/>
      <c r="L155" s="733">
        <f>SUM(L153:L154)</f>
        <v>5124</v>
      </c>
      <c r="M155" s="733"/>
      <c r="N155" s="734"/>
      <c r="O155" s="723">
        <f>SUM(F155:M155)</f>
        <v>5352</v>
      </c>
      <c r="P155" s="31"/>
    </row>
    <row r="156" spans="1:16" s="112" customFormat="1" ht="18" customHeight="1" x14ac:dyDescent="0.3">
      <c r="A156" s="42">
        <v>146</v>
      </c>
      <c r="B156" s="718">
        <v>15</v>
      </c>
      <c r="C156" s="719"/>
      <c r="D156" s="732" t="s">
        <v>157</v>
      </c>
      <c r="E156" s="792"/>
      <c r="F156" s="743"/>
      <c r="G156" s="743"/>
      <c r="H156" s="743"/>
      <c r="I156" s="743"/>
      <c r="J156" s="743"/>
      <c r="K156" s="743"/>
      <c r="L156" s="743"/>
      <c r="M156" s="743"/>
      <c r="N156" s="744"/>
      <c r="O156" s="745"/>
      <c r="P156" s="38"/>
    </row>
    <row r="157" spans="1:16" s="111" customFormat="1" ht="23.25" customHeight="1" x14ac:dyDescent="0.3">
      <c r="A157" s="42">
        <v>147</v>
      </c>
      <c r="B157" s="724"/>
      <c r="C157" s="756"/>
      <c r="D157" s="757"/>
      <c r="E157" s="783" t="s">
        <v>311</v>
      </c>
      <c r="F157" s="784">
        <v>205000</v>
      </c>
      <c r="G157" s="784">
        <v>110000</v>
      </c>
      <c r="H157" s="784"/>
      <c r="I157" s="784"/>
      <c r="J157" s="784"/>
      <c r="K157" s="784"/>
      <c r="L157" s="784">
        <v>2000</v>
      </c>
      <c r="M157" s="784">
        <v>425553</v>
      </c>
      <c r="N157" s="785">
        <v>259100</v>
      </c>
      <c r="O157" s="786">
        <f t="shared" ref="O157:O160" si="29">SUM(F157:M157)</f>
        <v>742553</v>
      </c>
      <c r="P157" s="31"/>
    </row>
    <row r="158" spans="1:16" s="288" customFormat="1" ht="18" customHeight="1" x14ac:dyDescent="0.3">
      <c r="A158" s="42">
        <v>148</v>
      </c>
      <c r="B158" s="724"/>
      <c r="C158" s="756"/>
      <c r="D158" s="757"/>
      <c r="E158" s="732" t="s">
        <v>1064</v>
      </c>
      <c r="F158" s="787">
        <v>139433</v>
      </c>
      <c r="G158" s="787">
        <v>47395</v>
      </c>
      <c r="H158" s="787"/>
      <c r="I158" s="787"/>
      <c r="J158" s="787"/>
      <c r="K158" s="787"/>
      <c r="L158" s="787">
        <v>206939</v>
      </c>
      <c r="M158" s="787">
        <v>530749</v>
      </c>
      <c r="N158" s="788">
        <v>363338</v>
      </c>
      <c r="O158" s="723">
        <f t="shared" si="29"/>
        <v>924516</v>
      </c>
      <c r="P158" s="287"/>
    </row>
    <row r="159" spans="1:16" s="288" customFormat="1" ht="18" customHeight="1" x14ac:dyDescent="0.3">
      <c r="A159" s="42">
        <v>149</v>
      </c>
      <c r="B159" s="735"/>
      <c r="C159" s="736"/>
      <c r="D159" s="737"/>
      <c r="E159" s="738" t="s">
        <v>1127</v>
      </c>
      <c r="F159" s="722"/>
      <c r="G159" s="722"/>
      <c r="H159" s="722"/>
      <c r="I159" s="722"/>
      <c r="J159" s="722"/>
      <c r="K159" s="722"/>
      <c r="L159" s="722"/>
      <c r="M159" s="722">
        <v>4672</v>
      </c>
      <c r="N159" s="722">
        <v>4672</v>
      </c>
      <c r="O159" s="739">
        <f t="shared" si="29"/>
        <v>4672</v>
      </c>
      <c r="P159" s="287"/>
    </row>
    <row r="160" spans="1:16" s="111" customFormat="1" ht="18" customHeight="1" thickBot="1" x14ac:dyDescent="0.35">
      <c r="A160" s="42">
        <v>150</v>
      </c>
      <c r="B160" s="740"/>
      <c r="C160" s="741"/>
      <c r="D160" s="731"/>
      <c r="E160" s="732" t="s">
        <v>1116</v>
      </c>
      <c r="F160" s="733">
        <f>SUM(F158:F159)</f>
        <v>139433</v>
      </c>
      <c r="G160" s="733">
        <f>SUM(G158:G159)</f>
        <v>47395</v>
      </c>
      <c r="H160" s="733"/>
      <c r="I160" s="733"/>
      <c r="J160" s="733"/>
      <c r="K160" s="733"/>
      <c r="L160" s="733">
        <f>SUM(L158:L159)</f>
        <v>206939</v>
      </c>
      <c r="M160" s="733">
        <f>SUM(M158:M159)</f>
        <v>535421</v>
      </c>
      <c r="N160" s="733">
        <f>SUM(N158:N159)</f>
        <v>368010</v>
      </c>
      <c r="O160" s="723">
        <f t="shared" si="29"/>
        <v>929188</v>
      </c>
      <c r="P160" s="31"/>
    </row>
    <row r="161" spans="1:16" s="112" customFormat="1" ht="18" customHeight="1" thickTop="1" x14ac:dyDescent="0.2">
      <c r="A161" s="42">
        <v>151</v>
      </c>
      <c r="B161" s="746"/>
      <c r="C161" s="1974" t="s">
        <v>667</v>
      </c>
      <c r="D161" s="1975"/>
      <c r="E161" s="1976"/>
      <c r="F161" s="763"/>
      <c r="G161" s="763"/>
      <c r="H161" s="763"/>
      <c r="I161" s="763"/>
      <c r="J161" s="763"/>
      <c r="K161" s="763"/>
      <c r="L161" s="763"/>
      <c r="M161" s="763"/>
      <c r="N161" s="763"/>
      <c r="O161" s="765"/>
      <c r="P161" s="38"/>
    </row>
    <row r="162" spans="1:16" ht="22.5" customHeight="1" x14ac:dyDescent="0.3">
      <c r="A162" s="42">
        <v>152</v>
      </c>
      <c r="B162" s="724"/>
      <c r="C162" s="756"/>
      <c r="D162" s="757"/>
      <c r="E162" s="783" t="s">
        <v>311</v>
      </c>
      <c r="F162" s="784">
        <f t="shared" ref="F162:N163" si="30">SUM(F105,F110,F115,F122,F130,F135,F141,F147,F152,F157)</f>
        <v>514800</v>
      </c>
      <c r="G162" s="784">
        <f t="shared" si="30"/>
        <v>232351</v>
      </c>
      <c r="H162" s="784">
        <f t="shared" si="30"/>
        <v>0</v>
      </c>
      <c r="I162" s="784">
        <f t="shared" si="30"/>
        <v>3000</v>
      </c>
      <c r="J162" s="784">
        <f t="shared" si="30"/>
        <v>4050</v>
      </c>
      <c r="K162" s="784">
        <f t="shared" si="30"/>
        <v>0</v>
      </c>
      <c r="L162" s="784">
        <f t="shared" si="30"/>
        <v>39732</v>
      </c>
      <c r="M162" s="784">
        <f t="shared" si="30"/>
        <v>1388395</v>
      </c>
      <c r="N162" s="785">
        <f t="shared" si="30"/>
        <v>720308</v>
      </c>
      <c r="O162" s="786">
        <f>SUM(F162:M162)</f>
        <v>2182328</v>
      </c>
      <c r="P162" s="30"/>
    </row>
    <row r="163" spans="1:16" s="288" customFormat="1" ht="18" customHeight="1" x14ac:dyDescent="0.3">
      <c r="A163" s="42">
        <v>153</v>
      </c>
      <c r="B163" s="724"/>
      <c r="C163" s="756"/>
      <c r="D163" s="757"/>
      <c r="E163" s="732" t="s">
        <v>1064</v>
      </c>
      <c r="F163" s="787">
        <f t="shared" si="30"/>
        <v>416155</v>
      </c>
      <c r="G163" s="787">
        <f t="shared" si="30"/>
        <v>170655</v>
      </c>
      <c r="H163" s="787">
        <f t="shared" si="30"/>
        <v>1306</v>
      </c>
      <c r="I163" s="787">
        <f t="shared" si="30"/>
        <v>3000</v>
      </c>
      <c r="J163" s="787">
        <f t="shared" si="30"/>
        <v>4050</v>
      </c>
      <c r="K163" s="787">
        <f t="shared" si="30"/>
        <v>0</v>
      </c>
      <c r="L163" s="787">
        <f t="shared" si="30"/>
        <v>357806</v>
      </c>
      <c r="M163" s="787">
        <f t="shared" si="30"/>
        <v>1530301</v>
      </c>
      <c r="N163" s="788">
        <f t="shared" si="30"/>
        <v>856377</v>
      </c>
      <c r="O163" s="790">
        <f>SUM(F163:M163)</f>
        <v>2483273</v>
      </c>
      <c r="P163" s="287"/>
    </row>
    <row r="164" spans="1:16" s="288" customFormat="1" ht="18" customHeight="1" x14ac:dyDescent="0.3">
      <c r="A164" s="42">
        <v>154</v>
      </c>
      <c r="B164" s="735"/>
      <c r="C164" s="736"/>
      <c r="D164" s="737"/>
      <c r="E164" s="738" t="s">
        <v>999</v>
      </c>
      <c r="F164" s="722">
        <f>SUM(F107:F107,F112:F112,F117:F119,F124:F127,F132:F132,F137:F138,F143:F144,F149:F149,F154:F154,F159:F159,)</f>
        <v>-3711</v>
      </c>
      <c r="G164" s="722">
        <f t="shared" ref="G164:N164" si="31">SUM(G107:G107,G112:G112,G117:G119,G124:G127,G132:G132,G137:G138,G143:G144,G149:G149,G154:G154,G159:G159,)</f>
        <v>12847</v>
      </c>
      <c r="H164" s="722">
        <f t="shared" si="31"/>
        <v>200</v>
      </c>
      <c r="I164" s="722">
        <f t="shared" si="31"/>
        <v>200</v>
      </c>
      <c r="J164" s="722">
        <f t="shared" si="31"/>
        <v>85</v>
      </c>
      <c r="K164" s="722">
        <f t="shared" si="31"/>
        <v>0</v>
      </c>
      <c r="L164" s="722">
        <f t="shared" si="31"/>
        <v>0</v>
      </c>
      <c r="M164" s="722">
        <f t="shared" si="31"/>
        <v>17999</v>
      </c>
      <c r="N164" s="722">
        <f t="shared" si="31"/>
        <v>17999</v>
      </c>
      <c r="O164" s="739">
        <f>SUM(F164:M164)</f>
        <v>27620</v>
      </c>
      <c r="P164" s="287"/>
    </row>
    <row r="165" spans="1:16" s="111" customFormat="1" ht="18" customHeight="1" thickBot="1" x14ac:dyDescent="0.35">
      <c r="A165" s="42">
        <v>155</v>
      </c>
      <c r="B165" s="740"/>
      <c r="C165" s="768"/>
      <c r="D165" s="769"/>
      <c r="E165" s="770" t="s">
        <v>1116</v>
      </c>
      <c r="F165" s="771">
        <f>SUM(F163:F164)</f>
        <v>412444</v>
      </c>
      <c r="G165" s="771">
        <f t="shared" ref="G165:N165" si="32">SUM(G163:G164)</f>
        <v>183502</v>
      </c>
      <c r="H165" s="771">
        <f t="shared" si="32"/>
        <v>1506</v>
      </c>
      <c r="I165" s="771">
        <f t="shared" si="32"/>
        <v>3200</v>
      </c>
      <c r="J165" s="771">
        <f t="shared" si="32"/>
        <v>4135</v>
      </c>
      <c r="K165" s="771">
        <f t="shared" si="32"/>
        <v>0</v>
      </c>
      <c r="L165" s="771">
        <f t="shared" si="32"/>
        <v>357806</v>
      </c>
      <c r="M165" s="771">
        <f t="shared" si="32"/>
        <v>1548300</v>
      </c>
      <c r="N165" s="771">
        <f t="shared" si="32"/>
        <v>874376</v>
      </c>
      <c r="O165" s="772">
        <f>SUM(F165:M165)</f>
        <v>2510893</v>
      </c>
      <c r="P165" s="31"/>
    </row>
    <row r="166" spans="1:16" s="111" customFormat="1" ht="18" customHeight="1" thickTop="1" x14ac:dyDescent="0.3">
      <c r="A166" s="42">
        <v>156</v>
      </c>
      <c r="B166" s="711">
        <v>16</v>
      </c>
      <c r="C166" s="712"/>
      <c r="D166" s="773" t="s">
        <v>271</v>
      </c>
      <c r="E166" s="773"/>
      <c r="F166" s="715"/>
      <c r="G166" s="715"/>
      <c r="H166" s="715"/>
      <c r="I166" s="715"/>
      <c r="J166" s="715"/>
      <c r="K166" s="715"/>
      <c r="L166" s="715"/>
      <c r="M166" s="715"/>
      <c r="N166" s="716"/>
      <c r="O166" s="717"/>
      <c r="P166" s="31"/>
    </row>
    <row r="167" spans="1:16" s="111" customFormat="1" ht="18" customHeight="1" x14ac:dyDescent="0.3">
      <c r="A167" s="42">
        <v>157</v>
      </c>
      <c r="B167" s="800"/>
      <c r="C167" s="756"/>
      <c r="D167" s="757"/>
      <c r="E167" s="783" t="s">
        <v>311</v>
      </c>
      <c r="F167" s="784">
        <v>410302</v>
      </c>
      <c r="G167" s="784"/>
      <c r="H167" s="784"/>
      <c r="I167" s="784"/>
      <c r="J167" s="784"/>
      <c r="K167" s="784"/>
      <c r="L167" s="784"/>
      <c r="M167" s="784">
        <v>615157</v>
      </c>
      <c r="N167" s="785">
        <v>193026</v>
      </c>
      <c r="O167" s="786">
        <f>SUM(F167:M167)</f>
        <v>1025459</v>
      </c>
      <c r="P167" s="31"/>
    </row>
    <row r="168" spans="1:16" s="111" customFormat="1" ht="18" customHeight="1" x14ac:dyDescent="0.3">
      <c r="A168" s="42">
        <v>158</v>
      </c>
      <c r="B168" s="800"/>
      <c r="C168" s="756"/>
      <c r="D168" s="757"/>
      <c r="E168" s="732" t="s">
        <v>1064</v>
      </c>
      <c r="F168" s="787">
        <v>381102</v>
      </c>
      <c r="G168" s="787"/>
      <c r="H168" s="787"/>
      <c r="I168" s="787"/>
      <c r="J168" s="787"/>
      <c r="K168" s="787"/>
      <c r="L168" s="787">
        <v>141340</v>
      </c>
      <c r="M168" s="787">
        <v>615159</v>
      </c>
      <c r="N168" s="788">
        <v>193028</v>
      </c>
      <c r="O168" s="723">
        <f>SUM(F168:M168)</f>
        <v>1137601</v>
      </c>
      <c r="P168" s="31"/>
    </row>
    <row r="169" spans="1:16" s="111" customFormat="1" ht="18" customHeight="1" x14ac:dyDescent="0.3">
      <c r="A169" s="42">
        <v>159</v>
      </c>
      <c r="B169" s="735"/>
      <c r="C169" s="736"/>
      <c r="D169" s="737"/>
      <c r="E169" s="738" t="s">
        <v>1133</v>
      </c>
      <c r="F169" s="722"/>
      <c r="G169" s="722"/>
      <c r="H169" s="722"/>
      <c r="I169" s="722"/>
      <c r="J169" s="722"/>
      <c r="K169" s="722"/>
      <c r="L169" s="722"/>
      <c r="M169" s="722"/>
      <c r="N169" s="722">
        <v>13518</v>
      </c>
      <c r="O169" s="739">
        <f>SUM(F169:M169)</f>
        <v>0</v>
      </c>
      <c r="P169" s="31"/>
    </row>
    <row r="170" spans="1:16" s="111" customFormat="1" ht="18" customHeight="1" thickBot="1" x14ac:dyDescent="0.35">
      <c r="A170" s="42">
        <v>160</v>
      </c>
      <c r="B170" s="740"/>
      <c r="C170" s="741"/>
      <c r="D170" s="731"/>
      <c r="E170" s="732" t="s">
        <v>1116</v>
      </c>
      <c r="F170" s="733">
        <f>SUM(F168:F169)</f>
        <v>381102</v>
      </c>
      <c r="G170" s="733"/>
      <c r="H170" s="733"/>
      <c r="I170" s="733"/>
      <c r="J170" s="733"/>
      <c r="K170" s="733"/>
      <c r="L170" s="733">
        <f>SUM(L168:L169)</f>
        <v>141340</v>
      </c>
      <c r="M170" s="733">
        <f>SUM(M168:M169)</f>
        <v>615159</v>
      </c>
      <c r="N170" s="733">
        <f>SUM(N168:N169)</f>
        <v>206546</v>
      </c>
      <c r="O170" s="723">
        <f>SUM(F170:M170)</f>
        <v>1137601</v>
      </c>
      <c r="P170" s="31"/>
    </row>
    <row r="171" spans="1:16" s="112" customFormat="1" ht="18" customHeight="1" x14ac:dyDescent="0.2">
      <c r="A171" s="42">
        <v>161</v>
      </c>
      <c r="B171" s="1979" t="s">
        <v>158</v>
      </c>
      <c r="C171" s="1980"/>
      <c r="D171" s="1980"/>
      <c r="E171" s="1981"/>
      <c r="F171" s="801"/>
      <c r="G171" s="801"/>
      <c r="H171" s="801"/>
      <c r="I171" s="801"/>
      <c r="J171" s="801"/>
      <c r="K171" s="801"/>
      <c r="L171" s="801"/>
      <c r="M171" s="801"/>
      <c r="N171" s="802"/>
      <c r="O171" s="803"/>
      <c r="P171" s="38"/>
    </row>
    <row r="172" spans="1:16" s="111" customFormat="1" ht="15" x14ac:dyDescent="0.3">
      <c r="A172" s="42">
        <v>162</v>
      </c>
      <c r="B172" s="800"/>
      <c r="C172" s="756"/>
      <c r="D172" s="757"/>
      <c r="E172" s="783" t="s">
        <v>311</v>
      </c>
      <c r="F172" s="784">
        <f t="shared" ref="F172:N173" si="33">SUM(F167,F162,F100,F67)</f>
        <v>1028612</v>
      </c>
      <c r="G172" s="784">
        <f t="shared" si="33"/>
        <v>236049</v>
      </c>
      <c r="H172" s="784">
        <f t="shared" si="33"/>
        <v>0</v>
      </c>
      <c r="I172" s="784">
        <f t="shared" si="33"/>
        <v>3000</v>
      </c>
      <c r="J172" s="784">
        <f t="shared" si="33"/>
        <v>4050</v>
      </c>
      <c r="K172" s="784">
        <f t="shared" si="33"/>
        <v>0</v>
      </c>
      <c r="L172" s="784">
        <f t="shared" si="33"/>
        <v>43922</v>
      </c>
      <c r="M172" s="784">
        <f t="shared" si="33"/>
        <v>5047379</v>
      </c>
      <c r="N172" s="785">
        <f t="shared" si="33"/>
        <v>3177125</v>
      </c>
      <c r="O172" s="786">
        <f>SUM(F172:M172)</f>
        <v>6363012</v>
      </c>
      <c r="P172" s="31"/>
    </row>
    <row r="173" spans="1:16" s="288" customFormat="1" ht="18" customHeight="1" x14ac:dyDescent="0.3">
      <c r="A173" s="42">
        <v>163</v>
      </c>
      <c r="B173" s="800"/>
      <c r="C173" s="756"/>
      <c r="D173" s="757"/>
      <c r="E173" s="732" t="s">
        <v>1064</v>
      </c>
      <c r="F173" s="787">
        <f t="shared" si="33"/>
        <v>878955</v>
      </c>
      <c r="G173" s="787">
        <f t="shared" si="33"/>
        <v>179422</v>
      </c>
      <c r="H173" s="787">
        <f t="shared" si="33"/>
        <v>1306</v>
      </c>
      <c r="I173" s="787">
        <f t="shared" si="33"/>
        <v>3000</v>
      </c>
      <c r="J173" s="787">
        <f t="shared" si="33"/>
        <v>4050</v>
      </c>
      <c r="K173" s="787">
        <f t="shared" si="33"/>
        <v>0</v>
      </c>
      <c r="L173" s="787">
        <f t="shared" si="33"/>
        <v>689316</v>
      </c>
      <c r="M173" s="787">
        <f t="shared" si="33"/>
        <v>5266552</v>
      </c>
      <c r="N173" s="788">
        <f t="shared" si="33"/>
        <v>3362849</v>
      </c>
      <c r="O173" s="790">
        <f>SUM(F173:M173)</f>
        <v>7022601</v>
      </c>
      <c r="P173" s="287"/>
    </row>
    <row r="174" spans="1:16" s="288" customFormat="1" ht="18" customHeight="1" x14ac:dyDescent="0.3">
      <c r="A174" s="42">
        <v>164</v>
      </c>
      <c r="B174" s="735"/>
      <c r="C174" s="736"/>
      <c r="D174" s="737"/>
      <c r="E174" s="738" t="s">
        <v>999</v>
      </c>
      <c r="F174" s="722">
        <f t="shared" ref="F174:N174" si="34">SUM(F69,F102,F164,F169:F169)</f>
        <v>-3711</v>
      </c>
      <c r="G174" s="722">
        <f t="shared" si="34"/>
        <v>14635</v>
      </c>
      <c r="H174" s="722">
        <f t="shared" si="34"/>
        <v>200</v>
      </c>
      <c r="I174" s="722">
        <f t="shared" si="34"/>
        <v>1400</v>
      </c>
      <c r="J174" s="722">
        <f t="shared" si="34"/>
        <v>85</v>
      </c>
      <c r="K174" s="722">
        <f t="shared" si="34"/>
        <v>0</v>
      </c>
      <c r="L174" s="722">
        <f t="shared" si="34"/>
        <v>0</v>
      </c>
      <c r="M174" s="722">
        <f t="shared" si="34"/>
        <v>62963</v>
      </c>
      <c r="N174" s="722">
        <f t="shared" si="34"/>
        <v>198343</v>
      </c>
      <c r="O174" s="739">
        <f>SUM(F174:M174)</f>
        <v>75572</v>
      </c>
      <c r="P174" s="287"/>
    </row>
    <row r="175" spans="1:16" s="111" customFormat="1" ht="18" customHeight="1" thickBot="1" x14ac:dyDescent="0.35">
      <c r="A175" s="42">
        <v>165</v>
      </c>
      <c r="B175" s="804"/>
      <c r="C175" s="805"/>
      <c r="D175" s="806"/>
      <c r="E175" s="807" t="s">
        <v>1116</v>
      </c>
      <c r="F175" s="808">
        <f>SUM(F173:F174)</f>
        <v>875244</v>
      </c>
      <c r="G175" s="808">
        <f t="shared" ref="G175:N175" si="35">SUM(G173:G174)</f>
        <v>194057</v>
      </c>
      <c r="H175" s="808">
        <f t="shared" si="35"/>
        <v>1506</v>
      </c>
      <c r="I175" s="808">
        <f t="shared" si="35"/>
        <v>4400</v>
      </c>
      <c r="J175" s="808">
        <f t="shared" si="35"/>
        <v>4135</v>
      </c>
      <c r="K175" s="808">
        <f t="shared" si="35"/>
        <v>0</v>
      </c>
      <c r="L175" s="808">
        <f t="shared" si="35"/>
        <v>689316</v>
      </c>
      <c r="M175" s="808">
        <f t="shared" si="35"/>
        <v>5329515</v>
      </c>
      <c r="N175" s="808">
        <f t="shared" si="35"/>
        <v>3561192</v>
      </c>
      <c r="O175" s="809">
        <f>SUM(F175:M175)</f>
        <v>7098173</v>
      </c>
      <c r="P175" s="31"/>
    </row>
    <row r="176" spans="1:16" s="112" customFormat="1" ht="18" customHeight="1" x14ac:dyDescent="0.3">
      <c r="A176" s="42">
        <v>166</v>
      </c>
      <c r="B176" s="711">
        <v>17</v>
      </c>
      <c r="C176" s="712"/>
      <c r="D176" s="810" t="s">
        <v>159</v>
      </c>
      <c r="E176" s="811"/>
      <c r="F176" s="812"/>
      <c r="G176" s="791"/>
      <c r="H176" s="715"/>
      <c r="I176" s="715"/>
      <c r="J176" s="715"/>
      <c r="K176" s="715"/>
      <c r="L176" s="715"/>
      <c r="M176" s="715"/>
      <c r="N176" s="716"/>
      <c r="O176" s="717"/>
      <c r="P176" s="38"/>
    </row>
    <row r="177" spans="1:15" ht="15" x14ac:dyDescent="0.3">
      <c r="A177" s="42">
        <v>167</v>
      </c>
      <c r="B177" s="800"/>
      <c r="C177" s="756"/>
      <c r="D177" s="756"/>
      <c r="E177" s="813" t="s">
        <v>311</v>
      </c>
      <c r="F177" s="784"/>
      <c r="G177" s="784"/>
      <c r="H177" s="784"/>
      <c r="I177" s="784">
        <v>4543</v>
      </c>
      <c r="J177" s="784"/>
      <c r="K177" s="784"/>
      <c r="L177" s="784">
        <v>92459</v>
      </c>
      <c r="M177" s="784">
        <v>1578559</v>
      </c>
      <c r="N177" s="785"/>
      <c r="O177" s="786">
        <f t="shared" ref="O177:O188" si="36">SUM(F177:M177)</f>
        <v>1675561</v>
      </c>
    </row>
    <row r="178" spans="1:15" ht="15" x14ac:dyDescent="0.3">
      <c r="A178" s="42">
        <v>168</v>
      </c>
      <c r="B178" s="800"/>
      <c r="C178" s="756"/>
      <c r="D178" s="757"/>
      <c r="E178" s="814" t="s">
        <v>1064</v>
      </c>
      <c r="F178" s="787">
        <v>4543</v>
      </c>
      <c r="G178" s="784"/>
      <c r="H178" s="784"/>
      <c r="I178" s="787">
        <v>0</v>
      </c>
      <c r="J178" s="787"/>
      <c r="K178" s="787"/>
      <c r="L178" s="787">
        <v>384461</v>
      </c>
      <c r="M178" s="787">
        <v>1517370</v>
      </c>
      <c r="N178" s="788">
        <v>466</v>
      </c>
      <c r="O178" s="723">
        <f>SUM(F178:M178)</f>
        <v>1906374</v>
      </c>
    </row>
    <row r="179" spans="1:15" ht="15" x14ac:dyDescent="0.3">
      <c r="A179" s="42">
        <v>169</v>
      </c>
      <c r="B179" s="735"/>
      <c r="C179" s="736"/>
      <c r="D179" s="737"/>
      <c r="E179" s="780" t="s">
        <v>1134</v>
      </c>
      <c r="F179" s="722"/>
      <c r="G179" s="722"/>
      <c r="H179" s="722"/>
      <c r="I179" s="722"/>
      <c r="J179" s="722"/>
      <c r="K179" s="722"/>
      <c r="L179" s="722"/>
      <c r="M179" s="722">
        <v>214</v>
      </c>
      <c r="N179" s="722">
        <v>214</v>
      </c>
      <c r="O179" s="739">
        <f t="shared" si="36"/>
        <v>214</v>
      </c>
    </row>
    <row r="180" spans="1:15" ht="15" x14ac:dyDescent="0.3">
      <c r="A180" s="42">
        <v>170</v>
      </c>
      <c r="B180" s="735"/>
      <c r="C180" s="736"/>
      <c r="D180" s="737"/>
      <c r="E180" s="780" t="s">
        <v>700</v>
      </c>
      <c r="F180" s="722"/>
      <c r="G180" s="722"/>
      <c r="H180" s="722"/>
      <c r="I180" s="722"/>
      <c r="J180" s="722"/>
      <c r="K180" s="722"/>
      <c r="L180" s="722"/>
      <c r="M180" s="722">
        <v>3100</v>
      </c>
      <c r="N180" s="722"/>
      <c r="O180" s="739">
        <f t="shared" si="36"/>
        <v>3100</v>
      </c>
    </row>
    <row r="181" spans="1:15" ht="15" x14ac:dyDescent="0.3">
      <c r="A181" s="42">
        <v>171</v>
      </c>
      <c r="B181" s="735"/>
      <c r="C181" s="736"/>
      <c r="D181" s="737"/>
      <c r="E181" s="780" t="s">
        <v>1135</v>
      </c>
      <c r="F181" s="979"/>
      <c r="G181" s="722"/>
      <c r="H181" s="722"/>
      <c r="I181" s="722"/>
      <c r="J181" s="722"/>
      <c r="K181" s="722"/>
      <c r="L181" s="722"/>
      <c r="M181" s="722">
        <v>-22278</v>
      </c>
      <c r="N181" s="722"/>
      <c r="O181" s="739">
        <f t="shared" si="36"/>
        <v>-22278</v>
      </c>
    </row>
    <row r="182" spans="1:15" ht="45" x14ac:dyDescent="0.3">
      <c r="A182" s="42">
        <v>172</v>
      </c>
      <c r="B182" s="735"/>
      <c r="C182" s="736"/>
      <c r="D182" s="737"/>
      <c r="E182" s="1909" t="s">
        <v>540</v>
      </c>
      <c r="F182" s="738"/>
      <c r="G182" s="722"/>
      <c r="H182" s="722"/>
      <c r="I182" s="722"/>
      <c r="J182" s="722"/>
      <c r="K182" s="722"/>
      <c r="L182" s="722"/>
      <c r="M182" s="744">
        <v>-62</v>
      </c>
      <c r="N182" s="744"/>
      <c r="O182" s="1910">
        <f t="shared" si="36"/>
        <v>-62</v>
      </c>
    </row>
    <row r="183" spans="1:15" ht="15.75" thickBot="1" x14ac:dyDescent="0.35">
      <c r="A183" s="42">
        <v>173</v>
      </c>
      <c r="B183" s="740"/>
      <c r="C183" s="741"/>
      <c r="D183" s="731"/>
      <c r="E183" s="815" t="s">
        <v>1116</v>
      </c>
      <c r="F183" s="733">
        <f>SUM(F178:F182)</f>
        <v>4543</v>
      </c>
      <c r="G183" s="733">
        <f>SUM(G178:G182)</f>
        <v>0</v>
      </c>
      <c r="H183" s="733">
        <f>SUM(H178:H182)</f>
        <v>0</v>
      </c>
      <c r="I183" s="733">
        <f>SUM(I178:I182)</f>
        <v>0</v>
      </c>
      <c r="J183" s="733"/>
      <c r="K183" s="733"/>
      <c r="L183" s="733">
        <f>SUM(L178:L182)</f>
        <v>384461</v>
      </c>
      <c r="M183" s="733">
        <f>SUM(M178:M182)</f>
        <v>1498344</v>
      </c>
      <c r="N183" s="733">
        <f>SUM(N178:N182)</f>
        <v>680</v>
      </c>
      <c r="O183" s="723">
        <f>SUM(F183:M183)</f>
        <v>1887348</v>
      </c>
    </row>
    <row r="184" spans="1:15" ht="15" x14ac:dyDescent="0.2">
      <c r="A184" s="42">
        <v>174</v>
      </c>
      <c r="B184" s="1967" t="s">
        <v>13</v>
      </c>
      <c r="C184" s="1968"/>
      <c r="D184" s="1968"/>
      <c r="E184" s="1969"/>
      <c r="F184" s="816"/>
      <c r="G184" s="816"/>
      <c r="H184" s="816"/>
      <c r="I184" s="816"/>
      <c r="J184" s="816"/>
      <c r="K184" s="816"/>
      <c r="L184" s="816"/>
      <c r="M184" s="816"/>
      <c r="N184" s="817"/>
      <c r="O184" s="803"/>
    </row>
    <row r="185" spans="1:15" ht="15" x14ac:dyDescent="0.3">
      <c r="A185" s="42">
        <v>175</v>
      </c>
      <c r="B185" s="800"/>
      <c r="C185" s="756"/>
      <c r="D185" s="756"/>
      <c r="E185" s="818" t="s">
        <v>311</v>
      </c>
      <c r="F185" s="784">
        <f t="shared" ref="F185:N186" si="37">SUM(F172,F177)</f>
        <v>1028612</v>
      </c>
      <c r="G185" s="784">
        <f t="shared" si="37"/>
        <v>236049</v>
      </c>
      <c r="H185" s="784">
        <f t="shared" si="37"/>
        <v>0</v>
      </c>
      <c r="I185" s="784">
        <f t="shared" si="37"/>
        <v>7543</v>
      </c>
      <c r="J185" s="784">
        <f t="shared" si="37"/>
        <v>4050</v>
      </c>
      <c r="K185" s="784">
        <f t="shared" si="37"/>
        <v>0</v>
      </c>
      <c r="L185" s="784">
        <f t="shared" si="37"/>
        <v>136381</v>
      </c>
      <c r="M185" s="784">
        <f t="shared" si="37"/>
        <v>6625938</v>
      </c>
      <c r="N185" s="785">
        <f t="shared" si="37"/>
        <v>3177125</v>
      </c>
      <c r="O185" s="786">
        <f t="shared" si="36"/>
        <v>8038573</v>
      </c>
    </row>
    <row r="186" spans="1:15" ht="15" x14ac:dyDescent="0.3">
      <c r="A186" s="42">
        <v>176</v>
      </c>
      <c r="B186" s="800"/>
      <c r="C186" s="756"/>
      <c r="D186" s="757"/>
      <c r="E186" s="814" t="s">
        <v>1064</v>
      </c>
      <c r="F186" s="787">
        <f t="shared" si="37"/>
        <v>883498</v>
      </c>
      <c r="G186" s="787">
        <f t="shared" si="37"/>
        <v>179422</v>
      </c>
      <c r="H186" s="787">
        <f t="shared" si="37"/>
        <v>1306</v>
      </c>
      <c r="I186" s="787">
        <f t="shared" si="37"/>
        <v>3000</v>
      </c>
      <c r="J186" s="787">
        <f t="shared" si="37"/>
        <v>4050</v>
      </c>
      <c r="K186" s="787">
        <f t="shared" si="37"/>
        <v>0</v>
      </c>
      <c r="L186" s="787">
        <f t="shared" si="37"/>
        <v>1073777</v>
      </c>
      <c r="M186" s="787">
        <f t="shared" si="37"/>
        <v>6783922</v>
      </c>
      <c r="N186" s="788">
        <f t="shared" si="37"/>
        <v>3363315</v>
      </c>
      <c r="O186" s="790">
        <f t="shared" si="36"/>
        <v>8928975</v>
      </c>
    </row>
    <row r="187" spans="1:15" ht="15" x14ac:dyDescent="0.3">
      <c r="A187" s="42">
        <v>177</v>
      </c>
      <c r="B187" s="735"/>
      <c r="C187" s="736"/>
      <c r="D187" s="737"/>
      <c r="E187" s="780" t="s">
        <v>999</v>
      </c>
      <c r="F187" s="722">
        <f>SUM(F174,F179:F182)</f>
        <v>-3711</v>
      </c>
      <c r="G187" s="722">
        <f t="shared" ref="G187:N187" si="38">SUM(G174,G179:G182)</f>
        <v>14635</v>
      </c>
      <c r="H187" s="722">
        <f t="shared" si="38"/>
        <v>200</v>
      </c>
      <c r="I187" s="722">
        <f t="shared" si="38"/>
        <v>1400</v>
      </c>
      <c r="J187" s="722">
        <f t="shared" si="38"/>
        <v>85</v>
      </c>
      <c r="K187" s="722">
        <f t="shared" si="38"/>
        <v>0</v>
      </c>
      <c r="L187" s="722">
        <f t="shared" si="38"/>
        <v>0</v>
      </c>
      <c r="M187" s="722">
        <f>SUM(M174,M179:M182)</f>
        <v>43937</v>
      </c>
      <c r="N187" s="722">
        <f t="shared" si="38"/>
        <v>198557</v>
      </c>
      <c r="O187" s="739">
        <f>SUM(F187:M187)</f>
        <v>56546</v>
      </c>
    </row>
    <row r="188" spans="1:15" ht="15.75" thickBot="1" x14ac:dyDescent="0.35">
      <c r="A188" s="42">
        <v>178</v>
      </c>
      <c r="B188" s="804"/>
      <c r="C188" s="805"/>
      <c r="D188" s="806"/>
      <c r="E188" s="815" t="s">
        <v>1116</v>
      </c>
      <c r="F188" s="808">
        <f>SUM(F186:F187)</f>
        <v>879787</v>
      </c>
      <c r="G188" s="808">
        <f t="shared" ref="G188:N188" si="39">SUM(G186:G187)</f>
        <v>194057</v>
      </c>
      <c r="H188" s="808">
        <f t="shared" si="39"/>
        <v>1506</v>
      </c>
      <c r="I188" s="808">
        <f t="shared" si="39"/>
        <v>4400</v>
      </c>
      <c r="J188" s="808">
        <f t="shared" si="39"/>
        <v>4135</v>
      </c>
      <c r="K188" s="808">
        <f t="shared" si="39"/>
        <v>0</v>
      </c>
      <c r="L188" s="808">
        <f t="shared" si="39"/>
        <v>1073777</v>
      </c>
      <c r="M188" s="808">
        <f t="shared" si="39"/>
        <v>6827859</v>
      </c>
      <c r="N188" s="808">
        <f t="shared" si="39"/>
        <v>3561872</v>
      </c>
      <c r="O188" s="809">
        <f t="shared" si="36"/>
        <v>8985521</v>
      </c>
    </row>
  </sheetData>
  <mergeCells count="20">
    <mergeCell ref="B184:E184"/>
    <mergeCell ref="N7:O7"/>
    <mergeCell ref="D8:E8"/>
    <mergeCell ref="D61:E61"/>
    <mergeCell ref="C66:E66"/>
    <mergeCell ref="C99:E99"/>
    <mergeCell ref="D151:E151"/>
    <mergeCell ref="C161:E161"/>
    <mergeCell ref="B171:E171"/>
    <mergeCell ref="B1:E1"/>
    <mergeCell ref="B5:O5"/>
    <mergeCell ref="B6:O6"/>
    <mergeCell ref="B9:B10"/>
    <mergeCell ref="M9:N9"/>
    <mergeCell ref="O9:O10"/>
    <mergeCell ref="C9:C10"/>
    <mergeCell ref="D9:E10"/>
    <mergeCell ref="F9:H9"/>
    <mergeCell ref="I9:K9"/>
    <mergeCell ref="L9:L10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74" fitToHeight="0" orientation="landscape" verticalDpi="300" r:id="rId1"/>
  <headerFooter alignWithMargins="0">
    <oddFooter>&amp;C- &amp;P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view="pageBreakPreview" zoomScaleNormal="100" zoomScaleSheetLayoutView="100" workbookViewId="0">
      <selection activeCell="B5" sqref="B5:H5"/>
    </sheetView>
  </sheetViews>
  <sheetFormatPr defaultColWidth="9.140625" defaultRowHeight="12.75" x14ac:dyDescent="0.2"/>
  <cols>
    <col min="1" max="1" width="3.7109375" style="70" customWidth="1"/>
    <col min="2" max="3" width="5.7109375" style="110" customWidth="1"/>
    <col min="4" max="4" width="58.7109375" style="110" customWidth="1"/>
    <col min="5" max="7" width="10.7109375" style="110" customWidth="1"/>
    <col min="8" max="8" width="13.7109375" style="110" customWidth="1"/>
    <col min="9" max="16384" width="9.140625" style="110"/>
  </cols>
  <sheetData>
    <row r="1" spans="1:8" s="123" customFormat="1" ht="18" customHeight="1" x14ac:dyDescent="0.2">
      <c r="A1" s="114"/>
      <c r="B1" s="1988" t="s">
        <v>970</v>
      </c>
      <c r="C1" s="1988"/>
      <c r="D1" s="1988"/>
      <c r="E1" s="250"/>
      <c r="F1" s="250"/>
      <c r="G1" s="250"/>
      <c r="H1" s="155"/>
    </row>
    <row r="2" spans="1:8" s="123" customFormat="1" ht="18" customHeight="1" x14ac:dyDescent="0.3">
      <c r="A2" s="114"/>
      <c r="B2" s="1936" t="s">
        <v>1042</v>
      </c>
      <c r="C2" s="1936"/>
      <c r="D2" s="1936"/>
      <c r="E2" s="1936"/>
      <c r="F2" s="1936"/>
      <c r="G2" s="250"/>
      <c r="H2" s="155"/>
    </row>
    <row r="3" spans="1:8" s="123" customFormat="1" ht="18" customHeight="1" x14ac:dyDescent="0.3">
      <c r="A3" s="114"/>
      <c r="B3" s="500" t="s">
        <v>1066</v>
      </c>
      <c r="C3" s="500"/>
      <c r="D3" s="500"/>
      <c r="E3" s="500"/>
      <c r="F3" s="500"/>
      <c r="G3" s="250"/>
      <c r="H3" s="155"/>
    </row>
    <row r="4" spans="1:8" s="123" customFormat="1" ht="18" customHeight="1" x14ac:dyDescent="0.3">
      <c r="A4" s="114"/>
      <c r="B4" s="1905" t="s">
        <v>1232</v>
      </c>
      <c r="C4" s="1886"/>
      <c r="D4" s="1886"/>
      <c r="E4" s="1886"/>
      <c r="F4" s="1886"/>
      <c r="G4" s="250"/>
      <c r="H4" s="155"/>
    </row>
    <row r="5" spans="1:8" s="123" customFormat="1" ht="24.75" customHeight="1" x14ac:dyDescent="0.2">
      <c r="A5" s="42"/>
      <c r="B5" s="1953" t="s">
        <v>142</v>
      </c>
      <c r="C5" s="1953"/>
      <c r="D5" s="1953"/>
      <c r="E5" s="1953"/>
      <c r="F5" s="1953"/>
      <c r="G5" s="1953"/>
      <c r="H5" s="1953"/>
    </row>
    <row r="6" spans="1:8" s="123" customFormat="1" ht="24.75" customHeight="1" x14ac:dyDescent="0.2">
      <c r="A6" s="42"/>
      <c r="B6" s="1953" t="s">
        <v>631</v>
      </c>
      <c r="C6" s="1953"/>
      <c r="D6" s="1953"/>
      <c r="E6" s="1953"/>
      <c r="F6" s="1953"/>
      <c r="G6" s="1953"/>
      <c r="H6" s="1953"/>
    </row>
    <row r="7" spans="1:8" ht="18" customHeight="1" x14ac:dyDescent="0.2">
      <c r="A7" s="42"/>
      <c r="B7" s="32"/>
      <c r="C7" s="30"/>
      <c r="D7" s="30"/>
      <c r="E7" s="30"/>
      <c r="F7" s="30"/>
      <c r="G7" s="30"/>
      <c r="H7" s="502" t="s">
        <v>0</v>
      </c>
    </row>
    <row r="8" spans="1:8" s="42" customFormat="1" ht="18" customHeight="1" thickBot="1" x14ac:dyDescent="0.25">
      <c r="B8" s="42" t="s">
        <v>1</v>
      </c>
      <c r="C8" s="42" t="s">
        <v>3</v>
      </c>
      <c r="D8" s="42" t="s">
        <v>2</v>
      </c>
      <c r="E8" s="42" t="s">
        <v>4</v>
      </c>
      <c r="F8" s="42" t="s">
        <v>5</v>
      </c>
      <c r="G8" s="42" t="s">
        <v>15</v>
      </c>
      <c r="H8" s="42" t="s">
        <v>16</v>
      </c>
    </row>
    <row r="9" spans="1:8" s="32" customFormat="1" ht="30" customHeight="1" x14ac:dyDescent="0.2">
      <c r="A9" s="42"/>
      <c r="B9" s="1954" t="s">
        <v>18</v>
      </c>
      <c r="C9" s="1989" t="s">
        <v>19</v>
      </c>
      <c r="D9" s="1991" t="s">
        <v>6</v>
      </c>
      <c r="E9" s="1993" t="s">
        <v>632</v>
      </c>
      <c r="F9" s="1995" t="s">
        <v>633</v>
      </c>
      <c r="G9" s="1993" t="s">
        <v>900</v>
      </c>
      <c r="H9" s="1957" t="s">
        <v>634</v>
      </c>
    </row>
    <row r="10" spans="1:8" ht="60.75" customHeight="1" thickBot="1" x14ac:dyDescent="0.25">
      <c r="A10" s="42"/>
      <c r="B10" s="1955"/>
      <c r="C10" s="1990"/>
      <c r="D10" s="1992"/>
      <c r="E10" s="1994"/>
      <c r="F10" s="1996"/>
      <c r="G10" s="1994"/>
      <c r="H10" s="1958"/>
    </row>
    <row r="11" spans="1:8" ht="29.25" customHeight="1" x14ac:dyDescent="0.2">
      <c r="A11" s="42">
        <v>1</v>
      </c>
      <c r="B11" s="819">
        <v>1</v>
      </c>
      <c r="C11" s="820"/>
      <c r="D11" s="821" t="s">
        <v>417</v>
      </c>
      <c r="E11" s="774">
        <v>4241</v>
      </c>
      <c r="F11" s="774">
        <v>4458</v>
      </c>
      <c r="G11" s="774">
        <v>4440</v>
      </c>
      <c r="H11" s="822">
        <v>4940</v>
      </c>
    </row>
    <row r="12" spans="1:8" ht="30" customHeight="1" x14ac:dyDescent="0.2">
      <c r="A12" s="42">
        <v>2</v>
      </c>
      <c r="B12" s="823">
        <v>2</v>
      </c>
      <c r="C12" s="824"/>
      <c r="D12" s="821" t="s">
        <v>643</v>
      </c>
      <c r="E12" s="752">
        <v>8290</v>
      </c>
      <c r="F12" s="752">
        <v>10813</v>
      </c>
      <c r="G12" s="752">
        <v>8462</v>
      </c>
      <c r="H12" s="825">
        <v>7516</v>
      </c>
    </row>
    <row r="13" spans="1:8" ht="30" customHeight="1" x14ac:dyDescent="0.2">
      <c r="A13" s="42">
        <v>3</v>
      </c>
      <c r="B13" s="823">
        <v>3</v>
      </c>
      <c r="C13" s="824"/>
      <c r="D13" s="821" t="s">
        <v>644</v>
      </c>
      <c r="E13" s="752">
        <v>16663</v>
      </c>
      <c r="F13" s="752">
        <v>17490</v>
      </c>
      <c r="G13" s="752">
        <v>15398</v>
      </c>
      <c r="H13" s="825">
        <v>12581</v>
      </c>
    </row>
    <row r="14" spans="1:8" ht="30" customHeight="1" x14ac:dyDescent="0.2">
      <c r="A14" s="42">
        <v>4</v>
      </c>
      <c r="B14" s="823">
        <v>4</v>
      </c>
      <c r="C14" s="824"/>
      <c r="D14" s="821" t="s">
        <v>645</v>
      </c>
      <c r="E14" s="752">
        <v>12417</v>
      </c>
      <c r="F14" s="752">
        <v>13993</v>
      </c>
      <c r="G14" s="752">
        <v>10994</v>
      </c>
      <c r="H14" s="825">
        <v>7133</v>
      </c>
    </row>
    <row r="15" spans="1:8" ht="30" customHeight="1" x14ac:dyDescent="0.2">
      <c r="A15" s="42">
        <v>5</v>
      </c>
      <c r="B15" s="823">
        <v>5</v>
      </c>
      <c r="C15" s="824"/>
      <c r="D15" s="821" t="s">
        <v>646</v>
      </c>
      <c r="E15" s="752">
        <v>14656</v>
      </c>
      <c r="F15" s="752">
        <v>15663</v>
      </c>
      <c r="G15" s="752">
        <v>17279</v>
      </c>
      <c r="H15" s="825">
        <v>18635</v>
      </c>
    </row>
    <row r="16" spans="1:8" ht="30" customHeight="1" thickBot="1" x14ac:dyDescent="0.25">
      <c r="A16" s="42">
        <v>6</v>
      </c>
      <c r="B16" s="823">
        <v>6</v>
      </c>
      <c r="C16" s="826"/>
      <c r="D16" s="827" t="s">
        <v>418</v>
      </c>
      <c r="E16" s="828">
        <v>3862</v>
      </c>
      <c r="F16" s="828">
        <v>3794</v>
      </c>
      <c r="G16" s="828">
        <v>4464</v>
      </c>
      <c r="H16" s="829">
        <v>2968</v>
      </c>
    </row>
    <row r="17" spans="1:10" s="132" customFormat="1" ht="30" customHeight="1" thickBot="1" x14ac:dyDescent="0.25">
      <c r="A17" s="42">
        <v>7</v>
      </c>
      <c r="B17" s="830"/>
      <c r="C17" s="831"/>
      <c r="D17" s="832" t="s">
        <v>665</v>
      </c>
      <c r="E17" s="831">
        <f>SUM(E11:E16)</f>
        <v>60129</v>
      </c>
      <c r="F17" s="831">
        <f>SUM(F11:F16)</f>
        <v>66211</v>
      </c>
      <c r="G17" s="831">
        <f>SUM(G11:G16)</f>
        <v>61037</v>
      </c>
      <c r="H17" s="833">
        <f>SUM(H11:H16)</f>
        <v>53773</v>
      </c>
    </row>
    <row r="18" spans="1:10" ht="30" customHeight="1" x14ac:dyDescent="0.2">
      <c r="A18" s="42">
        <v>8</v>
      </c>
      <c r="B18" s="823">
        <v>7</v>
      </c>
      <c r="C18" s="820"/>
      <c r="D18" s="834" t="s">
        <v>389</v>
      </c>
      <c r="E18" s="774">
        <v>43118</v>
      </c>
      <c r="F18" s="774">
        <v>19344</v>
      </c>
      <c r="G18" s="774">
        <v>23407</v>
      </c>
      <c r="H18" s="822">
        <v>15700</v>
      </c>
    </row>
    <row r="19" spans="1:10" ht="30" customHeight="1" x14ac:dyDescent="0.2">
      <c r="A19" s="42">
        <v>9</v>
      </c>
      <c r="B19" s="823">
        <v>8</v>
      </c>
      <c r="C19" s="826"/>
      <c r="D19" s="821" t="s">
        <v>125</v>
      </c>
      <c r="E19" s="828">
        <v>15040</v>
      </c>
      <c r="F19" s="828">
        <v>13500</v>
      </c>
      <c r="G19" s="828">
        <v>15109</v>
      </c>
      <c r="H19" s="829">
        <v>10425</v>
      </c>
    </row>
    <row r="20" spans="1:10" ht="30" customHeight="1" thickBot="1" x14ac:dyDescent="0.25">
      <c r="A20" s="42">
        <v>10</v>
      </c>
      <c r="B20" s="823">
        <v>9</v>
      </c>
      <c r="C20" s="826"/>
      <c r="D20" s="827" t="s">
        <v>544</v>
      </c>
      <c r="E20" s="828"/>
      <c r="F20" s="828">
        <v>1800</v>
      </c>
      <c r="G20" s="828">
        <v>2909</v>
      </c>
      <c r="H20" s="829">
        <v>1800</v>
      </c>
    </row>
    <row r="21" spans="1:10" s="132" customFormat="1" ht="30" customHeight="1" thickBot="1" x14ac:dyDescent="0.25">
      <c r="A21" s="42">
        <v>11</v>
      </c>
      <c r="B21" s="830"/>
      <c r="C21" s="831"/>
      <c r="D21" s="832" t="s">
        <v>666</v>
      </c>
      <c r="E21" s="831">
        <f>SUM(E18:E20)</f>
        <v>58158</v>
      </c>
      <c r="F21" s="831">
        <f>SUM(F18:F20)</f>
        <v>34644</v>
      </c>
      <c r="G21" s="831">
        <f>SUM(G18:G20)</f>
        <v>41425</v>
      </c>
      <c r="H21" s="833">
        <f>SUM(H18:H20)</f>
        <v>27925</v>
      </c>
    </row>
    <row r="22" spans="1:10" ht="30" customHeight="1" x14ac:dyDescent="0.2">
      <c r="A22" s="42">
        <v>12</v>
      </c>
      <c r="B22" s="823">
        <v>10</v>
      </c>
      <c r="C22" s="820"/>
      <c r="D22" s="835" t="s">
        <v>546</v>
      </c>
      <c r="E22" s="774">
        <v>39591</v>
      </c>
      <c r="F22" s="774">
        <v>39584</v>
      </c>
      <c r="G22" s="774">
        <v>43824</v>
      </c>
      <c r="H22" s="822">
        <v>23539</v>
      </c>
    </row>
    <row r="23" spans="1:10" ht="30" customHeight="1" x14ac:dyDescent="0.2">
      <c r="A23" s="42">
        <v>13</v>
      </c>
      <c r="B23" s="836">
        <v>11</v>
      </c>
      <c r="C23" s="824"/>
      <c r="D23" s="837" t="s">
        <v>528</v>
      </c>
      <c r="E23" s="752">
        <v>4063</v>
      </c>
      <c r="F23" s="752">
        <v>7001</v>
      </c>
      <c r="G23" s="752">
        <v>8889</v>
      </c>
      <c r="H23" s="825">
        <v>6527</v>
      </c>
    </row>
    <row r="24" spans="1:10" ht="30" customHeight="1" x14ac:dyDescent="0.2">
      <c r="A24" s="42">
        <v>14</v>
      </c>
      <c r="B24" s="823">
        <v>12</v>
      </c>
      <c r="C24" s="824"/>
      <c r="D24" s="838" t="s">
        <v>25</v>
      </c>
      <c r="E24" s="752">
        <v>36291</v>
      </c>
      <c r="F24" s="752">
        <v>21200</v>
      </c>
      <c r="G24" s="752">
        <v>31157</v>
      </c>
      <c r="H24" s="825">
        <v>17914</v>
      </c>
    </row>
    <row r="25" spans="1:10" ht="30" customHeight="1" x14ac:dyDescent="0.2">
      <c r="A25" s="42">
        <v>15</v>
      </c>
      <c r="B25" s="823">
        <v>13</v>
      </c>
      <c r="C25" s="824"/>
      <c r="D25" s="838" t="s">
        <v>34</v>
      </c>
      <c r="E25" s="752">
        <v>129584</v>
      </c>
      <c r="F25" s="752">
        <f>113894+11447</f>
        <v>125341</v>
      </c>
      <c r="G25" s="752">
        <v>200194</v>
      </c>
      <c r="H25" s="825">
        <v>209389</v>
      </c>
    </row>
    <row r="26" spans="1:10" ht="30" customHeight="1" x14ac:dyDescent="0.2">
      <c r="A26" s="42">
        <v>16</v>
      </c>
      <c r="B26" s="823">
        <v>14</v>
      </c>
      <c r="C26" s="799"/>
      <c r="D26" s="837" t="s">
        <v>529</v>
      </c>
      <c r="E26" s="752">
        <v>29609</v>
      </c>
      <c r="F26" s="752">
        <v>33854</v>
      </c>
      <c r="G26" s="752">
        <v>25393</v>
      </c>
      <c r="H26" s="825">
        <f>15414+228</f>
        <v>15642</v>
      </c>
    </row>
    <row r="27" spans="1:10" ht="30" customHeight="1" thickBot="1" x14ac:dyDescent="0.25">
      <c r="A27" s="42">
        <v>17</v>
      </c>
      <c r="B27" s="823">
        <v>15</v>
      </c>
      <c r="C27" s="826"/>
      <c r="D27" s="839" t="s">
        <v>157</v>
      </c>
      <c r="E27" s="828">
        <v>273726</v>
      </c>
      <c r="F27" s="828">
        <v>203000</v>
      </c>
      <c r="G27" s="828">
        <v>303830</v>
      </c>
      <c r="H27" s="829">
        <v>139433</v>
      </c>
    </row>
    <row r="28" spans="1:10" s="132" customFormat="1" ht="30" customHeight="1" thickBot="1" x14ac:dyDescent="0.25">
      <c r="A28" s="42">
        <v>18</v>
      </c>
      <c r="B28" s="830"/>
      <c r="C28" s="831"/>
      <c r="D28" s="832" t="s">
        <v>667</v>
      </c>
      <c r="E28" s="831">
        <f>SUM(E22:E27)</f>
        <v>512864</v>
      </c>
      <c r="F28" s="831">
        <f>SUM(F22:F27)</f>
        <v>429980</v>
      </c>
      <c r="G28" s="831">
        <f>SUM(G22:G27)</f>
        <v>613287</v>
      </c>
      <c r="H28" s="833">
        <f>SUM(H22:H27)</f>
        <v>412444</v>
      </c>
    </row>
    <row r="29" spans="1:10" s="38" customFormat="1" ht="30" customHeight="1" thickBot="1" x14ac:dyDescent="0.25">
      <c r="A29" s="42">
        <v>19</v>
      </c>
      <c r="B29" s="840">
        <v>16</v>
      </c>
      <c r="C29" s="841"/>
      <c r="D29" s="842" t="s">
        <v>271</v>
      </c>
      <c r="E29" s="843">
        <v>362984</v>
      </c>
      <c r="F29" s="843">
        <v>379059</v>
      </c>
      <c r="G29" s="843">
        <v>386604</v>
      </c>
      <c r="H29" s="844">
        <v>381102</v>
      </c>
    </row>
    <row r="30" spans="1:10" ht="33" customHeight="1" thickBot="1" x14ac:dyDescent="0.25">
      <c r="A30" s="42">
        <v>20</v>
      </c>
      <c r="B30" s="1982" t="s">
        <v>158</v>
      </c>
      <c r="C30" s="1983"/>
      <c r="D30" s="1984"/>
      <c r="E30" s="845">
        <f>SUM(E17,E21,E28,E29)</f>
        <v>994135</v>
      </c>
      <c r="F30" s="845">
        <f>SUM(F17,F21,F28,F29)</f>
        <v>909894</v>
      </c>
      <c r="G30" s="845">
        <f>SUM(G17,G21,G28,G29)</f>
        <v>1102353</v>
      </c>
      <c r="H30" s="846">
        <f>SUM(H17,H21,H28,H29)</f>
        <v>875244</v>
      </c>
      <c r="I30" s="30"/>
      <c r="J30" s="30"/>
    </row>
    <row r="31" spans="1:10" ht="33" customHeight="1" thickBot="1" x14ac:dyDescent="0.25">
      <c r="A31" s="42">
        <v>21</v>
      </c>
      <c r="B31" s="847">
        <v>17</v>
      </c>
      <c r="C31" s="848"/>
      <c r="D31" s="848" t="s">
        <v>159</v>
      </c>
      <c r="E31" s="843">
        <v>4845</v>
      </c>
      <c r="F31" s="843"/>
      <c r="G31" s="843">
        <v>9526</v>
      </c>
      <c r="H31" s="844">
        <v>4543</v>
      </c>
      <c r="I31" s="30"/>
      <c r="J31" s="30"/>
    </row>
    <row r="32" spans="1:10" ht="33" customHeight="1" thickTop="1" thickBot="1" x14ac:dyDescent="0.25">
      <c r="A32" s="42">
        <v>22</v>
      </c>
      <c r="B32" s="1985" t="s">
        <v>13</v>
      </c>
      <c r="C32" s="1986"/>
      <c r="D32" s="1987"/>
      <c r="E32" s="849">
        <f>SUM(E30,E31)</f>
        <v>998980</v>
      </c>
      <c r="F32" s="849">
        <f>SUM(F30,F31)</f>
        <v>909894</v>
      </c>
      <c r="G32" s="849">
        <f>SUM(G30,G31)</f>
        <v>1111879</v>
      </c>
      <c r="H32" s="850">
        <f>SUM(H30,H31)</f>
        <v>879787</v>
      </c>
      <c r="I32" s="30"/>
      <c r="J32" s="30"/>
    </row>
  </sheetData>
  <mergeCells count="13">
    <mergeCell ref="B30:D30"/>
    <mergeCell ref="B32:D32"/>
    <mergeCell ref="B1:D1"/>
    <mergeCell ref="B5:H5"/>
    <mergeCell ref="B6:H6"/>
    <mergeCell ref="B9:B10"/>
    <mergeCell ref="C9:C10"/>
    <mergeCell ref="D9:D10"/>
    <mergeCell ref="E9:E10"/>
    <mergeCell ref="F9:F10"/>
    <mergeCell ref="G9:G10"/>
    <mergeCell ref="H9:H10"/>
    <mergeCell ref="B2:F2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84" fitToHeight="0" orientation="portrait" verticalDpi="300" r:id="rId1"/>
  <headerFooter alignWithMargins="0">
    <oddFooter>&amp;C- &amp;P -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23"/>
  <sheetViews>
    <sheetView view="pageBreakPreview" zoomScaleNormal="100" zoomScaleSheetLayoutView="100" workbookViewId="0">
      <selection activeCell="B5" sqref="B5:R5"/>
    </sheetView>
  </sheetViews>
  <sheetFormatPr defaultColWidth="9.140625" defaultRowHeight="15" x14ac:dyDescent="0.3"/>
  <cols>
    <col min="1" max="1" width="3.7109375" style="42" customWidth="1"/>
    <col min="2" max="2" width="5.5703125" style="43" customWidth="1"/>
    <col min="3" max="3" width="5.7109375" style="43" customWidth="1"/>
    <col min="4" max="4" width="4.7109375" style="43" customWidth="1"/>
    <col min="5" max="5" width="60.7109375" style="34" customWidth="1"/>
    <col min="6" max="6" width="6.7109375" style="116" customWidth="1"/>
    <col min="7" max="9" width="10.7109375" style="117" customWidth="1"/>
    <col min="10" max="10" width="13.7109375" style="80" customWidth="1"/>
    <col min="11" max="18" width="14.7109375" style="117" customWidth="1"/>
    <col min="19" max="19" width="9.5703125" style="117" bestFit="1" customWidth="1"/>
    <col min="20" max="31" width="9.140625" style="117"/>
    <col min="32" max="16384" width="9.140625" style="118"/>
  </cols>
  <sheetData>
    <row r="1" spans="1:31" s="250" customFormat="1" ht="18" customHeight="1" x14ac:dyDescent="0.2">
      <c r="A1" s="42"/>
      <c r="B1" s="1988" t="s">
        <v>971</v>
      </c>
      <c r="C1" s="1988"/>
      <c r="D1" s="1988"/>
      <c r="E1" s="1988"/>
      <c r="F1" s="1988"/>
      <c r="G1" s="1988"/>
      <c r="H1" s="155"/>
      <c r="I1" s="155"/>
      <c r="J1" s="156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</row>
    <row r="2" spans="1:31" s="250" customFormat="1" ht="18" customHeight="1" x14ac:dyDescent="0.2">
      <c r="A2" s="42"/>
      <c r="B2" s="466" t="s">
        <v>1043</v>
      </c>
      <c r="C2" s="466"/>
      <c r="D2" s="466"/>
      <c r="E2" s="466"/>
      <c r="F2" s="466"/>
      <c r="G2" s="466"/>
      <c r="H2" s="155"/>
      <c r="I2" s="155"/>
      <c r="J2" s="156"/>
      <c r="K2" s="155"/>
      <c r="L2" s="155"/>
      <c r="M2" s="155"/>
      <c r="N2" s="155"/>
      <c r="O2" s="155"/>
      <c r="P2" s="155"/>
      <c r="Q2" s="155"/>
      <c r="R2" s="155"/>
      <c r="S2" s="155"/>
      <c r="T2" s="155"/>
      <c r="U2" s="155"/>
      <c r="V2" s="155"/>
      <c r="W2" s="155"/>
      <c r="X2" s="155"/>
      <c r="Y2" s="155"/>
      <c r="Z2" s="155"/>
      <c r="AA2" s="155"/>
      <c r="AB2" s="155"/>
      <c r="AC2" s="155"/>
      <c r="AD2" s="155"/>
      <c r="AE2" s="155"/>
    </row>
    <row r="3" spans="1:31" s="250" customFormat="1" ht="18" customHeight="1" x14ac:dyDescent="0.2">
      <c r="A3" s="42"/>
      <c r="B3" s="503" t="s">
        <v>1067</v>
      </c>
      <c r="C3" s="503"/>
      <c r="D3" s="503"/>
      <c r="E3" s="503"/>
      <c r="F3" s="503"/>
      <c r="G3" s="503"/>
      <c r="H3" s="155"/>
      <c r="I3" s="155"/>
      <c r="J3" s="156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5"/>
      <c r="V3" s="155"/>
      <c r="W3" s="155"/>
      <c r="X3" s="155"/>
      <c r="Y3" s="155"/>
      <c r="Z3" s="155"/>
      <c r="AA3" s="155"/>
      <c r="AB3" s="155"/>
      <c r="AC3" s="155"/>
      <c r="AD3" s="155"/>
      <c r="AE3" s="155"/>
    </row>
    <row r="4" spans="1:31" s="250" customFormat="1" ht="18" customHeight="1" x14ac:dyDescent="0.3">
      <c r="A4" s="42"/>
      <c r="B4" s="1905" t="s">
        <v>1233</v>
      </c>
      <c r="C4" s="1892"/>
      <c r="D4" s="1892"/>
      <c r="E4" s="1892"/>
      <c r="F4" s="1892"/>
      <c r="G4" s="1892"/>
      <c r="H4" s="155"/>
      <c r="I4" s="155"/>
      <c r="J4" s="156"/>
      <c r="K4" s="155"/>
      <c r="L4" s="155"/>
      <c r="M4" s="155"/>
      <c r="N4" s="155"/>
      <c r="O4" s="155"/>
      <c r="P4" s="155"/>
      <c r="Q4" s="155"/>
      <c r="R4" s="155"/>
      <c r="S4" s="155"/>
      <c r="T4" s="155"/>
      <c r="U4" s="155"/>
      <c r="V4" s="155"/>
      <c r="W4" s="155"/>
      <c r="X4" s="155"/>
      <c r="Y4" s="155"/>
      <c r="Z4" s="155"/>
      <c r="AA4" s="155"/>
      <c r="AB4" s="155"/>
      <c r="AC4" s="155"/>
      <c r="AD4" s="155"/>
      <c r="AE4" s="155"/>
    </row>
    <row r="5" spans="1:31" s="250" customFormat="1" ht="24.75" customHeight="1" x14ac:dyDescent="0.2">
      <c r="A5" s="42"/>
      <c r="B5" s="1953" t="s">
        <v>142</v>
      </c>
      <c r="C5" s="1953"/>
      <c r="D5" s="1953"/>
      <c r="E5" s="1953"/>
      <c r="F5" s="1953"/>
      <c r="G5" s="1953"/>
      <c r="H5" s="1953"/>
      <c r="I5" s="1953"/>
      <c r="J5" s="1953"/>
      <c r="K5" s="1953"/>
      <c r="L5" s="1953"/>
      <c r="M5" s="1953"/>
      <c r="N5" s="1953"/>
      <c r="O5" s="1953"/>
      <c r="P5" s="1953"/>
      <c r="Q5" s="1953"/>
      <c r="R5" s="1953"/>
      <c r="S5" s="155"/>
      <c r="T5" s="155"/>
      <c r="U5" s="155"/>
      <c r="V5" s="155"/>
      <c r="W5" s="155"/>
      <c r="X5" s="155"/>
      <c r="Y5" s="155"/>
      <c r="Z5" s="155"/>
      <c r="AA5" s="155"/>
      <c r="AB5" s="155"/>
      <c r="AC5" s="155"/>
      <c r="AD5" s="155"/>
      <c r="AE5" s="155"/>
    </row>
    <row r="6" spans="1:31" s="250" customFormat="1" ht="24.75" customHeight="1" x14ac:dyDescent="0.2">
      <c r="A6" s="42"/>
      <c r="B6" s="1953" t="s">
        <v>635</v>
      </c>
      <c r="C6" s="1953"/>
      <c r="D6" s="1953"/>
      <c r="E6" s="1953"/>
      <c r="F6" s="1953"/>
      <c r="G6" s="1953"/>
      <c r="H6" s="1953"/>
      <c r="I6" s="1953"/>
      <c r="J6" s="1953"/>
      <c r="K6" s="1953"/>
      <c r="L6" s="1953"/>
      <c r="M6" s="1953"/>
      <c r="N6" s="1953"/>
      <c r="O6" s="1953"/>
      <c r="P6" s="1953"/>
      <c r="Q6" s="1953"/>
      <c r="R6" s="1953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</row>
    <row r="7" spans="1:31" ht="18" customHeight="1" x14ac:dyDescent="0.3">
      <c r="Q7" s="2005" t="s">
        <v>0</v>
      </c>
      <c r="R7" s="2005"/>
    </row>
    <row r="8" spans="1:31" s="42" customFormat="1" ht="18" customHeight="1" thickBot="1" x14ac:dyDescent="0.25">
      <c r="B8" s="42" t="s">
        <v>1</v>
      </c>
      <c r="C8" s="42" t="s">
        <v>3</v>
      </c>
      <c r="D8" s="1971" t="s">
        <v>2</v>
      </c>
      <c r="E8" s="1971"/>
      <c r="F8" s="42" t="s">
        <v>4</v>
      </c>
      <c r="G8" s="42" t="s">
        <v>5</v>
      </c>
      <c r="H8" s="42" t="s">
        <v>15</v>
      </c>
      <c r="I8" s="42" t="s">
        <v>16</v>
      </c>
      <c r="J8" s="42" t="s">
        <v>17</v>
      </c>
      <c r="K8" s="42" t="s">
        <v>36</v>
      </c>
      <c r="L8" s="42" t="s">
        <v>30</v>
      </c>
      <c r="M8" s="42" t="s">
        <v>23</v>
      </c>
      <c r="N8" s="42" t="s">
        <v>37</v>
      </c>
      <c r="O8" s="42" t="s">
        <v>38</v>
      </c>
      <c r="P8" s="42" t="s">
        <v>160</v>
      </c>
      <c r="Q8" s="42" t="s">
        <v>161</v>
      </c>
      <c r="R8" s="42" t="s">
        <v>162</v>
      </c>
    </row>
    <row r="9" spans="1:31" s="116" customFormat="1" ht="30" customHeight="1" x14ac:dyDescent="0.3">
      <c r="A9" s="42"/>
      <c r="B9" s="1954" t="s">
        <v>18</v>
      </c>
      <c r="C9" s="1989" t="s">
        <v>19</v>
      </c>
      <c r="D9" s="1961" t="s">
        <v>6</v>
      </c>
      <c r="E9" s="2009"/>
      <c r="F9" s="2006" t="s">
        <v>20</v>
      </c>
      <c r="G9" s="1993" t="s">
        <v>636</v>
      </c>
      <c r="H9" s="1993" t="s">
        <v>633</v>
      </c>
      <c r="I9" s="2001" t="s">
        <v>900</v>
      </c>
      <c r="J9" s="2003" t="s">
        <v>638</v>
      </c>
      <c r="K9" s="1997" t="s">
        <v>39</v>
      </c>
      <c r="L9" s="1998"/>
      <c r="M9" s="1998"/>
      <c r="N9" s="1998"/>
      <c r="O9" s="1999"/>
      <c r="P9" s="2000" t="s">
        <v>163</v>
      </c>
      <c r="Q9" s="2000"/>
      <c r="R9" s="2000"/>
    </row>
    <row r="10" spans="1:31" s="116" customFormat="1" ht="60.75" customHeight="1" thickBot="1" x14ac:dyDescent="0.35">
      <c r="A10" s="42"/>
      <c r="B10" s="1955"/>
      <c r="C10" s="2008"/>
      <c r="D10" s="1963"/>
      <c r="E10" s="2010"/>
      <c r="F10" s="2007"/>
      <c r="G10" s="1994"/>
      <c r="H10" s="1994"/>
      <c r="I10" s="2002"/>
      <c r="J10" s="2004"/>
      <c r="K10" s="1891" t="s">
        <v>40</v>
      </c>
      <c r="L10" s="1891" t="s">
        <v>41</v>
      </c>
      <c r="M10" s="1891" t="s">
        <v>42</v>
      </c>
      <c r="N10" s="1891" t="s">
        <v>223</v>
      </c>
      <c r="O10" s="1891" t="s">
        <v>43</v>
      </c>
      <c r="P10" s="851" t="s">
        <v>231</v>
      </c>
      <c r="Q10" s="1891" t="s">
        <v>232</v>
      </c>
      <c r="R10" s="1891" t="s">
        <v>164</v>
      </c>
    </row>
    <row r="11" spans="1:31" s="35" customFormat="1" ht="22.5" customHeight="1" x14ac:dyDescent="0.3">
      <c r="A11" s="709">
        <v>1</v>
      </c>
      <c r="B11" s="711">
        <v>1</v>
      </c>
      <c r="C11" s="852"/>
      <c r="D11" s="853" t="s">
        <v>314</v>
      </c>
      <c r="E11" s="853"/>
      <c r="F11" s="854" t="s">
        <v>23</v>
      </c>
      <c r="G11" s="715">
        <v>206614</v>
      </c>
      <c r="H11" s="715">
        <v>209393</v>
      </c>
      <c r="I11" s="855">
        <v>212753</v>
      </c>
      <c r="J11" s="856"/>
      <c r="K11" s="715"/>
      <c r="L11" s="715"/>
      <c r="M11" s="715"/>
      <c r="N11" s="715"/>
      <c r="O11" s="715"/>
      <c r="P11" s="715"/>
      <c r="Q11" s="715"/>
      <c r="R11" s="857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</row>
    <row r="12" spans="1:31" s="35" customFormat="1" ht="18" customHeight="1" x14ac:dyDescent="0.3">
      <c r="A12" s="709">
        <v>2</v>
      </c>
      <c r="B12" s="718"/>
      <c r="C12" s="858"/>
      <c r="D12" s="859" t="s">
        <v>347</v>
      </c>
      <c r="E12" s="859"/>
      <c r="F12" s="721"/>
      <c r="G12" s="721"/>
      <c r="H12" s="721"/>
      <c r="I12" s="860"/>
      <c r="J12" s="861"/>
      <c r="K12" s="721"/>
      <c r="L12" s="721"/>
      <c r="M12" s="721"/>
      <c r="N12" s="721"/>
      <c r="O12" s="721"/>
      <c r="P12" s="721"/>
      <c r="Q12" s="721"/>
      <c r="R12" s="8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</row>
    <row r="13" spans="1:31" s="290" customFormat="1" ht="18" customHeight="1" x14ac:dyDescent="0.3">
      <c r="A13" s="709">
        <v>3</v>
      </c>
      <c r="B13" s="724"/>
      <c r="C13" s="863"/>
      <c r="D13" s="863"/>
      <c r="E13" s="864" t="s">
        <v>311</v>
      </c>
      <c r="F13" s="777"/>
      <c r="G13" s="777"/>
      <c r="H13" s="777"/>
      <c r="I13" s="865"/>
      <c r="J13" s="866">
        <f t="shared" ref="J13:J17" si="0">SUM(K13:R13)</f>
        <v>213625</v>
      </c>
      <c r="K13" s="867">
        <v>134372</v>
      </c>
      <c r="L13" s="867">
        <v>26600</v>
      </c>
      <c r="M13" s="867">
        <v>51943</v>
      </c>
      <c r="N13" s="867"/>
      <c r="O13" s="867"/>
      <c r="P13" s="867">
        <v>710</v>
      </c>
      <c r="Q13" s="867"/>
      <c r="R13" s="868"/>
      <c r="S13" s="289"/>
      <c r="T13" s="289"/>
      <c r="U13" s="289"/>
      <c r="V13" s="289"/>
      <c r="W13" s="289"/>
      <c r="X13" s="289"/>
      <c r="Y13" s="289"/>
      <c r="Z13" s="289"/>
      <c r="AA13" s="289"/>
      <c r="AB13" s="289"/>
      <c r="AC13" s="289"/>
      <c r="AD13" s="289"/>
      <c r="AE13" s="289"/>
    </row>
    <row r="14" spans="1:31" s="290" customFormat="1" ht="18" customHeight="1" x14ac:dyDescent="0.3">
      <c r="A14" s="709">
        <v>4</v>
      </c>
      <c r="B14" s="724"/>
      <c r="C14" s="863"/>
      <c r="D14" s="863"/>
      <c r="E14" s="732" t="s">
        <v>1064</v>
      </c>
      <c r="F14" s="781"/>
      <c r="G14" s="781"/>
      <c r="H14" s="781"/>
      <c r="I14" s="869"/>
      <c r="J14" s="861">
        <f t="shared" si="0"/>
        <v>220256</v>
      </c>
      <c r="K14" s="870">
        <v>135799</v>
      </c>
      <c r="L14" s="870">
        <v>27417</v>
      </c>
      <c r="M14" s="870">
        <v>56310</v>
      </c>
      <c r="N14" s="870"/>
      <c r="O14" s="870"/>
      <c r="P14" s="870">
        <v>522</v>
      </c>
      <c r="Q14" s="870">
        <v>208</v>
      </c>
      <c r="R14" s="871"/>
      <c r="S14" s="289"/>
      <c r="T14" s="289"/>
      <c r="U14" s="289"/>
      <c r="V14" s="289"/>
      <c r="W14" s="289"/>
      <c r="X14" s="289"/>
      <c r="Y14" s="289"/>
      <c r="Z14" s="289"/>
      <c r="AA14" s="289"/>
      <c r="AB14" s="289"/>
      <c r="AC14" s="289"/>
      <c r="AD14" s="289"/>
      <c r="AE14" s="289"/>
    </row>
    <row r="15" spans="1:31" s="36" customFormat="1" ht="18" customHeight="1" x14ac:dyDescent="0.3">
      <c r="A15" s="709">
        <v>5</v>
      </c>
      <c r="B15" s="735"/>
      <c r="C15" s="872"/>
      <c r="D15" s="872"/>
      <c r="E15" s="738" t="s">
        <v>1134</v>
      </c>
      <c r="F15" s="753"/>
      <c r="G15" s="753"/>
      <c r="H15" s="753"/>
      <c r="I15" s="873"/>
      <c r="J15" s="874">
        <f t="shared" si="0"/>
        <v>1</v>
      </c>
      <c r="K15" s="875">
        <v>1</v>
      </c>
      <c r="L15" s="875"/>
      <c r="M15" s="875"/>
      <c r="N15" s="875"/>
      <c r="O15" s="875"/>
      <c r="P15" s="875"/>
      <c r="Q15" s="875"/>
      <c r="R15" s="876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</row>
    <row r="16" spans="1:31" s="39" customFormat="1" ht="18" customHeight="1" x14ac:dyDescent="0.3">
      <c r="A16" s="709">
        <v>6</v>
      </c>
      <c r="B16" s="735"/>
      <c r="C16" s="872"/>
      <c r="D16" s="872"/>
      <c r="E16" s="738" t="s">
        <v>1000</v>
      </c>
      <c r="F16" s="753"/>
      <c r="G16" s="753"/>
      <c r="H16" s="753"/>
      <c r="I16" s="873"/>
      <c r="J16" s="874">
        <f t="shared" si="0"/>
        <v>0</v>
      </c>
      <c r="K16" s="875">
        <v>-1500</v>
      </c>
      <c r="L16" s="875"/>
      <c r="M16" s="875">
        <v>1500</v>
      </c>
      <c r="N16" s="875"/>
      <c r="O16" s="875"/>
      <c r="P16" s="875"/>
      <c r="Q16" s="875"/>
      <c r="R16" s="876"/>
      <c r="S16" s="119"/>
      <c r="T16" s="119"/>
      <c r="U16" s="119"/>
      <c r="V16" s="119"/>
      <c r="W16" s="119"/>
      <c r="X16" s="119"/>
      <c r="Y16" s="119"/>
      <c r="Z16" s="119"/>
      <c r="AA16" s="119"/>
      <c r="AB16" s="119"/>
      <c r="AC16" s="119"/>
      <c r="AD16" s="119"/>
      <c r="AE16" s="119"/>
    </row>
    <row r="17" spans="1:31" s="39" customFormat="1" ht="22.5" customHeight="1" x14ac:dyDescent="0.3">
      <c r="A17" s="709">
        <v>7</v>
      </c>
      <c r="B17" s="740"/>
      <c r="C17" s="877"/>
      <c r="D17" s="877"/>
      <c r="E17" s="814" t="s">
        <v>1116</v>
      </c>
      <c r="F17" s="781"/>
      <c r="G17" s="781"/>
      <c r="H17" s="781"/>
      <c r="I17" s="869"/>
      <c r="J17" s="861">
        <f t="shared" si="0"/>
        <v>220257</v>
      </c>
      <c r="K17" s="870">
        <f>SUM(K14:K16)</f>
        <v>134300</v>
      </c>
      <c r="L17" s="870">
        <f t="shared" ref="L17:Q17" si="1">SUM(L14:L16)</f>
        <v>27417</v>
      </c>
      <c r="M17" s="870">
        <f t="shared" si="1"/>
        <v>57810</v>
      </c>
      <c r="N17" s="870"/>
      <c r="O17" s="870"/>
      <c r="P17" s="870">
        <f t="shared" si="1"/>
        <v>522</v>
      </c>
      <c r="Q17" s="870">
        <f t="shared" si="1"/>
        <v>208</v>
      </c>
      <c r="R17" s="871"/>
      <c r="S17" s="119"/>
      <c r="T17" s="119"/>
      <c r="U17" s="119"/>
      <c r="V17" s="119"/>
      <c r="W17" s="119"/>
      <c r="X17" s="119"/>
      <c r="Y17" s="119"/>
      <c r="Z17" s="119"/>
      <c r="AA17" s="119"/>
      <c r="AB17" s="119"/>
      <c r="AC17" s="119"/>
      <c r="AD17" s="119"/>
      <c r="AE17" s="119"/>
    </row>
    <row r="18" spans="1:31" s="35" customFormat="1" ht="18" customHeight="1" x14ac:dyDescent="0.3">
      <c r="A18" s="709">
        <v>8</v>
      </c>
      <c r="B18" s="718">
        <v>2</v>
      </c>
      <c r="C18" s="858"/>
      <c r="D18" s="814" t="s">
        <v>313</v>
      </c>
      <c r="E18" s="814"/>
      <c r="F18" s="878" t="s">
        <v>23</v>
      </c>
      <c r="G18" s="721">
        <v>351654</v>
      </c>
      <c r="H18" s="721">
        <v>356328</v>
      </c>
      <c r="I18" s="860">
        <v>358902</v>
      </c>
      <c r="J18" s="861"/>
      <c r="K18" s="721"/>
      <c r="L18" s="721"/>
      <c r="M18" s="721"/>
      <c r="N18" s="721"/>
      <c r="O18" s="721"/>
      <c r="P18" s="721"/>
      <c r="Q18" s="721"/>
      <c r="R18" s="8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</row>
    <row r="19" spans="1:31" s="292" customFormat="1" ht="18" customHeight="1" x14ac:dyDescent="0.3">
      <c r="A19" s="709">
        <v>9</v>
      </c>
      <c r="B19" s="718"/>
      <c r="C19" s="858"/>
      <c r="D19" s="859" t="s">
        <v>312</v>
      </c>
      <c r="E19" s="859"/>
      <c r="F19" s="721"/>
      <c r="G19" s="721"/>
      <c r="H19" s="721"/>
      <c r="I19" s="860"/>
      <c r="J19" s="861"/>
      <c r="K19" s="721"/>
      <c r="L19" s="721"/>
      <c r="M19" s="721"/>
      <c r="N19" s="721"/>
      <c r="O19" s="721"/>
      <c r="P19" s="721"/>
      <c r="Q19" s="721"/>
      <c r="R19" s="862"/>
      <c r="S19" s="291"/>
      <c r="T19" s="291"/>
      <c r="U19" s="291"/>
      <c r="V19" s="291"/>
      <c r="W19" s="291"/>
      <c r="X19" s="291"/>
      <c r="Y19" s="291"/>
      <c r="Z19" s="291"/>
      <c r="AA19" s="291"/>
      <c r="AB19" s="291"/>
      <c r="AC19" s="291"/>
      <c r="AD19" s="291"/>
      <c r="AE19" s="291"/>
    </row>
    <row r="20" spans="1:31" s="292" customFormat="1" ht="18" customHeight="1" x14ac:dyDescent="0.3">
      <c r="A20" s="709">
        <v>10</v>
      </c>
      <c r="B20" s="724"/>
      <c r="C20" s="863"/>
      <c r="D20" s="863"/>
      <c r="E20" s="864" t="s">
        <v>311</v>
      </c>
      <c r="F20" s="777"/>
      <c r="G20" s="777"/>
      <c r="H20" s="777"/>
      <c r="I20" s="865"/>
      <c r="J20" s="866">
        <f t="shared" ref="J20:J24" si="2">SUM(K20:R20)</f>
        <v>367090</v>
      </c>
      <c r="K20" s="867">
        <v>241291</v>
      </c>
      <c r="L20" s="867">
        <v>48109</v>
      </c>
      <c r="M20" s="867">
        <v>76990</v>
      </c>
      <c r="N20" s="867"/>
      <c r="O20" s="867"/>
      <c r="P20" s="867">
        <v>700</v>
      </c>
      <c r="Q20" s="867"/>
      <c r="R20" s="868"/>
      <c r="S20" s="291"/>
      <c r="T20" s="291"/>
      <c r="U20" s="291"/>
      <c r="V20" s="291"/>
      <c r="W20" s="291"/>
      <c r="X20" s="291"/>
      <c r="Y20" s="291"/>
      <c r="Z20" s="291"/>
      <c r="AA20" s="291"/>
      <c r="AB20" s="291"/>
      <c r="AC20" s="291"/>
      <c r="AD20" s="291"/>
      <c r="AE20" s="291"/>
    </row>
    <row r="21" spans="1:31" s="36" customFormat="1" ht="18" customHeight="1" x14ac:dyDescent="0.3">
      <c r="A21" s="709">
        <v>11</v>
      </c>
      <c r="B21" s="724"/>
      <c r="C21" s="863"/>
      <c r="D21" s="863"/>
      <c r="E21" s="732" t="s">
        <v>1064</v>
      </c>
      <c r="F21" s="777"/>
      <c r="G21" s="777"/>
      <c r="H21" s="777"/>
      <c r="I21" s="865"/>
      <c r="J21" s="861">
        <f t="shared" si="2"/>
        <v>394286</v>
      </c>
      <c r="K21" s="870">
        <v>241279</v>
      </c>
      <c r="L21" s="870">
        <v>48163</v>
      </c>
      <c r="M21" s="870">
        <v>92443</v>
      </c>
      <c r="N21" s="870"/>
      <c r="O21" s="870"/>
      <c r="P21" s="870">
        <v>9454</v>
      </c>
      <c r="Q21" s="870">
        <v>2947</v>
      </c>
      <c r="R21" s="868"/>
      <c r="S21" s="79"/>
      <c r="T21" s="79"/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</row>
    <row r="22" spans="1:31" s="36" customFormat="1" ht="18" customHeight="1" x14ac:dyDescent="0.3">
      <c r="A22" s="709">
        <v>12</v>
      </c>
      <c r="B22" s="735"/>
      <c r="C22" s="872"/>
      <c r="D22" s="872"/>
      <c r="E22" s="738" t="s">
        <v>1134</v>
      </c>
      <c r="F22" s="753"/>
      <c r="G22" s="753"/>
      <c r="H22" s="753"/>
      <c r="I22" s="873"/>
      <c r="J22" s="874">
        <f t="shared" si="2"/>
        <v>7</v>
      </c>
      <c r="K22" s="875">
        <v>6</v>
      </c>
      <c r="L22" s="875">
        <v>1</v>
      </c>
      <c r="M22" s="875"/>
      <c r="N22" s="875"/>
      <c r="O22" s="875"/>
      <c r="P22" s="875"/>
      <c r="Q22" s="875"/>
      <c r="R22" s="876"/>
      <c r="S22" s="79"/>
      <c r="T22" s="79"/>
      <c r="U22" s="79"/>
      <c r="V22" s="79"/>
      <c r="W22" s="79"/>
      <c r="X22" s="79"/>
      <c r="Y22" s="79"/>
      <c r="Z22" s="79"/>
      <c r="AA22" s="79"/>
      <c r="AB22" s="79"/>
      <c r="AC22" s="79"/>
      <c r="AD22" s="79"/>
      <c r="AE22" s="79"/>
    </row>
    <row r="23" spans="1:31" s="36" customFormat="1" ht="18" customHeight="1" x14ac:dyDescent="0.3">
      <c r="A23" s="709">
        <v>13</v>
      </c>
      <c r="B23" s="735"/>
      <c r="C23" s="872"/>
      <c r="D23" s="872"/>
      <c r="E23" s="780" t="s">
        <v>1000</v>
      </c>
      <c r="F23" s="753"/>
      <c r="G23" s="753"/>
      <c r="H23" s="753"/>
      <c r="I23" s="873"/>
      <c r="J23" s="874">
        <f t="shared" si="2"/>
        <v>0</v>
      </c>
      <c r="K23" s="875"/>
      <c r="L23" s="875"/>
      <c r="M23" s="875">
        <v>-2190</v>
      </c>
      <c r="N23" s="875"/>
      <c r="O23" s="875"/>
      <c r="P23" s="875">
        <v>2190</v>
      </c>
      <c r="Q23" s="875"/>
      <c r="R23" s="876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</row>
    <row r="24" spans="1:31" s="39" customFormat="1" ht="18" customHeight="1" x14ac:dyDescent="0.3">
      <c r="A24" s="709">
        <v>14</v>
      </c>
      <c r="B24" s="740"/>
      <c r="C24" s="877"/>
      <c r="D24" s="877"/>
      <c r="E24" s="814" t="s">
        <v>1116</v>
      </c>
      <c r="F24" s="781"/>
      <c r="G24" s="781"/>
      <c r="H24" s="781"/>
      <c r="I24" s="869"/>
      <c r="J24" s="861">
        <f t="shared" si="2"/>
        <v>394293</v>
      </c>
      <c r="K24" s="870">
        <f>SUM(K21:K23)</f>
        <v>241285</v>
      </c>
      <c r="L24" s="870">
        <f>SUM(L21:L23)</f>
        <v>48164</v>
      </c>
      <c r="M24" s="870">
        <f>SUM(M21:M23)</f>
        <v>90253</v>
      </c>
      <c r="N24" s="870"/>
      <c r="O24" s="870"/>
      <c r="P24" s="870">
        <f>SUM(P21:P23)</f>
        <v>11644</v>
      </c>
      <c r="Q24" s="870">
        <f>SUM(Q21:Q23)</f>
        <v>2947</v>
      </c>
      <c r="R24" s="871"/>
      <c r="S24" s="119"/>
      <c r="T24" s="119"/>
      <c r="U24" s="119"/>
      <c r="V24" s="119"/>
      <c r="W24" s="119"/>
      <c r="X24" s="119"/>
      <c r="Y24" s="119"/>
      <c r="Z24" s="119"/>
      <c r="AA24" s="119"/>
      <c r="AB24" s="119"/>
      <c r="AC24" s="119"/>
      <c r="AD24" s="119"/>
      <c r="AE24" s="119"/>
    </row>
    <row r="25" spans="1:31" s="35" customFormat="1" ht="22.5" customHeight="1" x14ac:dyDescent="0.3">
      <c r="A25" s="709">
        <v>15</v>
      </c>
      <c r="B25" s="718">
        <v>3</v>
      </c>
      <c r="C25" s="858"/>
      <c r="D25" s="814" t="s">
        <v>267</v>
      </c>
      <c r="E25" s="814"/>
      <c r="F25" s="878" t="s">
        <v>23</v>
      </c>
      <c r="G25" s="721">
        <v>431588</v>
      </c>
      <c r="H25" s="721">
        <v>425240</v>
      </c>
      <c r="I25" s="860">
        <v>431030</v>
      </c>
      <c r="J25" s="861"/>
      <c r="K25" s="721"/>
      <c r="L25" s="721"/>
      <c r="M25" s="721"/>
      <c r="N25" s="721"/>
      <c r="O25" s="721"/>
      <c r="P25" s="721"/>
      <c r="Q25" s="721"/>
      <c r="R25" s="8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  <c r="AE25" s="62"/>
    </row>
    <row r="26" spans="1:31" s="33" customFormat="1" ht="18" customHeight="1" x14ac:dyDescent="0.3">
      <c r="A26" s="709">
        <v>16</v>
      </c>
      <c r="B26" s="718"/>
      <c r="C26" s="858"/>
      <c r="D26" s="859" t="s">
        <v>153</v>
      </c>
      <c r="E26" s="859"/>
      <c r="F26" s="721"/>
      <c r="G26" s="721"/>
      <c r="H26" s="721"/>
      <c r="I26" s="860"/>
      <c r="J26" s="861"/>
      <c r="K26" s="721"/>
      <c r="L26" s="721"/>
      <c r="M26" s="721"/>
      <c r="N26" s="721"/>
      <c r="O26" s="721"/>
      <c r="P26" s="721"/>
      <c r="Q26" s="721"/>
      <c r="R26" s="862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</row>
    <row r="27" spans="1:31" s="290" customFormat="1" ht="18" customHeight="1" x14ac:dyDescent="0.3">
      <c r="A27" s="709">
        <v>17</v>
      </c>
      <c r="B27" s="724"/>
      <c r="C27" s="863"/>
      <c r="D27" s="863"/>
      <c r="E27" s="864" t="s">
        <v>311</v>
      </c>
      <c r="F27" s="777"/>
      <c r="G27" s="777"/>
      <c r="H27" s="777"/>
      <c r="I27" s="865"/>
      <c r="J27" s="866">
        <f>SUM(K27:R27)</f>
        <v>428960</v>
      </c>
      <c r="K27" s="867">
        <v>291221</v>
      </c>
      <c r="L27" s="867">
        <v>57361</v>
      </c>
      <c r="M27" s="867">
        <v>80378</v>
      </c>
      <c r="N27" s="867"/>
      <c r="O27" s="867"/>
      <c r="P27" s="867"/>
      <c r="Q27" s="867"/>
      <c r="R27" s="868"/>
      <c r="S27" s="289"/>
      <c r="T27" s="289"/>
      <c r="U27" s="289"/>
      <c r="V27" s="289"/>
      <c r="W27" s="289"/>
      <c r="X27" s="289"/>
      <c r="Y27" s="289"/>
      <c r="Z27" s="289"/>
      <c r="AA27" s="289"/>
      <c r="AB27" s="289"/>
      <c r="AC27" s="289"/>
      <c r="AD27" s="289"/>
      <c r="AE27" s="289"/>
    </row>
    <row r="28" spans="1:31" s="290" customFormat="1" ht="18" customHeight="1" x14ac:dyDescent="0.3">
      <c r="A28" s="709">
        <v>18</v>
      </c>
      <c r="B28" s="724"/>
      <c r="C28" s="863"/>
      <c r="D28" s="863"/>
      <c r="E28" s="732" t="s">
        <v>1064</v>
      </c>
      <c r="F28" s="777"/>
      <c r="G28" s="777"/>
      <c r="H28" s="777"/>
      <c r="I28" s="865"/>
      <c r="J28" s="861">
        <f>SUM(K28:R28)</f>
        <v>444974</v>
      </c>
      <c r="K28" s="870">
        <v>299510</v>
      </c>
      <c r="L28" s="870">
        <v>58873</v>
      </c>
      <c r="M28" s="870">
        <v>85931</v>
      </c>
      <c r="N28" s="867"/>
      <c r="O28" s="867"/>
      <c r="P28" s="870">
        <v>660</v>
      </c>
      <c r="Q28" s="867"/>
      <c r="R28" s="868"/>
      <c r="S28" s="289"/>
      <c r="T28" s="289"/>
      <c r="U28" s="289"/>
      <c r="V28" s="289"/>
      <c r="W28" s="289"/>
      <c r="X28" s="289"/>
      <c r="Y28" s="289"/>
      <c r="Z28" s="289"/>
      <c r="AA28" s="289"/>
      <c r="AB28" s="289"/>
      <c r="AC28" s="289"/>
      <c r="AD28" s="289"/>
      <c r="AE28" s="289"/>
    </row>
    <row r="29" spans="1:31" s="36" customFormat="1" ht="18" customHeight="1" x14ac:dyDescent="0.3">
      <c r="A29" s="709">
        <v>19</v>
      </c>
      <c r="B29" s="735"/>
      <c r="C29" s="872"/>
      <c r="D29" s="872"/>
      <c r="E29" s="780" t="s">
        <v>990</v>
      </c>
      <c r="F29" s="753"/>
      <c r="G29" s="753"/>
      <c r="H29" s="753"/>
      <c r="I29" s="873"/>
      <c r="J29" s="874">
        <f>SUM(K29:R29)</f>
        <v>0</v>
      </c>
      <c r="K29" s="875"/>
      <c r="L29" s="875"/>
      <c r="M29" s="875">
        <v>-660</v>
      </c>
      <c r="N29" s="875"/>
      <c r="O29" s="875"/>
      <c r="P29" s="875">
        <v>660</v>
      </c>
      <c r="Q29" s="875"/>
      <c r="R29" s="876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</row>
    <row r="30" spans="1:31" s="36" customFormat="1" ht="18" customHeight="1" x14ac:dyDescent="0.3">
      <c r="A30" s="709">
        <v>20</v>
      </c>
      <c r="B30" s="740"/>
      <c r="C30" s="877"/>
      <c r="D30" s="877"/>
      <c r="E30" s="814" t="s">
        <v>1116</v>
      </c>
      <c r="F30" s="781"/>
      <c r="G30" s="781"/>
      <c r="H30" s="781"/>
      <c r="I30" s="869"/>
      <c r="J30" s="861">
        <f>SUM(K30:R30)</f>
        <v>444974</v>
      </c>
      <c r="K30" s="870">
        <f>SUM(K28:K29)</f>
        <v>299510</v>
      </c>
      <c r="L30" s="870">
        <f>SUM(L28:L29)</f>
        <v>58873</v>
      </c>
      <c r="M30" s="870">
        <f>SUM(M28:M29)</f>
        <v>85271</v>
      </c>
      <c r="N30" s="870"/>
      <c r="O30" s="870"/>
      <c r="P30" s="870">
        <f>SUM(P28:P29)</f>
        <v>1320</v>
      </c>
      <c r="Q30" s="870"/>
      <c r="R30" s="871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</row>
    <row r="31" spans="1:31" s="39" customFormat="1" ht="18" customHeight="1" x14ac:dyDescent="0.3">
      <c r="A31" s="709">
        <v>21</v>
      </c>
      <c r="B31" s="718">
        <v>4</v>
      </c>
      <c r="C31" s="858"/>
      <c r="D31" s="814" t="s">
        <v>268</v>
      </c>
      <c r="E31" s="814"/>
      <c r="F31" s="878" t="s">
        <v>23</v>
      </c>
      <c r="G31" s="721">
        <v>302390</v>
      </c>
      <c r="H31" s="721">
        <v>310528</v>
      </c>
      <c r="I31" s="860">
        <v>318994</v>
      </c>
      <c r="J31" s="861"/>
      <c r="K31" s="721"/>
      <c r="L31" s="721"/>
      <c r="M31" s="721"/>
      <c r="N31" s="721"/>
      <c r="O31" s="721"/>
      <c r="P31" s="721"/>
      <c r="Q31" s="721"/>
      <c r="R31" s="862"/>
      <c r="S31" s="119"/>
      <c r="T31" s="119"/>
      <c r="U31" s="119"/>
      <c r="V31" s="119"/>
      <c r="W31" s="119"/>
      <c r="X31" s="119"/>
      <c r="Y31" s="119"/>
      <c r="Z31" s="119"/>
      <c r="AA31" s="119"/>
      <c r="AB31" s="119"/>
      <c r="AC31" s="119"/>
      <c r="AD31" s="119"/>
      <c r="AE31" s="119"/>
    </row>
    <row r="32" spans="1:31" s="35" customFormat="1" ht="22.5" customHeight="1" x14ac:dyDescent="0.3">
      <c r="A32" s="709">
        <v>22</v>
      </c>
      <c r="B32" s="718"/>
      <c r="C32" s="858"/>
      <c r="D32" s="859" t="s">
        <v>154</v>
      </c>
      <c r="E32" s="859"/>
      <c r="F32" s="721"/>
      <c r="G32" s="721"/>
      <c r="H32" s="721"/>
      <c r="I32" s="860"/>
      <c r="J32" s="861"/>
      <c r="K32" s="721"/>
      <c r="L32" s="721"/>
      <c r="M32" s="721"/>
      <c r="N32" s="721"/>
      <c r="O32" s="721"/>
      <c r="P32" s="721"/>
      <c r="Q32" s="721"/>
      <c r="R32" s="8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</row>
    <row r="33" spans="1:31" s="35" customFormat="1" ht="18" customHeight="1" x14ac:dyDescent="0.3">
      <c r="A33" s="709">
        <v>23</v>
      </c>
      <c r="B33" s="724"/>
      <c r="C33" s="863"/>
      <c r="D33" s="863"/>
      <c r="E33" s="864" t="s">
        <v>311</v>
      </c>
      <c r="F33" s="777"/>
      <c r="G33" s="777"/>
      <c r="H33" s="777"/>
      <c r="I33" s="865"/>
      <c r="J33" s="866">
        <f>SUM(K33:R33)</f>
        <v>319512</v>
      </c>
      <c r="K33" s="867">
        <v>213322</v>
      </c>
      <c r="L33" s="867">
        <v>42437</v>
      </c>
      <c r="M33" s="867">
        <v>63753</v>
      </c>
      <c r="N33" s="867"/>
      <c r="O33" s="867"/>
      <c r="P33" s="867"/>
      <c r="Q33" s="867"/>
      <c r="R33" s="868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2"/>
    </row>
    <row r="34" spans="1:31" s="290" customFormat="1" ht="18" customHeight="1" x14ac:dyDescent="0.3">
      <c r="A34" s="709">
        <v>24</v>
      </c>
      <c r="B34" s="724"/>
      <c r="C34" s="863"/>
      <c r="D34" s="863"/>
      <c r="E34" s="732" t="s">
        <v>1064</v>
      </c>
      <c r="F34" s="777"/>
      <c r="G34" s="777"/>
      <c r="H34" s="777"/>
      <c r="I34" s="865"/>
      <c r="J34" s="861">
        <f>SUM(K34:R34)</f>
        <v>335238</v>
      </c>
      <c r="K34" s="870">
        <v>213706</v>
      </c>
      <c r="L34" s="870">
        <v>42572</v>
      </c>
      <c r="M34" s="870">
        <v>78960</v>
      </c>
      <c r="N34" s="867"/>
      <c r="O34" s="867"/>
      <c r="P34" s="867"/>
      <c r="Q34" s="867"/>
      <c r="R34" s="868"/>
      <c r="S34" s="289"/>
      <c r="T34" s="289"/>
      <c r="U34" s="289"/>
      <c r="V34" s="289"/>
      <c r="W34" s="289"/>
      <c r="X34" s="289"/>
      <c r="Y34" s="289"/>
      <c r="Z34" s="289"/>
      <c r="AA34" s="289"/>
      <c r="AB34" s="289"/>
      <c r="AC34" s="289"/>
      <c r="AD34" s="289"/>
      <c r="AE34" s="289"/>
    </row>
    <row r="35" spans="1:31" s="290" customFormat="1" ht="18" customHeight="1" x14ac:dyDescent="0.3">
      <c r="A35" s="709">
        <v>25</v>
      </c>
      <c r="B35" s="735"/>
      <c r="C35" s="872"/>
      <c r="D35" s="872"/>
      <c r="E35" s="738" t="s">
        <v>1134</v>
      </c>
      <c r="F35" s="753"/>
      <c r="G35" s="753"/>
      <c r="H35" s="753"/>
      <c r="I35" s="873"/>
      <c r="J35" s="874">
        <f>SUM(K35:R35)</f>
        <v>7</v>
      </c>
      <c r="K35" s="875">
        <v>6</v>
      </c>
      <c r="L35" s="875">
        <v>1</v>
      </c>
      <c r="M35" s="875"/>
      <c r="N35" s="875"/>
      <c r="O35" s="875"/>
      <c r="P35" s="875"/>
      <c r="Q35" s="875"/>
      <c r="R35" s="876"/>
      <c r="S35" s="289"/>
      <c r="T35" s="289"/>
      <c r="U35" s="289"/>
      <c r="V35" s="289"/>
      <c r="W35" s="289"/>
      <c r="X35" s="289"/>
      <c r="Y35" s="289"/>
      <c r="Z35" s="289"/>
      <c r="AA35" s="289"/>
      <c r="AB35" s="289"/>
      <c r="AC35" s="289"/>
      <c r="AD35" s="289"/>
      <c r="AE35" s="289"/>
    </row>
    <row r="36" spans="1:31" s="36" customFormat="1" ht="18" customHeight="1" x14ac:dyDescent="0.3">
      <c r="A36" s="709">
        <v>26</v>
      </c>
      <c r="B36" s="740"/>
      <c r="C36" s="877"/>
      <c r="D36" s="877"/>
      <c r="E36" s="814" t="s">
        <v>1116</v>
      </c>
      <c r="F36" s="781"/>
      <c r="G36" s="781"/>
      <c r="H36" s="781"/>
      <c r="I36" s="869"/>
      <c r="J36" s="861">
        <f>SUM(K36:R36)</f>
        <v>335245</v>
      </c>
      <c r="K36" s="870">
        <f>SUM(K34:K35)</f>
        <v>213712</v>
      </c>
      <c r="L36" s="870">
        <f>SUM(L34:L35)</f>
        <v>42573</v>
      </c>
      <c r="M36" s="870">
        <f>SUM(M34:M35)</f>
        <v>78960</v>
      </c>
      <c r="N36" s="870"/>
      <c r="O36" s="870"/>
      <c r="P36" s="870"/>
      <c r="Q36" s="870"/>
      <c r="R36" s="871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</row>
    <row r="37" spans="1:31" s="36" customFormat="1" ht="18" customHeight="1" x14ac:dyDescent="0.3">
      <c r="A37" s="709">
        <v>27</v>
      </c>
      <c r="B37" s="718">
        <v>5</v>
      </c>
      <c r="C37" s="858"/>
      <c r="D37" s="814" t="s">
        <v>269</v>
      </c>
      <c r="E37" s="814"/>
      <c r="F37" s="878" t="s">
        <v>23</v>
      </c>
      <c r="G37" s="721">
        <v>336173</v>
      </c>
      <c r="H37" s="721">
        <v>339061</v>
      </c>
      <c r="I37" s="860">
        <v>350092</v>
      </c>
      <c r="J37" s="861"/>
      <c r="K37" s="721"/>
      <c r="L37" s="721"/>
      <c r="M37" s="721"/>
      <c r="N37" s="879"/>
      <c r="O37" s="879"/>
      <c r="P37" s="879"/>
      <c r="Q37" s="879"/>
      <c r="R37" s="880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</row>
    <row r="38" spans="1:31" s="39" customFormat="1" ht="18" customHeight="1" x14ac:dyDescent="0.3">
      <c r="A38" s="709">
        <v>28</v>
      </c>
      <c r="B38" s="718"/>
      <c r="C38" s="858"/>
      <c r="D38" s="859" t="s">
        <v>155</v>
      </c>
      <c r="E38" s="859"/>
      <c r="F38" s="721"/>
      <c r="G38" s="721"/>
      <c r="H38" s="721"/>
      <c r="I38" s="860"/>
      <c r="J38" s="861"/>
      <c r="K38" s="721"/>
      <c r="L38" s="721"/>
      <c r="M38" s="721"/>
      <c r="N38" s="879"/>
      <c r="O38" s="879"/>
      <c r="P38" s="879"/>
      <c r="Q38" s="879"/>
      <c r="R38" s="880"/>
      <c r="S38" s="119"/>
      <c r="T38" s="119"/>
      <c r="U38" s="119"/>
      <c r="V38" s="119"/>
      <c r="W38" s="119"/>
      <c r="X38" s="119"/>
      <c r="Y38" s="119"/>
      <c r="Z38" s="119"/>
      <c r="AA38" s="119"/>
      <c r="AB38" s="119"/>
      <c r="AC38" s="119"/>
      <c r="AD38" s="119"/>
      <c r="AE38" s="119"/>
    </row>
    <row r="39" spans="1:31" s="39" customFormat="1" ht="22.5" customHeight="1" x14ac:dyDescent="0.3">
      <c r="A39" s="709">
        <v>29</v>
      </c>
      <c r="B39" s="724"/>
      <c r="C39" s="863"/>
      <c r="D39" s="863"/>
      <c r="E39" s="864" t="s">
        <v>311</v>
      </c>
      <c r="F39" s="777"/>
      <c r="G39" s="777"/>
      <c r="H39" s="777"/>
      <c r="I39" s="865"/>
      <c r="J39" s="866">
        <f>SUM(K39:R39)</f>
        <v>341538</v>
      </c>
      <c r="K39" s="867">
        <v>213361</v>
      </c>
      <c r="L39" s="867">
        <v>42331</v>
      </c>
      <c r="M39" s="867">
        <v>85846</v>
      </c>
      <c r="N39" s="867"/>
      <c r="O39" s="867"/>
      <c r="P39" s="867"/>
      <c r="Q39" s="867"/>
      <c r="R39" s="868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119"/>
      <c r="AE39" s="119"/>
    </row>
    <row r="40" spans="1:31" s="35" customFormat="1" ht="18" customHeight="1" x14ac:dyDescent="0.3">
      <c r="A40" s="709">
        <v>30</v>
      </c>
      <c r="B40" s="724"/>
      <c r="C40" s="863"/>
      <c r="D40" s="863"/>
      <c r="E40" s="732" t="s">
        <v>1064</v>
      </c>
      <c r="F40" s="777"/>
      <c r="G40" s="777"/>
      <c r="H40" s="777"/>
      <c r="I40" s="865"/>
      <c r="J40" s="861">
        <f>SUM(K40:R40)</f>
        <v>364506</v>
      </c>
      <c r="K40" s="870">
        <v>223592</v>
      </c>
      <c r="L40" s="870">
        <v>44860</v>
      </c>
      <c r="M40" s="870">
        <v>95654</v>
      </c>
      <c r="N40" s="870"/>
      <c r="O40" s="870"/>
      <c r="P40" s="870">
        <v>400</v>
      </c>
      <c r="Q40" s="867"/>
      <c r="R40" s="868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</row>
    <row r="41" spans="1:31" s="292" customFormat="1" ht="18" customHeight="1" x14ac:dyDescent="0.3">
      <c r="A41" s="709">
        <v>31</v>
      </c>
      <c r="B41" s="735"/>
      <c r="C41" s="872"/>
      <c r="D41" s="872"/>
      <c r="E41" s="780" t="s">
        <v>1012</v>
      </c>
      <c r="F41" s="753"/>
      <c r="G41" s="753"/>
      <c r="H41" s="753"/>
      <c r="I41" s="873"/>
      <c r="J41" s="874">
        <f>SUM(K41:R41)</f>
        <v>0</v>
      </c>
      <c r="K41" s="875"/>
      <c r="L41" s="875"/>
      <c r="M41" s="875"/>
      <c r="N41" s="875"/>
      <c r="O41" s="875"/>
      <c r="P41" s="875"/>
      <c r="Q41" s="875"/>
      <c r="R41" s="876"/>
      <c r="S41" s="291"/>
      <c r="T41" s="291"/>
      <c r="U41" s="291"/>
      <c r="V41" s="291"/>
      <c r="W41" s="291"/>
      <c r="X41" s="291"/>
      <c r="Y41" s="291"/>
      <c r="Z41" s="291"/>
      <c r="AA41" s="291"/>
      <c r="AB41" s="291"/>
      <c r="AC41" s="291"/>
      <c r="AD41" s="291"/>
      <c r="AE41" s="291"/>
    </row>
    <row r="42" spans="1:31" s="292" customFormat="1" ht="18" customHeight="1" x14ac:dyDescent="0.3">
      <c r="A42" s="709">
        <v>32</v>
      </c>
      <c r="B42" s="740"/>
      <c r="C42" s="877"/>
      <c r="D42" s="877"/>
      <c r="E42" s="814" t="s">
        <v>1116</v>
      </c>
      <c r="F42" s="781"/>
      <c r="G42" s="781"/>
      <c r="H42" s="781"/>
      <c r="I42" s="869"/>
      <c r="J42" s="861">
        <f>SUM(K42:R42)</f>
        <v>364506</v>
      </c>
      <c r="K42" s="870">
        <f>SUM(K40:K41)</f>
        <v>223592</v>
      </c>
      <c r="L42" s="870">
        <f t="shared" ref="L42:P42" si="3">SUM(L40:L41)</f>
        <v>44860</v>
      </c>
      <c r="M42" s="870">
        <f t="shared" si="3"/>
        <v>95654</v>
      </c>
      <c r="N42" s="870"/>
      <c r="O42" s="870"/>
      <c r="P42" s="870">
        <f t="shared" si="3"/>
        <v>400</v>
      </c>
      <c r="Q42" s="870"/>
      <c r="R42" s="87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91"/>
      <c r="AE42" s="291"/>
    </row>
    <row r="43" spans="1:31" s="36" customFormat="1" ht="18" customHeight="1" x14ac:dyDescent="0.3">
      <c r="A43" s="709">
        <v>33</v>
      </c>
      <c r="B43" s="718">
        <v>6</v>
      </c>
      <c r="C43" s="858"/>
      <c r="D43" s="814" t="s">
        <v>270</v>
      </c>
      <c r="E43" s="814"/>
      <c r="F43" s="878" t="s">
        <v>23</v>
      </c>
      <c r="G43" s="721">
        <v>156041</v>
      </c>
      <c r="H43" s="721">
        <v>165684</v>
      </c>
      <c r="I43" s="860">
        <v>168688</v>
      </c>
      <c r="J43" s="861"/>
      <c r="K43" s="721"/>
      <c r="L43" s="721"/>
      <c r="M43" s="721"/>
      <c r="N43" s="879"/>
      <c r="O43" s="879"/>
      <c r="P43" s="879"/>
      <c r="Q43" s="879"/>
      <c r="R43" s="880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</row>
    <row r="44" spans="1:31" s="39" customFormat="1" ht="18" customHeight="1" x14ac:dyDescent="0.3">
      <c r="A44" s="709">
        <v>34</v>
      </c>
      <c r="B44" s="718"/>
      <c r="C44" s="858"/>
      <c r="D44" s="1972" t="s">
        <v>156</v>
      </c>
      <c r="E44" s="1973"/>
      <c r="F44" s="721"/>
      <c r="G44" s="721"/>
      <c r="H44" s="721"/>
      <c r="I44" s="860"/>
      <c r="J44" s="861"/>
      <c r="K44" s="721"/>
      <c r="L44" s="721"/>
      <c r="M44" s="721"/>
      <c r="N44" s="879"/>
      <c r="O44" s="879"/>
      <c r="P44" s="879"/>
      <c r="Q44" s="879"/>
      <c r="R44" s="880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119"/>
      <c r="AE44" s="119"/>
    </row>
    <row r="45" spans="1:31" s="36" customFormat="1" ht="22.5" customHeight="1" x14ac:dyDescent="0.3">
      <c r="A45" s="709">
        <v>35</v>
      </c>
      <c r="B45" s="724"/>
      <c r="C45" s="863"/>
      <c r="D45" s="863"/>
      <c r="E45" s="864" t="s">
        <v>311</v>
      </c>
      <c r="F45" s="777"/>
      <c r="G45" s="777"/>
      <c r="H45" s="777"/>
      <c r="I45" s="865"/>
      <c r="J45" s="866">
        <f>SUM(K45:R45)</f>
        <v>172406</v>
      </c>
      <c r="K45" s="867">
        <v>113388</v>
      </c>
      <c r="L45" s="867">
        <v>22885</v>
      </c>
      <c r="M45" s="867">
        <v>36133</v>
      </c>
      <c r="N45" s="867"/>
      <c r="O45" s="867"/>
      <c r="P45" s="867"/>
      <c r="Q45" s="867"/>
      <c r="R45" s="868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</row>
    <row r="46" spans="1:31" s="39" customFormat="1" ht="18" customHeight="1" x14ac:dyDescent="0.3">
      <c r="A46" s="709">
        <v>36</v>
      </c>
      <c r="B46" s="724"/>
      <c r="C46" s="863"/>
      <c r="D46" s="863"/>
      <c r="E46" s="732" t="s">
        <v>1064</v>
      </c>
      <c r="F46" s="777"/>
      <c r="G46" s="777"/>
      <c r="H46" s="777"/>
      <c r="I46" s="865"/>
      <c r="J46" s="861">
        <f>SUM(K46:R46)</f>
        <v>185468</v>
      </c>
      <c r="K46" s="870">
        <v>113920</v>
      </c>
      <c r="L46" s="870">
        <v>23188</v>
      </c>
      <c r="M46" s="870">
        <v>46966</v>
      </c>
      <c r="N46" s="870"/>
      <c r="O46" s="870">
        <v>179</v>
      </c>
      <c r="P46" s="870">
        <v>1215</v>
      </c>
      <c r="Q46" s="867"/>
      <c r="R46" s="868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119"/>
      <c r="AE46" s="119"/>
    </row>
    <row r="47" spans="1:31" s="292" customFormat="1" ht="18" customHeight="1" x14ac:dyDescent="0.3">
      <c r="A47" s="709">
        <v>37</v>
      </c>
      <c r="B47" s="735"/>
      <c r="C47" s="872"/>
      <c r="D47" s="872"/>
      <c r="E47" s="780" t="s">
        <v>990</v>
      </c>
      <c r="F47" s="753"/>
      <c r="G47" s="753"/>
      <c r="H47" s="753"/>
      <c r="I47" s="873"/>
      <c r="J47" s="874">
        <f>SUM(K47:R47)</f>
        <v>0</v>
      </c>
      <c r="K47" s="875"/>
      <c r="L47" s="875"/>
      <c r="M47" s="875">
        <v>-846</v>
      </c>
      <c r="N47" s="875"/>
      <c r="O47" s="875"/>
      <c r="P47" s="875">
        <v>846</v>
      </c>
      <c r="Q47" s="875"/>
      <c r="R47" s="876"/>
      <c r="S47" s="291"/>
      <c r="T47" s="291"/>
      <c r="U47" s="291"/>
      <c r="V47" s="291"/>
      <c r="W47" s="291"/>
      <c r="X47" s="291"/>
      <c r="Y47" s="291"/>
      <c r="Z47" s="291"/>
      <c r="AA47" s="291"/>
      <c r="AB47" s="291"/>
      <c r="AC47" s="291"/>
      <c r="AD47" s="291"/>
      <c r="AE47" s="291"/>
    </row>
    <row r="48" spans="1:31" s="292" customFormat="1" ht="18" customHeight="1" x14ac:dyDescent="0.3">
      <c r="A48" s="709">
        <v>38</v>
      </c>
      <c r="B48" s="740"/>
      <c r="C48" s="877"/>
      <c r="D48" s="877"/>
      <c r="E48" s="814" t="s">
        <v>1116</v>
      </c>
      <c r="F48" s="781"/>
      <c r="G48" s="781"/>
      <c r="H48" s="781"/>
      <c r="I48" s="869"/>
      <c r="J48" s="861">
        <f>SUM(K48:R48)</f>
        <v>185468</v>
      </c>
      <c r="K48" s="870">
        <f>SUM(K46:K47)</f>
        <v>113920</v>
      </c>
      <c r="L48" s="870">
        <f>SUM(L46:L47)</f>
        <v>23188</v>
      </c>
      <c r="M48" s="870">
        <f>SUM(M46:M47)</f>
        <v>46120</v>
      </c>
      <c r="N48" s="870"/>
      <c r="O48" s="870">
        <f>SUM(O46:O47)</f>
        <v>179</v>
      </c>
      <c r="P48" s="870">
        <f>SUM(P46:P47)</f>
        <v>2061</v>
      </c>
      <c r="Q48" s="870"/>
      <c r="R48" s="871"/>
      <c r="S48" s="291"/>
      <c r="T48" s="291"/>
      <c r="U48" s="291"/>
      <c r="V48" s="291"/>
      <c r="W48" s="291"/>
      <c r="X48" s="291"/>
      <c r="Y48" s="291"/>
      <c r="Z48" s="291"/>
      <c r="AA48" s="291"/>
      <c r="AB48" s="291"/>
      <c r="AC48" s="291"/>
      <c r="AD48" s="291"/>
      <c r="AE48" s="291"/>
    </row>
    <row r="49" spans="1:31" s="36" customFormat="1" ht="18" customHeight="1" x14ac:dyDescent="0.3">
      <c r="A49" s="709">
        <v>39</v>
      </c>
      <c r="B49" s="751"/>
      <c r="C49" s="858">
        <v>1</v>
      </c>
      <c r="D49" s="1972" t="s">
        <v>152</v>
      </c>
      <c r="E49" s="1973"/>
      <c r="F49" s="878"/>
      <c r="G49" s="721">
        <v>1006</v>
      </c>
      <c r="H49" s="721">
        <v>2245</v>
      </c>
      <c r="I49" s="860">
        <v>179</v>
      </c>
      <c r="J49" s="881"/>
      <c r="K49" s="882"/>
      <c r="L49" s="882"/>
      <c r="M49" s="883"/>
      <c r="N49" s="883"/>
      <c r="O49" s="883"/>
      <c r="P49" s="883"/>
      <c r="Q49" s="883"/>
      <c r="R49" s="884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</row>
    <row r="50" spans="1:31" s="39" customFormat="1" ht="18" customHeight="1" x14ac:dyDescent="0.3">
      <c r="A50" s="709">
        <v>40</v>
      </c>
      <c r="B50" s="800"/>
      <c r="C50" s="885"/>
      <c r="D50" s="885"/>
      <c r="E50" s="818" t="s">
        <v>311</v>
      </c>
      <c r="F50" s="784"/>
      <c r="G50" s="784"/>
      <c r="H50" s="784"/>
      <c r="I50" s="886"/>
      <c r="J50" s="887">
        <f>SUM(K50:R50)</f>
        <v>2225</v>
      </c>
      <c r="K50" s="888">
        <v>1957</v>
      </c>
      <c r="L50" s="888">
        <v>171</v>
      </c>
      <c r="M50" s="888">
        <v>97</v>
      </c>
      <c r="N50" s="888"/>
      <c r="O50" s="888"/>
      <c r="P50" s="888"/>
      <c r="Q50" s="888"/>
      <c r="R50" s="88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119"/>
      <c r="AE50" s="119"/>
    </row>
    <row r="51" spans="1:31" s="36" customFormat="1" ht="18" customHeight="1" x14ac:dyDescent="0.3">
      <c r="A51" s="709">
        <v>41</v>
      </c>
      <c r="B51" s="800"/>
      <c r="C51" s="885"/>
      <c r="D51" s="885"/>
      <c r="E51" s="732" t="s">
        <v>1064</v>
      </c>
      <c r="F51" s="784"/>
      <c r="G51" s="784"/>
      <c r="H51" s="784"/>
      <c r="I51" s="886"/>
      <c r="J51" s="861">
        <f>SUM(K51:R51)</f>
        <v>2225</v>
      </c>
      <c r="K51" s="890">
        <v>1957</v>
      </c>
      <c r="L51" s="890">
        <v>171</v>
      </c>
      <c r="M51" s="890">
        <v>97</v>
      </c>
      <c r="N51" s="888"/>
      <c r="O51" s="888"/>
      <c r="P51" s="888"/>
      <c r="Q51" s="888"/>
      <c r="R51" s="889"/>
      <c r="S51" s="79"/>
      <c r="T51" s="79"/>
      <c r="U51" s="79"/>
      <c r="V51" s="79"/>
      <c r="W51" s="79"/>
      <c r="X51" s="79"/>
      <c r="Y51" s="79"/>
      <c r="Z51" s="79"/>
      <c r="AA51" s="79"/>
      <c r="AB51" s="79"/>
      <c r="AC51" s="79"/>
      <c r="AD51" s="79"/>
      <c r="AE51" s="79"/>
    </row>
    <row r="52" spans="1:31" s="290" customFormat="1" ht="18" customHeight="1" x14ac:dyDescent="0.3">
      <c r="A52" s="709">
        <v>42</v>
      </c>
      <c r="B52" s="735"/>
      <c r="C52" s="872"/>
      <c r="D52" s="872"/>
      <c r="E52" s="780" t="s">
        <v>999</v>
      </c>
      <c r="F52" s="753"/>
      <c r="G52" s="753"/>
      <c r="H52" s="753"/>
      <c r="I52" s="873"/>
      <c r="J52" s="874">
        <f>SUM(K52:R52)</f>
        <v>0</v>
      </c>
      <c r="K52" s="875"/>
      <c r="L52" s="875"/>
      <c r="M52" s="875"/>
      <c r="N52" s="875"/>
      <c r="O52" s="875"/>
      <c r="P52" s="875"/>
      <c r="Q52" s="875"/>
      <c r="R52" s="876"/>
      <c r="S52" s="289"/>
      <c r="T52" s="289"/>
      <c r="U52" s="289"/>
      <c r="V52" s="289"/>
      <c r="W52" s="289"/>
      <c r="X52" s="289"/>
      <c r="Y52" s="289"/>
      <c r="Z52" s="289"/>
      <c r="AA52" s="289"/>
      <c r="AB52" s="289"/>
      <c r="AC52" s="289"/>
      <c r="AD52" s="289"/>
      <c r="AE52" s="289"/>
    </row>
    <row r="53" spans="1:31" s="290" customFormat="1" ht="18" customHeight="1" thickBot="1" x14ac:dyDescent="0.35">
      <c r="A53" s="709">
        <v>43</v>
      </c>
      <c r="B53" s="740"/>
      <c r="C53" s="877"/>
      <c r="D53" s="877"/>
      <c r="E53" s="814" t="s">
        <v>1116</v>
      </c>
      <c r="F53" s="781"/>
      <c r="G53" s="781"/>
      <c r="H53" s="781"/>
      <c r="I53" s="869"/>
      <c r="J53" s="861">
        <f>SUM(K53:R53)</f>
        <v>2225</v>
      </c>
      <c r="K53" s="870">
        <f>SUM(K51:K52)</f>
        <v>1957</v>
      </c>
      <c r="L53" s="870">
        <f t="shared" ref="L53:M53" si="4">SUM(L51:L52)</f>
        <v>171</v>
      </c>
      <c r="M53" s="870">
        <f t="shared" si="4"/>
        <v>97</v>
      </c>
      <c r="N53" s="870"/>
      <c r="O53" s="870"/>
      <c r="P53" s="870"/>
      <c r="Q53" s="870"/>
      <c r="R53" s="871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89"/>
      <c r="AE53" s="289"/>
    </row>
    <row r="54" spans="1:31" s="36" customFormat="1" ht="18" customHeight="1" thickTop="1" x14ac:dyDescent="0.2">
      <c r="A54" s="709">
        <v>44</v>
      </c>
      <c r="B54" s="891"/>
      <c r="C54" s="1974" t="s">
        <v>665</v>
      </c>
      <c r="D54" s="1975"/>
      <c r="E54" s="1976"/>
      <c r="F54" s="764"/>
      <c r="G54" s="764">
        <f>SUM(G11:G50)</f>
        <v>1785466</v>
      </c>
      <c r="H54" s="764">
        <f>SUM(H11:H50)</f>
        <v>1808479</v>
      </c>
      <c r="I54" s="892">
        <f>SUM(I11:I50)</f>
        <v>1840638</v>
      </c>
      <c r="J54" s="893"/>
      <c r="K54" s="764"/>
      <c r="L54" s="764"/>
      <c r="M54" s="764"/>
      <c r="N54" s="764"/>
      <c r="O54" s="764"/>
      <c r="P54" s="764"/>
      <c r="Q54" s="764"/>
      <c r="R54" s="894"/>
      <c r="S54" s="79"/>
      <c r="T54" s="79"/>
      <c r="U54" s="79"/>
      <c r="V54" s="79"/>
      <c r="W54" s="79"/>
      <c r="X54" s="79"/>
      <c r="Y54" s="79"/>
      <c r="Z54" s="79"/>
      <c r="AA54" s="79"/>
      <c r="AB54" s="79"/>
      <c r="AC54" s="79"/>
      <c r="AD54" s="79"/>
      <c r="AE54" s="79"/>
    </row>
    <row r="55" spans="1:31" s="39" customFormat="1" ht="18" customHeight="1" x14ac:dyDescent="0.3">
      <c r="A55" s="709">
        <v>45</v>
      </c>
      <c r="B55" s="800"/>
      <c r="C55" s="895"/>
      <c r="D55" s="885"/>
      <c r="E55" s="818" t="s">
        <v>311</v>
      </c>
      <c r="F55" s="784"/>
      <c r="G55" s="784"/>
      <c r="H55" s="784"/>
      <c r="I55" s="886"/>
      <c r="J55" s="887">
        <f>SUM(K55:R55)</f>
        <v>1845356</v>
      </c>
      <c r="K55" s="888">
        <f t="shared" ref="K55:R56" si="5">SUM(K13,K20,K27,K33,K39,K45,K50)</f>
        <v>1208912</v>
      </c>
      <c r="L55" s="888">
        <f t="shared" si="5"/>
        <v>239894</v>
      </c>
      <c r="M55" s="888">
        <f t="shared" si="5"/>
        <v>395140</v>
      </c>
      <c r="N55" s="888">
        <f t="shared" si="5"/>
        <v>0</v>
      </c>
      <c r="O55" s="888">
        <f t="shared" si="5"/>
        <v>0</v>
      </c>
      <c r="P55" s="888">
        <f t="shared" si="5"/>
        <v>1410</v>
      </c>
      <c r="Q55" s="888">
        <f t="shared" si="5"/>
        <v>0</v>
      </c>
      <c r="R55" s="889">
        <f t="shared" si="5"/>
        <v>0</v>
      </c>
      <c r="S55" s="119"/>
      <c r="T55" s="119"/>
      <c r="U55" s="119"/>
      <c r="V55" s="119"/>
      <c r="W55" s="119"/>
      <c r="X55" s="119"/>
      <c r="Y55" s="119"/>
      <c r="Z55" s="119"/>
      <c r="AA55" s="119"/>
      <c r="AB55" s="119"/>
      <c r="AC55" s="119"/>
      <c r="AD55" s="119"/>
      <c r="AE55" s="119"/>
    </row>
    <row r="56" spans="1:31" s="40" customFormat="1" ht="22.5" customHeight="1" x14ac:dyDescent="0.3">
      <c r="A56" s="709">
        <v>46</v>
      </c>
      <c r="B56" s="800"/>
      <c r="C56" s="895"/>
      <c r="D56" s="885"/>
      <c r="E56" s="732" t="s">
        <v>1064</v>
      </c>
      <c r="F56" s="784"/>
      <c r="G56" s="784"/>
      <c r="H56" s="784"/>
      <c r="I56" s="886"/>
      <c r="J56" s="861">
        <f>SUM(K56:R56)</f>
        <v>1946953</v>
      </c>
      <c r="K56" s="890">
        <f t="shared" si="5"/>
        <v>1229763</v>
      </c>
      <c r="L56" s="890">
        <f t="shared" si="5"/>
        <v>245244</v>
      </c>
      <c r="M56" s="890">
        <f t="shared" si="5"/>
        <v>456361</v>
      </c>
      <c r="N56" s="890">
        <f t="shared" si="5"/>
        <v>0</v>
      </c>
      <c r="O56" s="890">
        <f t="shared" si="5"/>
        <v>179</v>
      </c>
      <c r="P56" s="890">
        <f t="shared" si="5"/>
        <v>12251</v>
      </c>
      <c r="Q56" s="890">
        <f t="shared" si="5"/>
        <v>3155</v>
      </c>
      <c r="R56" s="896">
        <f t="shared" si="5"/>
        <v>0</v>
      </c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</row>
    <row r="57" spans="1:31" s="290" customFormat="1" ht="18" customHeight="1" x14ac:dyDescent="0.3">
      <c r="A57" s="709">
        <v>47</v>
      </c>
      <c r="B57" s="735"/>
      <c r="C57" s="897"/>
      <c r="D57" s="872"/>
      <c r="E57" s="780" t="s">
        <v>999</v>
      </c>
      <c r="F57" s="753"/>
      <c r="G57" s="753"/>
      <c r="H57" s="753"/>
      <c r="I57" s="873"/>
      <c r="J57" s="874">
        <f>SUM(K57:R57)</f>
        <v>15</v>
      </c>
      <c r="K57" s="875">
        <f t="shared" ref="K57:R57" si="6">SUM(K15:K16,K22:K23,K29:K29,K35:K35,K41:K41,K47:K47,K52:K52,)</f>
        <v>-1487</v>
      </c>
      <c r="L57" s="875">
        <f t="shared" si="6"/>
        <v>2</v>
      </c>
      <c r="M57" s="875">
        <f t="shared" si="6"/>
        <v>-2196</v>
      </c>
      <c r="N57" s="875">
        <f t="shared" si="6"/>
        <v>0</v>
      </c>
      <c r="O57" s="875">
        <f t="shared" si="6"/>
        <v>0</v>
      </c>
      <c r="P57" s="875">
        <f t="shared" si="6"/>
        <v>3696</v>
      </c>
      <c r="Q57" s="875">
        <f t="shared" si="6"/>
        <v>0</v>
      </c>
      <c r="R57" s="876">
        <f t="shared" si="6"/>
        <v>0</v>
      </c>
      <c r="S57" s="289">
        <v>0</v>
      </c>
      <c r="T57" s="289"/>
      <c r="U57" s="289"/>
      <c r="V57" s="289"/>
      <c r="W57" s="289"/>
      <c r="X57" s="289"/>
      <c r="Y57" s="289"/>
      <c r="Z57" s="289"/>
      <c r="AA57" s="289"/>
      <c r="AB57" s="289"/>
      <c r="AC57" s="289"/>
      <c r="AD57" s="289"/>
      <c r="AE57" s="289"/>
    </row>
    <row r="58" spans="1:31" s="290" customFormat="1" ht="18" customHeight="1" thickBot="1" x14ac:dyDescent="0.35">
      <c r="A58" s="709">
        <v>48</v>
      </c>
      <c r="B58" s="740"/>
      <c r="C58" s="898"/>
      <c r="D58" s="899"/>
      <c r="E58" s="900" t="s">
        <v>1116</v>
      </c>
      <c r="F58" s="901"/>
      <c r="G58" s="901"/>
      <c r="H58" s="901"/>
      <c r="I58" s="902"/>
      <c r="J58" s="903">
        <f>SUM(K58:R58)</f>
        <v>1946968</v>
      </c>
      <c r="K58" s="904">
        <f>SUM(K56:K57)</f>
        <v>1228276</v>
      </c>
      <c r="L58" s="904">
        <f t="shared" ref="L58:R58" si="7">SUM(L56:L57)</f>
        <v>245246</v>
      </c>
      <c r="M58" s="904">
        <f t="shared" si="7"/>
        <v>454165</v>
      </c>
      <c r="N58" s="904">
        <f t="shared" si="7"/>
        <v>0</v>
      </c>
      <c r="O58" s="904">
        <f t="shared" si="7"/>
        <v>179</v>
      </c>
      <c r="P58" s="904">
        <f t="shared" si="7"/>
        <v>15947</v>
      </c>
      <c r="Q58" s="904">
        <f t="shared" si="7"/>
        <v>3155</v>
      </c>
      <c r="R58" s="905">
        <f t="shared" si="7"/>
        <v>0</v>
      </c>
      <c r="S58" s="289"/>
      <c r="T58" s="289"/>
      <c r="U58" s="289"/>
      <c r="V58" s="289"/>
      <c r="W58" s="289"/>
      <c r="X58" s="289"/>
      <c r="Y58" s="289"/>
      <c r="Z58" s="289"/>
      <c r="AA58" s="289"/>
      <c r="AB58" s="289"/>
      <c r="AC58" s="289"/>
      <c r="AD58" s="289"/>
      <c r="AE58" s="289"/>
    </row>
    <row r="59" spans="1:31" s="36" customFormat="1" ht="18" customHeight="1" thickTop="1" x14ac:dyDescent="0.3">
      <c r="A59" s="709">
        <v>49</v>
      </c>
      <c r="B59" s="711">
        <v>7</v>
      </c>
      <c r="C59" s="852"/>
      <c r="D59" s="853" t="s">
        <v>389</v>
      </c>
      <c r="E59" s="906"/>
      <c r="F59" s="854" t="s">
        <v>23</v>
      </c>
      <c r="G59" s="715">
        <v>902499</v>
      </c>
      <c r="H59" s="715">
        <v>882986</v>
      </c>
      <c r="I59" s="855">
        <v>946591</v>
      </c>
      <c r="J59" s="907"/>
      <c r="K59" s="715"/>
      <c r="L59" s="715"/>
      <c r="M59" s="715"/>
      <c r="N59" s="715"/>
      <c r="O59" s="715"/>
      <c r="P59" s="715"/>
      <c r="Q59" s="715"/>
      <c r="R59" s="857"/>
      <c r="S59" s="79"/>
      <c r="T59" s="79"/>
      <c r="U59" s="79"/>
      <c r="V59" s="79"/>
      <c r="W59" s="79"/>
      <c r="X59" s="79"/>
      <c r="Y59" s="79"/>
      <c r="Z59" s="79"/>
      <c r="AA59" s="79"/>
      <c r="AB59" s="79"/>
      <c r="AC59" s="79"/>
      <c r="AD59" s="79"/>
      <c r="AE59" s="79"/>
    </row>
    <row r="60" spans="1:31" s="39" customFormat="1" ht="18" customHeight="1" x14ac:dyDescent="0.3">
      <c r="A60" s="709">
        <v>50</v>
      </c>
      <c r="B60" s="724"/>
      <c r="C60" s="863"/>
      <c r="D60" s="863"/>
      <c r="E60" s="864" t="s">
        <v>311</v>
      </c>
      <c r="F60" s="777"/>
      <c r="G60" s="777"/>
      <c r="H60" s="777"/>
      <c r="I60" s="865"/>
      <c r="J60" s="866">
        <f t="shared" ref="J60:J66" si="8">SUM(K60:R60)</f>
        <v>996977</v>
      </c>
      <c r="K60" s="867">
        <v>713799</v>
      </c>
      <c r="L60" s="867">
        <v>141390</v>
      </c>
      <c r="M60" s="867">
        <v>140158</v>
      </c>
      <c r="N60" s="867"/>
      <c r="O60" s="867"/>
      <c r="P60" s="867">
        <v>1630</v>
      </c>
      <c r="Q60" s="867"/>
      <c r="R60" s="868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</row>
    <row r="61" spans="1:31" s="36" customFormat="1" ht="22.5" customHeight="1" x14ac:dyDescent="0.3">
      <c r="A61" s="709">
        <v>51</v>
      </c>
      <c r="B61" s="724"/>
      <c r="C61" s="863"/>
      <c r="D61" s="863"/>
      <c r="E61" s="732" t="s">
        <v>1064</v>
      </c>
      <c r="F61" s="777"/>
      <c r="G61" s="777"/>
      <c r="H61" s="777"/>
      <c r="I61" s="865"/>
      <c r="J61" s="861">
        <f>SUM(K61:R61)</f>
        <v>1058655</v>
      </c>
      <c r="K61" s="870">
        <v>731852</v>
      </c>
      <c r="L61" s="870">
        <v>145380</v>
      </c>
      <c r="M61" s="870">
        <v>178993</v>
      </c>
      <c r="N61" s="870"/>
      <c r="O61" s="870"/>
      <c r="P61" s="870">
        <v>2430</v>
      </c>
      <c r="Q61" s="867"/>
      <c r="R61" s="868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</row>
    <row r="62" spans="1:31" s="290" customFormat="1" ht="18" customHeight="1" x14ac:dyDescent="0.3">
      <c r="A62" s="709">
        <v>52</v>
      </c>
      <c r="B62" s="735"/>
      <c r="C62" s="872"/>
      <c r="D62" s="872"/>
      <c r="E62" s="738" t="s">
        <v>1134</v>
      </c>
      <c r="F62" s="753"/>
      <c r="G62" s="753"/>
      <c r="H62" s="753"/>
      <c r="I62" s="873"/>
      <c r="J62" s="874">
        <f t="shared" si="8"/>
        <v>699</v>
      </c>
      <c r="K62" s="875">
        <v>605</v>
      </c>
      <c r="L62" s="875">
        <v>94</v>
      </c>
      <c r="M62" s="875"/>
      <c r="N62" s="875"/>
      <c r="O62" s="875"/>
      <c r="P62" s="875"/>
      <c r="Q62" s="875"/>
      <c r="R62" s="876"/>
      <c r="S62" s="289"/>
      <c r="T62" s="289"/>
      <c r="U62" s="289"/>
      <c r="V62" s="289"/>
      <c r="W62" s="289"/>
      <c r="X62" s="289"/>
      <c r="Y62" s="289"/>
      <c r="Z62" s="289"/>
      <c r="AA62" s="289"/>
      <c r="AB62" s="289"/>
      <c r="AC62" s="289"/>
      <c r="AD62" s="289"/>
      <c r="AE62" s="289"/>
    </row>
    <row r="63" spans="1:31" s="290" customFormat="1" ht="18" customHeight="1" x14ac:dyDescent="0.3">
      <c r="A63" s="709">
        <v>53</v>
      </c>
      <c r="B63" s="735"/>
      <c r="C63" s="872"/>
      <c r="D63" s="872"/>
      <c r="E63" s="738" t="s">
        <v>1120</v>
      </c>
      <c r="F63" s="753"/>
      <c r="G63" s="753"/>
      <c r="H63" s="753"/>
      <c r="I63" s="873"/>
      <c r="J63" s="874">
        <f t="shared" si="8"/>
        <v>3766</v>
      </c>
      <c r="K63" s="875">
        <v>3261</v>
      </c>
      <c r="L63" s="875">
        <v>505</v>
      </c>
      <c r="M63" s="875"/>
      <c r="N63" s="875"/>
      <c r="O63" s="875"/>
      <c r="P63" s="875"/>
      <c r="Q63" s="875"/>
      <c r="R63" s="876"/>
      <c r="S63" s="289"/>
      <c r="T63" s="289"/>
      <c r="U63" s="289"/>
      <c r="V63" s="289"/>
      <c r="W63" s="289"/>
      <c r="X63" s="289"/>
      <c r="Y63" s="289"/>
      <c r="Z63" s="289"/>
      <c r="AA63" s="289"/>
      <c r="AB63" s="289"/>
      <c r="AC63" s="289"/>
      <c r="AD63" s="289"/>
      <c r="AE63" s="289"/>
    </row>
    <row r="64" spans="1:31" s="36" customFormat="1" ht="18" customHeight="1" x14ac:dyDescent="0.3">
      <c r="A64" s="709">
        <v>54</v>
      </c>
      <c r="B64" s="735"/>
      <c r="C64" s="872"/>
      <c r="D64" s="872"/>
      <c r="E64" s="738" t="s">
        <v>1121</v>
      </c>
      <c r="F64" s="753"/>
      <c r="G64" s="753"/>
      <c r="H64" s="753"/>
      <c r="I64" s="873"/>
      <c r="J64" s="874">
        <f t="shared" si="8"/>
        <v>19387</v>
      </c>
      <c r="K64" s="875">
        <v>16785</v>
      </c>
      <c r="L64" s="875">
        <v>2602</v>
      </c>
      <c r="M64" s="875"/>
      <c r="N64" s="875"/>
      <c r="O64" s="875"/>
      <c r="P64" s="875"/>
      <c r="Q64" s="875"/>
      <c r="R64" s="876"/>
      <c r="S64" s="79"/>
      <c r="T64" s="79"/>
      <c r="U64" s="79"/>
      <c r="V64" s="79"/>
      <c r="W64" s="79"/>
      <c r="X64" s="79"/>
      <c r="Y64" s="79"/>
      <c r="Z64" s="79"/>
      <c r="AA64" s="79"/>
      <c r="AB64" s="79"/>
      <c r="AC64" s="79"/>
      <c r="AD64" s="79"/>
      <c r="AE64" s="79"/>
    </row>
    <row r="65" spans="1:31" s="36" customFormat="1" ht="18" customHeight="1" x14ac:dyDescent="0.3">
      <c r="A65" s="709">
        <v>55</v>
      </c>
      <c r="B65" s="735"/>
      <c r="C65" s="872"/>
      <c r="D65" s="872"/>
      <c r="E65" s="780" t="s">
        <v>1136</v>
      </c>
      <c r="F65" s="753"/>
      <c r="G65" s="753"/>
      <c r="H65" s="753"/>
      <c r="I65" s="873"/>
      <c r="J65" s="874">
        <f t="shared" si="8"/>
        <v>2988</v>
      </c>
      <c r="K65" s="875">
        <v>1550</v>
      </c>
      <c r="L65" s="875">
        <v>238</v>
      </c>
      <c r="M65" s="875">
        <v>1000</v>
      </c>
      <c r="N65" s="875"/>
      <c r="O65" s="875"/>
      <c r="P65" s="875">
        <v>200</v>
      </c>
      <c r="Q65" s="875"/>
      <c r="R65" s="876"/>
      <c r="S65" s="79"/>
      <c r="T65" s="79"/>
      <c r="U65" s="79"/>
      <c r="V65" s="79"/>
      <c r="W65" s="79"/>
      <c r="X65" s="79"/>
      <c r="Y65" s="79"/>
      <c r="Z65" s="79"/>
      <c r="AA65" s="79"/>
      <c r="AB65" s="79"/>
      <c r="AC65" s="79"/>
      <c r="AD65" s="79"/>
      <c r="AE65" s="79"/>
    </row>
    <row r="66" spans="1:31" s="36" customFormat="1" ht="18" customHeight="1" x14ac:dyDescent="0.3">
      <c r="A66" s="709">
        <v>56</v>
      </c>
      <c r="B66" s="740"/>
      <c r="C66" s="877"/>
      <c r="D66" s="877"/>
      <c r="E66" s="814" t="s">
        <v>1116</v>
      </c>
      <c r="F66" s="781"/>
      <c r="G66" s="781"/>
      <c r="H66" s="781"/>
      <c r="I66" s="869"/>
      <c r="J66" s="861">
        <f t="shared" si="8"/>
        <v>1085495</v>
      </c>
      <c r="K66" s="870">
        <f>SUM(K61:K65)</f>
        <v>754053</v>
      </c>
      <c r="L66" s="870">
        <f>SUM(L61:L65)</f>
        <v>148819</v>
      </c>
      <c r="M66" s="870">
        <f>SUM(M61:M65)</f>
        <v>179993</v>
      </c>
      <c r="N66" s="870"/>
      <c r="O66" s="870"/>
      <c r="P66" s="870">
        <f>SUM(P61:P65)</f>
        <v>2630</v>
      </c>
      <c r="Q66" s="870"/>
      <c r="R66" s="871"/>
      <c r="S66" s="79"/>
      <c r="T66" s="79"/>
      <c r="U66" s="79"/>
      <c r="V66" s="79"/>
      <c r="W66" s="79"/>
      <c r="X66" s="79"/>
      <c r="Y66" s="79"/>
      <c r="Z66" s="79"/>
      <c r="AA66" s="79"/>
      <c r="AB66" s="79"/>
      <c r="AC66" s="79"/>
      <c r="AD66" s="79"/>
      <c r="AE66" s="79"/>
    </row>
    <row r="67" spans="1:31" s="36" customFormat="1" ht="18" customHeight="1" x14ac:dyDescent="0.3">
      <c r="A67" s="709">
        <v>57</v>
      </c>
      <c r="B67" s="751"/>
      <c r="C67" s="858">
        <v>1</v>
      </c>
      <c r="D67" s="908" t="s">
        <v>530</v>
      </c>
      <c r="E67" s="908"/>
      <c r="F67" s="909"/>
      <c r="G67" s="721">
        <v>4233</v>
      </c>
      <c r="H67" s="721">
        <v>10080</v>
      </c>
      <c r="I67" s="860">
        <v>10041</v>
      </c>
      <c r="J67" s="910"/>
      <c r="K67" s="879"/>
      <c r="L67" s="879"/>
      <c r="M67" s="879"/>
      <c r="N67" s="875"/>
      <c r="O67" s="875"/>
      <c r="P67" s="875"/>
      <c r="Q67" s="875"/>
      <c r="R67" s="876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79"/>
      <c r="AD67" s="79"/>
      <c r="AE67" s="79"/>
    </row>
    <row r="68" spans="1:31" s="36" customFormat="1" ht="18" customHeight="1" x14ac:dyDescent="0.3">
      <c r="A68" s="709">
        <v>58</v>
      </c>
      <c r="B68" s="751"/>
      <c r="C68" s="858"/>
      <c r="D68" s="1889"/>
      <c r="E68" s="732" t="s">
        <v>1064</v>
      </c>
      <c r="F68" s="909"/>
      <c r="G68" s="721"/>
      <c r="H68" s="721"/>
      <c r="I68" s="860"/>
      <c r="J68" s="861">
        <f>SUM(K68:R68)</f>
        <v>0</v>
      </c>
      <c r="K68" s="879"/>
      <c r="L68" s="879"/>
      <c r="M68" s="879"/>
      <c r="N68" s="875"/>
      <c r="O68" s="875"/>
      <c r="P68" s="875"/>
      <c r="Q68" s="875"/>
      <c r="R68" s="876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</row>
    <row r="69" spans="1:31" s="39" customFormat="1" ht="18" customHeight="1" x14ac:dyDescent="0.3">
      <c r="A69" s="709">
        <v>59</v>
      </c>
      <c r="B69" s="735"/>
      <c r="C69" s="872"/>
      <c r="D69" s="872"/>
      <c r="E69" s="780" t="s">
        <v>999</v>
      </c>
      <c r="F69" s="753"/>
      <c r="G69" s="753"/>
      <c r="H69" s="753"/>
      <c r="I69" s="873"/>
      <c r="J69" s="874">
        <f>SUM(K69:R69)</f>
        <v>0</v>
      </c>
      <c r="K69" s="875"/>
      <c r="L69" s="875"/>
      <c r="M69" s="875"/>
      <c r="N69" s="875"/>
      <c r="O69" s="875"/>
      <c r="P69" s="875"/>
      <c r="Q69" s="875"/>
      <c r="R69" s="876"/>
      <c r="S69" s="119"/>
      <c r="T69" s="119"/>
      <c r="U69" s="119"/>
      <c r="V69" s="119"/>
      <c r="W69" s="119"/>
      <c r="X69" s="119"/>
      <c r="Y69" s="119"/>
      <c r="Z69" s="119"/>
      <c r="AA69" s="119"/>
      <c r="AB69" s="119"/>
      <c r="AC69" s="119"/>
      <c r="AD69" s="119"/>
      <c r="AE69" s="119"/>
    </row>
    <row r="70" spans="1:31" s="39" customFormat="1" ht="18" customHeight="1" x14ac:dyDescent="0.3">
      <c r="A70" s="709">
        <v>60</v>
      </c>
      <c r="B70" s="740"/>
      <c r="C70" s="877"/>
      <c r="D70" s="877"/>
      <c r="E70" s="814" t="s">
        <v>1116</v>
      </c>
      <c r="F70" s="781"/>
      <c r="G70" s="781"/>
      <c r="H70" s="781"/>
      <c r="I70" s="869"/>
      <c r="J70" s="861">
        <f>SUM(K70:R70)</f>
        <v>0</v>
      </c>
      <c r="K70" s="870"/>
      <c r="L70" s="870"/>
      <c r="M70" s="870"/>
      <c r="N70" s="870"/>
      <c r="O70" s="870"/>
      <c r="P70" s="870"/>
      <c r="Q70" s="870"/>
      <c r="R70" s="871"/>
      <c r="S70" s="119"/>
      <c r="T70" s="119"/>
      <c r="U70" s="119"/>
      <c r="V70" s="119"/>
      <c r="W70" s="119"/>
      <c r="X70" s="119"/>
      <c r="Y70" s="119"/>
      <c r="Z70" s="119"/>
      <c r="AA70" s="119"/>
      <c r="AB70" s="119"/>
      <c r="AC70" s="119"/>
      <c r="AD70" s="119"/>
      <c r="AE70" s="119"/>
    </row>
    <row r="71" spans="1:31" s="39" customFormat="1" ht="18" customHeight="1" x14ac:dyDescent="0.3">
      <c r="A71" s="709">
        <v>61</v>
      </c>
      <c r="B71" s="718">
        <v>8</v>
      </c>
      <c r="C71" s="858"/>
      <c r="D71" s="814" t="s">
        <v>125</v>
      </c>
      <c r="E71" s="814"/>
      <c r="F71" s="878" t="s">
        <v>23</v>
      </c>
      <c r="G71" s="721">
        <v>82024</v>
      </c>
      <c r="H71" s="721">
        <v>66825</v>
      </c>
      <c r="I71" s="860">
        <v>85870</v>
      </c>
      <c r="J71" s="910"/>
      <c r="K71" s="721"/>
      <c r="L71" s="721"/>
      <c r="M71" s="721"/>
      <c r="N71" s="721"/>
      <c r="O71" s="721"/>
      <c r="P71" s="721"/>
      <c r="Q71" s="721"/>
      <c r="R71" s="862"/>
      <c r="S71" s="119"/>
      <c r="T71" s="119"/>
      <c r="U71" s="119"/>
      <c r="V71" s="119"/>
      <c r="W71" s="119"/>
      <c r="X71" s="119"/>
      <c r="Y71" s="119"/>
      <c r="Z71" s="119"/>
      <c r="AA71" s="119"/>
      <c r="AB71" s="119"/>
      <c r="AC71" s="119"/>
      <c r="AD71" s="119"/>
      <c r="AE71" s="119"/>
    </row>
    <row r="72" spans="1:31" s="36" customFormat="1" ht="18" customHeight="1" x14ac:dyDescent="0.3">
      <c r="A72" s="709">
        <v>62</v>
      </c>
      <c r="B72" s="724"/>
      <c r="C72" s="863"/>
      <c r="D72" s="863"/>
      <c r="E72" s="864" t="s">
        <v>311</v>
      </c>
      <c r="F72" s="777"/>
      <c r="G72" s="777"/>
      <c r="H72" s="777"/>
      <c r="I72" s="865"/>
      <c r="J72" s="866">
        <f t="shared" ref="J72:J76" si="9">SUM(K72:R72)</f>
        <v>69250</v>
      </c>
      <c r="K72" s="867">
        <v>40442</v>
      </c>
      <c r="L72" s="867">
        <v>7151</v>
      </c>
      <c r="M72" s="867">
        <v>21657</v>
      </c>
      <c r="N72" s="867"/>
      <c r="O72" s="867"/>
      <c r="P72" s="867"/>
      <c r="Q72" s="867"/>
      <c r="R72" s="868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</row>
    <row r="73" spans="1:31" s="39" customFormat="1" ht="18" customHeight="1" x14ac:dyDescent="0.3">
      <c r="A73" s="709">
        <v>63</v>
      </c>
      <c r="B73" s="724"/>
      <c r="C73" s="863"/>
      <c r="D73" s="863"/>
      <c r="E73" s="732" t="s">
        <v>1064</v>
      </c>
      <c r="F73" s="777"/>
      <c r="G73" s="777"/>
      <c r="H73" s="777"/>
      <c r="I73" s="865"/>
      <c r="J73" s="861">
        <f t="shared" si="9"/>
        <v>93941</v>
      </c>
      <c r="K73" s="870">
        <v>52127</v>
      </c>
      <c r="L73" s="870">
        <v>8078</v>
      </c>
      <c r="M73" s="870">
        <v>33477</v>
      </c>
      <c r="N73" s="870"/>
      <c r="O73" s="870"/>
      <c r="P73" s="870">
        <v>259</v>
      </c>
      <c r="Q73" s="867"/>
      <c r="R73" s="868"/>
      <c r="S73" s="119"/>
      <c r="T73" s="119"/>
      <c r="U73" s="119"/>
      <c r="V73" s="119"/>
      <c r="W73" s="119"/>
      <c r="X73" s="119"/>
      <c r="Y73" s="119"/>
      <c r="Z73" s="119"/>
      <c r="AA73" s="119"/>
      <c r="AB73" s="119"/>
      <c r="AC73" s="119"/>
      <c r="AD73" s="119"/>
      <c r="AE73" s="119"/>
    </row>
    <row r="74" spans="1:31" s="39" customFormat="1" ht="22.5" customHeight="1" x14ac:dyDescent="0.3">
      <c r="A74" s="709">
        <v>64</v>
      </c>
      <c r="B74" s="735"/>
      <c r="C74" s="872"/>
      <c r="D74" s="872"/>
      <c r="E74" s="738" t="s">
        <v>1134</v>
      </c>
      <c r="F74" s="753"/>
      <c r="G74" s="753"/>
      <c r="H74" s="753"/>
      <c r="I74" s="873"/>
      <c r="J74" s="874">
        <f t="shared" si="9"/>
        <v>96</v>
      </c>
      <c r="K74" s="875">
        <v>83</v>
      </c>
      <c r="L74" s="875">
        <v>13</v>
      </c>
      <c r="M74" s="875"/>
      <c r="N74" s="875"/>
      <c r="O74" s="875"/>
      <c r="P74" s="875"/>
      <c r="Q74" s="875"/>
      <c r="R74" s="876"/>
      <c r="S74" s="119"/>
      <c r="T74" s="119"/>
      <c r="U74" s="119"/>
      <c r="V74" s="119"/>
      <c r="W74" s="119"/>
      <c r="X74" s="119"/>
      <c r="Y74" s="119"/>
      <c r="Z74" s="119"/>
      <c r="AA74" s="119"/>
      <c r="AB74" s="119"/>
      <c r="AC74" s="119"/>
      <c r="AD74" s="119"/>
      <c r="AE74" s="119"/>
    </row>
    <row r="75" spans="1:31" s="285" customFormat="1" ht="18" customHeight="1" x14ac:dyDescent="0.3">
      <c r="A75" s="709">
        <v>65</v>
      </c>
      <c r="B75" s="735"/>
      <c r="C75" s="872"/>
      <c r="D75" s="872"/>
      <c r="E75" s="738" t="s">
        <v>1120</v>
      </c>
      <c r="F75" s="753"/>
      <c r="G75" s="753"/>
      <c r="H75" s="753"/>
      <c r="I75" s="873"/>
      <c r="J75" s="874">
        <f t="shared" si="9"/>
        <v>3125</v>
      </c>
      <c r="K75" s="875">
        <v>2706</v>
      </c>
      <c r="L75" s="875">
        <v>419</v>
      </c>
      <c r="M75" s="875"/>
      <c r="N75" s="875"/>
      <c r="O75" s="875"/>
      <c r="P75" s="875"/>
      <c r="Q75" s="875"/>
      <c r="R75" s="876"/>
      <c r="S75" s="293"/>
      <c r="T75" s="293"/>
      <c r="U75" s="293"/>
      <c r="V75" s="293"/>
      <c r="W75" s="293"/>
      <c r="X75" s="293"/>
      <c r="Y75" s="293"/>
      <c r="Z75" s="293"/>
      <c r="AA75" s="293"/>
      <c r="AB75" s="293"/>
      <c r="AC75" s="293"/>
      <c r="AD75" s="293"/>
      <c r="AE75" s="293"/>
    </row>
    <row r="76" spans="1:31" s="285" customFormat="1" ht="18" customHeight="1" x14ac:dyDescent="0.3">
      <c r="A76" s="709">
        <v>66</v>
      </c>
      <c r="B76" s="735"/>
      <c r="C76" s="872"/>
      <c r="D76" s="872"/>
      <c r="E76" s="738" t="s">
        <v>1000</v>
      </c>
      <c r="F76" s="753"/>
      <c r="G76" s="753"/>
      <c r="H76" s="753"/>
      <c r="I76" s="873"/>
      <c r="J76" s="874">
        <f t="shared" si="9"/>
        <v>0</v>
      </c>
      <c r="K76" s="875"/>
      <c r="L76" s="875"/>
      <c r="M76" s="875">
        <v>-400</v>
      </c>
      <c r="N76" s="875"/>
      <c r="O76" s="875"/>
      <c r="P76" s="875">
        <v>400</v>
      </c>
      <c r="Q76" s="875"/>
      <c r="R76" s="876"/>
      <c r="S76" s="293"/>
      <c r="T76" s="293"/>
      <c r="U76" s="293"/>
      <c r="V76" s="293"/>
      <c r="W76" s="293"/>
      <c r="X76" s="293"/>
      <c r="Y76" s="293"/>
      <c r="Z76" s="293"/>
      <c r="AA76" s="293"/>
      <c r="AB76" s="293"/>
      <c r="AC76" s="293"/>
      <c r="AD76" s="293"/>
      <c r="AE76" s="293"/>
    </row>
    <row r="77" spans="1:31" s="36" customFormat="1" ht="18" customHeight="1" x14ac:dyDescent="0.3">
      <c r="A77" s="709">
        <v>67</v>
      </c>
      <c r="B77" s="740"/>
      <c r="C77" s="877"/>
      <c r="D77" s="877"/>
      <c r="E77" s="814" t="s">
        <v>1116</v>
      </c>
      <c r="F77" s="781"/>
      <c r="G77" s="781"/>
      <c r="H77" s="781"/>
      <c r="I77" s="869"/>
      <c r="J77" s="861">
        <f>SUM(K77:R77)</f>
        <v>97162</v>
      </c>
      <c r="K77" s="870">
        <f>SUM(K73:K76)</f>
        <v>54916</v>
      </c>
      <c r="L77" s="870">
        <f t="shared" ref="L77:P77" si="10">SUM(L73:L76)</f>
        <v>8510</v>
      </c>
      <c r="M77" s="870">
        <f t="shared" si="10"/>
        <v>33077</v>
      </c>
      <c r="N77" s="870"/>
      <c r="O77" s="870"/>
      <c r="P77" s="870">
        <f t="shared" si="10"/>
        <v>659</v>
      </c>
      <c r="Q77" s="870"/>
      <c r="R77" s="871"/>
      <c r="S77" s="79"/>
      <c r="T77" s="79"/>
      <c r="U77" s="79"/>
      <c r="V77" s="79"/>
      <c r="W77" s="79"/>
      <c r="X77" s="79"/>
      <c r="Y77" s="79"/>
      <c r="Z77" s="79"/>
      <c r="AA77" s="79"/>
      <c r="AB77" s="79"/>
      <c r="AC77" s="79"/>
      <c r="AD77" s="79"/>
      <c r="AE77" s="79"/>
    </row>
    <row r="78" spans="1:31" s="36" customFormat="1" ht="18" customHeight="1" x14ac:dyDescent="0.3">
      <c r="A78" s="709">
        <v>68</v>
      </c>
      <c r="B78" s="751"/>
      <c r="C78" s="911">
        <v>1</v>
      </c>
      <c r="D78" s="908" t="s">
        <v>152</v>
      </c>
      <c r="E78" s="908"/>
      <c r="F78" s="909"/>
      <c r="G78" s="721">
        <v>89</v>
      </c>
      <c r="H78" s="721">
        <v>269</v>
      </c>
      <c r="I78" s="860"/>
      <c r="J78" s="910"/>
      <c r="K78" s="879"/>
      <c r="L78" s="879"/>
      <c r="M78" s="879"/>
      <c r="N78" s="875"/>
      <c r="O78" s="875"/>
      <c r="P78" s="875"/>
      <c r="Q78" s="875"/>
      <c r="R78" s="876"/>
      <c r="S78" s="79"/>
      <c r="T78" s="79"/>
      <c r="U78" s="79"/>
      <c r="V78" s="79"/>
      <c r="W78" s="79"/>
      <c r="X78" s="79"/>
      <c r="Y78" s="79"/>
      <c r="Z78" s="79"/>
      <c r="AA78" s="79"/>
      <c r="AB78" s="79"/>
      <c r="AC78" s="79"/>
      <c r="AD78" s="79"/>
      <c r="AE78" s="79"/>
    </row>
    <row r="79" spans="1:31" s="36" customFormat="1" ht="18" customHeight="1" x14ac:dyDescent="0.3">
      <c r="A79" s="709">
        <v>69</v>
      </c>
      <c r="B79" s="718">
        <v>9</v>
      </c>
      <c r="C79" s="858"/>
      <c r="D79" s="814" t="s">
        <v>544</v>
      </c>
      <c r="E79" s="814"/>
      <c r="F79" s="878" t="s">
        <v>23</v>
      </c>
      <c r="G79" s="721"/>
      <c r="H79" s="721">
        <v>236700</v>
      </c>
      <c r="I79" s="860">
        <f>275013-163-17</f>
        <v>274833</v>
      </c>
      <c r="J79" s="910"/>
      <c r="K79" s="721"/>
      <c r="L79" s="721"/>
      <c r="M79" s="721"/>
      <c r="N79" s="721"/>
      <c r="O79" s="721"/>
      <c r="P79" s="721"/>
      <c r="Q79" s="721"/>
      <c r="R79" s="862"/>
      <c r="S79" s="79"/>
      <c r="T79" s="79"/>
      <c r="U79" s="79"/>
      <c r="V79" s="79"/>
      <c r="W79" s="79"/>
      <c r="X79" s="79"/>
      <c r="Y79" s="79"/>
      <c r="Z79" s="79"/>
      <c r="AA79" s="79"/>
      <c r="AB79" s="79"/>
      <c r="AC79" s="79"/>
      <c r="AD79" s="79"/>
      <c r="AE79" s="79"/>
    </row>
    <row r="80" spans="1:31" s="39" customFormat="1" ht="18" customHeight="1" x14ac:dyDescent="0.3">
      <c r="A80" s="709">
        <v>70</v>
      </c>
      <c r="B80" s="724"/>
      <c r="C80" s="885"/>
      <c r="D80" s="885"/>
      <c r="E80" s="813" t="s">
        <v>311</v>
      </c>
      <c r="F80" s="784"/>
      <c r="G80" s="784"/>
      <c r="H80" s="784"/>
      <c r="I80" s="886"/>
      <c r="J80" s="887">
        <f t="shared" ref="J80:J85" si="11">SUM(K80:R80)</f>
        <v>243642</v>
      </c>
      <c r="K80" s="888">
        <v>176682</v>
      </c>
      <c r="L80" s="888">
        <v>35737</v>
      </c>
      <c r="M80" s="888">
        <v>30073</v>
      </c>
      <c r="N80" s="888"/>
      <c r="O80" s="888"/>
      <c r="P80" s="888">
        <v>1150</v>
      </c>
      <c r="Q80" s="888"/>
      <c r="R80" s="889"/>
      <c r="S80" s="119"/>
      <c r="T80" s="119"/>
      <c r="U80" s="119"/>
      <c r="V80" s="119"/>
      <c r="W80" s="119"/>
      <c r="X80" s="119"/>
      <c r="Y80" s="119"/>
      <c r="Z80" s="119"/>
      <c r="AA80" s="119"/>
      <c r="AB80" s="119"/>
      <c r="AC80" s="119"/>
      <c r="AD80" s="119"/>
      <c r="AE80" s="119"/>
    </row>
    <row r="81" spans="1:31" s="39" customFormat="1" ht="18" customHeight="1" x14ac:dyDescent="0.3">
      <c r="A81" s="709">
        <v>71</v>
      </c>
      <c r="B81" s="724"/>
      <c r="C81" s="885"/>
      <c r="D81" s="885"/>
      <c r="E81" s="732" t="s">
        <v>1064</v>
      </c>
      <c r="F81" s="784"/>
      <c r="G81" s="784"/>
      <c r="H81" s="784"/>
      <c r="I81" s="886"/>
      <c r="J81" s="861">
        <f t="shared" ref="J81" si="12">SUM(K81:R81)</f>
        <v>302178</v>
      </c>
      <c r="K81" s="890">
        <v>202977</v>
      </c>
      <c r="L81" s="890">
        <v>40305</v>
      </c>
      <c r="M81" s="890">
        <v>57746</v>
      </c>
      <c r="N81" s="890"/>
      <c r="O81" s="890"/>
      <c r="P81" s="890">
        <v>1150</v>
      </c>
      <c r="Q81" s="888"/>
      <c r="R81" s="889"/>
      <c r="S81" s="119"/>
      <c r="T81" s="119"/>
      <c r="U81" s="119"/>
      <c r="V81" s="119"/>
      <c r="W81" s="119"/>
      <c r="X81" s="119"/>
      <c r="Y81" s="119"/>
      <c r="Z81" s="119"/>
      <c r="AA81" s="119"/>
      <c r="AB81" s="119"/>
      <c r="AC81" s="119"/>
      <c r="AD81" s="119"/>
      <c r="AE81" s="119"/>
    </row>
    <row r="82" spans="1:31" s="39" customFormat="1" ht="22.5" customHeight="1" x14ac:dyDescent="0.3">
      <c r="A82" s="709">
        <v>72</v>
      </c>
      <c r="B82" s="735"/>
      <c r="C82" s="872"/>
      <c r="D82" s="872"/>
      <c r="E82" s="738" t="s">
        <v>1134</v>
      </c>
      <c r="F82" s="753"/>
      <c r="G82" s="753"/>
      <c r="H82" s="753"/>
      <c r="I82" s="873"/>
      <c r="J82" s="874">
        <f t="shared" si="11"/>
        <v>236</v>
      </c>
      <c r="K82" s="875">
        <v>204</v>
      </c>
      <c r="L82" s="875">
        <v>32</v>
      </c>
      <c r="M82" s="875"/>
      <c r="N82" s="875"/>
      <c r="O82" s="875"/>
      <c r="P82" s="875"/>
      <c r="Q82" s="875"/>
      <c r="R82" s="876"/>
      <c r="S82" s="119"/>
      <c r="T82" s="119"/>
      <c r="U82" s="119"/>
      <c r="V82" s="119"/>
      <c r="W82" s="119"/>
      <c r="X82" s="119"/>
      <c r="Y82" s="119"/>
      <c r="Z82" s="119"/>
      <c r="AA82" s="119"/>
      <c r="AB82" s="119"/>
      <c r="AC82" s="119"/>
      <c r="AD82" s="119"/>
      <c r="AE82" s="119"/>
    </row>
    <row r="83" spans="1:31" s="285" customFormat="1" ht="18" customHeight="1" x14ac:dyDescent="0.3">
      <c r="A83" s="709">
        <v>73</v>
      </c>
      <c r="B83" s="735"/>
      <c r="C83" s="872"/>
      <c r="D83" s="872"/>
      <c r="E83" s="738" t="s">
        <v>1120</v>
      </c>
      <c r="F83" s="753"/>
      <c r="G83" s="753"/>
      <c r="H83" s="753"/>
      <c r="I83" s="873"/>
      <c r="J83" s="874">
        <f t="shared" si="11"/>
        <v>17640</v>
      </c>
      <c r="K83" s="875">
        <v>15273</v>
      </c>
      <c r="L83" s="875">
        <v>2367</v>
      </c>
      <c r="M83" s="875"/>
      <c r="N83" s="875"/>
      <c r="O83" s="875"/>
      <c r="P83" s="875"/>
      <c r="Q83" s="875"/>
      <c r="R83" s="876"/>
      <c r="S83" s="293"/>
      <c r="T83" s="293"/>
      <c r="U83" s="293"/>
      <c r="V83" s="293"/>
      <c r="W83" s="293"/>
      <c r="X83" s="293"/>
      <c r="Y83" s="293"/>
      <c r="Z83" s="293"/>
      <c r="AA83" s="293"/>
      <c r="AB83" s="293"/>
      <c r="AC83" s="293"/>
      <c r="AD83" s="293"/>
      <c r="AE83" s="293"/>
    </row>
    <row r="84" spans="1:31" s="285" customFormat="1" ht="18" customHeight="1" x14ac:dyDescent="0.3">
      <c r="A84" s="709">
        <v>74</v>
      </c>
      <c r="B84" s="735"/>
      <c r="C84" s="872"/>
      <c r="D84" s="872"/>
      <c r="E84" s="738" t="s">
        <v>1000</v>
      </c>
      <c r="F84" s="753"/>
      <c r="G84" s="753"/>
      <c r="H84" s="753"/>
      <c r="I84" s="873"/>
      <c r="J84" s="874">
        <f t="shared" si="11"/>
        <v>0</v>
      </c>
      <c r="K84" s="875"/>
      <c r="L84" s="875">
        <v>-1400</v>
      </c>
      <c r="M84" s="875"/>
      <c r="N84" s="875"/>
      <c r="O84" s="875"/>
      <c r="P84" s="875">
        <v>1400</v>
      </c>
      <c r="Q84" s="875"/>
      <c r="R84" s="876"/>
      <c r="S84" s="293"/>
      <c r="T84" s="293"/>
      <c r="U84" s="293"/>
      <c r="V84" s="293"/>
      <c r="W84" s="293"/>
      <c r="X84" s="293"/>
      <c r="Y84" s="293"/>
      <c r="Z84" s="293"/>
      <c r="AA84" s="293"/>
      <c r="AB84" s="293"/>
      <c r="AC84" s="293"/>
      <c r="AD84" s="293"/>
      <c r="AE84" s="293"/>
    </row>
    <row r="85" spans="1:31" s="36" customFormat="1" ht="18" customHeight="1" x14ac:dyDescent="0.3">
      <c r="A85" s="709">
        <v>75</v>
      </c>
      <c r="B85" s="740"/>
      <c r="C85" s="877"/>
      <c r="D85" s="877"/>
      <c r="E85" s="814" t="s">
        <v>1116</v>
      </c>
      <c r="F85" s="781"/>
      <c r="G85" s="781"/>
      <c r="H85" s="781"/>
      <c r="I85" s="869"/>
      <c r="J85" s="861">
        <f t="shared" si="11"/>
        <v>320054</v>
      </c>
      <c r="K85" s="870">
        <f>SUM(K81:K84)</f>
        <v>218454</v>
      </c>
      <c r="L85" s="870">
        <f t="shared" ref="L85:P85" si="13">SUM(L81:L84)</f>
        <v>41304</v>
      </c>
      <c r="M85" s="870">
        <f t="shared" si="13"/>
        <v>57746</v>
      </c>
      <c r="N85" s="870"/>
      <c r="O85" s="870"/>
      <c r="P85" s="870">
        <f t="shared" si="13"/>
        <v>2550</v>
      </c>
      <c r="Q85" s="870"/>
      <c r="R85" s="871"/>
      <c r="S85" s="79"/>
      <c r="T85" s="79"/>
      <c r="U85" s="79"/>
      <c r="V85" s="79"/>
      <c r="W85" s="79"/>
      <c r="X85" s="79"/>
      <c r="Y85" s="79"/>
      <c r="Z85" s="79"/>
      <c r="AA85" s="79"/>
      <c r="AB85" s="79"/>
      <c r="AC85" s="79"/>
      <c r="AD85" s="79"/>
      <c r="AE85" s="79"/>
    </row>
    <row r="86" spans="1:31" s="36" customFormat="1" ht="18" customHeight="1" thickBot="1" x14ac:dyDescent="0.35">
      <c r="A86" s="709">
        <v>76</v>
      </c>
      <c r="B86" s="751"/>
      <c r="C86" s="911">
        <v>1</v>
      </c>
      <c r="D86" s="908" t="s">
        <v>152</v>
      </c>
      <c r="E86" s="908"/>
      <c r="F86" s="909"/>
      <c r="G86" s="721"/>
      <c r="H86" s="721"/>
      <c r="I86" s="860">
        <f>163+17</f>
        <v>180</v>
      </c>
      <c r="J86" s="910"/>
      <c r="K86" s="879"/>
      <c r="L86" s="879"/>
      <c r="M86" s="879"/>
      <c r="N86" s="875"/>
      <c r="O86" s="875"/>
      <c r="P86" s="875"/>
      <c r="Q86" s="875"/>
      <c r="R86" s="876"/>
      <c r="S86" s="79"/>
      <c r="T86" s="79"/>
      <c r="U86" s="79"/>
      <c r="V86" s="79"/>
      <c r="W86" s="79"/>
      <c r="X86" s="79"/>
      <c r="Y86" s="79"/>
      <c r="Z86" s="79"/>
      <c r="AA86" s="79"/>
      <c r="AB86" s="79"/>
      <c r="AC86" s="79"/>
      <c r="AD86" s="79"/>
      <c r="AE86" s="79"/>
    </row>
    <row r="87" spans="1:31" s="36" customFormat="1" ht="18" customHeight="1" thickTop="1" x14ac:dyDescent="0.2">
      <c r="A87" s="709">
        <v>77</v>
      </c>
      <c r="B87" s="891"/>
      <c r="C87" s="1974" t="s">
        <v>666</v>
      </c>
      <c r="D87" s="1975"/>
      <c r="E87" s="1976"/>
      <c r="F87" s="912"/>
      <c r="G87" s="764">
        <f>SUM(G59:G86)</f>
        <v>988845</v>
      </c>
      <c r="H87" s="764">
        <f>SUM(H59:H86)</f>
        <v>1196860</v>
      </c>
      <c r="I87" s="892">
        <f>SUM(I59:I86)</f>
        <v>1317515</v>
      </c>
      <c r="J87" s="893"/>
      <c r="K87" s="913"/>
      <c r="L87" s="913"/>
      <c r="M87" s="913"/>
      <c r="N87" s="913"/>
      <c r="O87" s="913"/>
      <c r="P87" s="913"/>
      <c r="Q87" s="913"/>
      <c r="R87" s="914"/>
      <c r="S87" s="79"/>
      <c r="T87" s="79"/>
      <c r="U87" s="79"/>
      <c r="V87" s="79"/>
      <c r="W87" s="79"/>
      <c r="X87" s="79"/>
      <c r="Y87" s="79"/>
      <c r="Z87" s="79"/>
      <c r="AA87" s="79"/>
      <c r="AB87" s="79"/>
      <c r="AC87" s="79"/>
      <c r="AD87" s="79"/>
      <c r="AE87" s="79"/>
    </row>
    <row r="88" spans="1:31" s="39" customFormat="1" ht="18" customHeight="1" x14ac:dyDescent="0.3">
      <c r="A88" s="709">
        <v>78</v>
      </c>
      <c r="B88" s="724"/>
      <c r="C88" s="895"/>
      <c r="D88" s="885"/>
      <c r="E88" s="813" t="s">
        <v>311</v>
      </c>
      <c r="F88" s="784"/>
      <c r="G88" s="784"/>
      <c r="H88" s="784"/>
      <c r="I88" s="886"/>
      <c r="J88" s="887">
        <f>SUM(K88:R88)</f>
        <v>1309869</v>
      </c>
      <c r="K88" s="888">
        <f t="shared" ref="K88:R89" si="14">SUM(K60,K72,K80)</f>
        <v>930923</v>
      </c>
      <c r="L88" s="888">
        <f t="shared" si="14"/>
        <v>184278</v>
      </c>
      <c r="M88" s="888">
        <f t="shared" si="14"/>
        <v>191888</v>
      </c>
      <c r="N88" s="888">
        <f t="shared" si="14"/>
        <v>0</v>
      </c>
      <c r="O88" s="888">
        <f t="shared" si="14"/>
        <v>0</v>
      </c>
      <c r="P88" s="888">
        <f t="shared" si="14"/>
        <v>2780</v>
      </c>
      <c r="Q88" s="888">
        <f t="shared" si="14"/>
        <v>0</v>
      </c>
      <c r="R88" s="889">
        <f t="shared" si="14"/>
        <v>0</v>
      </c>
      <c r="S88" s="119"/>
      <c r="T88" s="119"/>
      <c r="U88" s="119"/>
      <c r="V88" s="119"/>
      <c r="W88" s="119"/>
      <c r="X88" s="119"/>
      <c r="Y88" s="119"/>
      <c r="Z88" s="119"/>
      <c r="AA88" s="119"/>
      <c r="AB88" s="119"/>
      <c r="AC88" s="119"/>
      <c r="AD88" s="119"/>
      <c r="AE88" s="119"/>
    </row>
    <row r="89" spans="1:31" s="39" customFormat="1" ht="18" customHeight="1" x14ac:dyDescent="0.3">
      <c r="A89" s="709">
        <v>79</v>
      </c>
      <c r="B89" s="724"/>
      <c r="C89" s="895"/>
      <c r="D89" s="885"/>
      <c r="E89" s="732" t="s">
        <v>1064</v>
      </c>
      <c r="F89" s="784"/>
      <c r="G89" s="784"/>
      <c r="H89" s="784"/>
      <c r="I89" s="886"/>
      <c r="J89" s="861">
        <f t="shared" ref="J89" si="15">SUM(K89:R89)</f>
        <v>1454774</v>
      </c>
      <c r="K89" s="890">
        <f t="shared" si="14"/>
        <v>986956</v>
      </c>
      <c r="L89" s="890">
        <f t="shared" si="14"/>
        <v>193763</v>
      </c>
      <c r="M89" s="890">
        <f t="shared" si="14"/>
        <v>270216</v>
      </c>
      <c r="N89" s="890">
        <f t="shared" si="14"/>
        <v>0</v>
      </c>
      <c r="O89" s="890">
        <f t="shared" si="14"/>
        <v>0</v>
      </c>
      <c r="P89" s="890">
        <f t="shared" si="14"/>
        <v>3839</v>
      </c>
      <c r="Q89" s="890">
        <f t="shared" si="14"/>
        <v>0</v>
      </c>
      <c r="R89" s="896">
        <f t="shared" si="14"/>
        <v>0</v>
      </c>
      <c r="S89" s="119"/>
      <c r="T89" s="119"/>
      <c r="U89" s="119"/>
      <c r="V89" s="119"/>
      <c r="W89" s="119"/>
      <c r="X89" s="119"/>
      <c r="Y89" s="119"/>
      <c r="Z89" s="119"/>
      <c r="AA89" s="119"/>
      <c r="AB89" s="119"/>
      <c r="AC89" s="119"/>
      <c r="AD89" s="119"/>
      <c r="AE89" s="119"/>
    </row>
    <row r="90" spans="1:31" s="83" customFormat="1" ht="22.5" customHeight="1" x14ac:dyDescent="0.3">
      <c r="A90" s="709">
        <v>80</v>
      </c>
      <c r="B90" s="735"/>
      <c r="C90" s="897"/>
      <c r="D90" s="872"/>
      <c r="E90" s="780" t="s">
        <v>999</v>
      </c>
      <c r="F90" s="753"/>
      <c r="G90" s="753"/>
      <c r="H90" s="753"/>
      <c r="I90" s="873"/>
      <c r="J90" s="874">
        <f>SUM(K90:R90)</f>
        <v>47937</v>
      </c>
      <c r="K90" s="875">
        <f>SUM(K62:K64,K69:K69,K74:K75,K82:K83)+K65+K76+K84</f>
        <v>40467</v>
      </c>
      <c r="L90" s="875">
        <f t="shared" ref="L90:R90" si="16">SUM(L62:L64,L69:L69,L74:L75,L82:L83)+L65+L76+L84</f>
        <v>4870</v>
      </c>
      <c r="M90" s="875">
        <f t="shared" si="16"/>
        <v>600</v>
      </c>
      <c r="N90" s="875">
        <f t="shared" si="16"/>
        <v>0</v>
      </c>
      <c r="O90" s="875">
        <f t="shared" si="16"/>
        <v>0</v>
      </c>
      <c r="P90" s="875">
        <f t="shared" si="16"/>
        <v>2000</v>
      </c>
      <c r="Q90" s="875">
        <f t="shared" si="16"/>
        <v>0</v>
      </c>
      <c r="R90" s="876">
        <f t="shared" si="16"/>
        <v>0</v>
      </c>
      <c r="S90" s="133"/>
      <c r="T90" s="134"/>
      <c r="U90" s="134"/>
      <c r="V90" s="134"/>
      <c r="W90" s="134"/>
      <c r="X90" s="134"/>
      <c r="Y90" s="134"/>
      <c r="Z90" s="134"/>
      <c r="AA90" s="134"/>
      <c r="AB90" s="134"/>
      <c r="AC90" s="134"/>
      <c r="AD90" s="134"/>
      <c r="AE90" s="134"/>
    </row>
    <row r="91" spans="1:31" s="285" customFormat="1" ht="18" customHeight="1" thickBot="1" x14ac:dyDescent="0.35">
      <c r="A91" s="709">
        <v>81</v>
      </c>
      <c r="B91" s="740"/>
      <c r="C91" s="898"/>
      <c r="D91" s="899"/>
      <c r="E91" s="900" t="s">
        <v>1116</v>
      </c>
      <c r="F91" s="901"/>
      <c r="G91" s="901"/>
      <c r="H91" s="901"/>
      <c r="I91" s="902"/>
      <c r="J91" s="903">
        <f>SUM(K91:R91)</f>
        <v>1502711</v>
      </c>
      <c r="K91" s="904">
        <f>SUM(K89:K90)</f>
        <v>1027423</v>
      </c>
      <c r="L91" s="904">
        <f t="shared" ref="L91:R91" si="17">SUM(L89:L90)</f>
        <v>198633</v>
      </c>
      <c r="M91" s="904">
        <f t="shared" si="17"/>
        <v>270816</v>
      </c>
      <c r="N91" s="904">
        <f t="shared" si="17"/>
        <v>0</v>
      </c>
      <c r="O91" s="904">
        <f t="shared" si="17"/>
        <v>0</v>
      </c>
      <c r="P91" s="904">
        <f t="shared" si="17"/>
        <v>5839</v>
      </c>
      <c r="Q91" s="904">
        <f t="shared" si="17"/>
        <v>0</v>
      </c>
      <c r="R91" s="905">
        <f t="shared" si="17"/>
        <v>0</v>
      </c>
      <c r="S91" s="293"/>
      <c r="T91" s="293"/>
      <c r="U91" s="293"/>
      <c r="V91" s="293"/>
      <c r="W91" s="293"/>
      <c r="X91" s="293"/>
      <c r="Y91" s="293"/>
      <c r="Z91" s="293"/>
      <c r="AA91" s="293"/>
      <c r="AB91" s="293"/>
      <c r="AC91" s="293"/>
      <c r="AD91" s="293"/>
      <c r="AE91" s="293"/>
    </row>
    <row r="92" spans="1:31" s="285" customFormat="1" ht="18" customHeight="1" thickTop="1" x14ac:dyDescent="0.3">
      <c r="A92" s="709">
        <v>82</v>
      </c>
      <c r="B92" s="711">
        <v>10</v>
      </c>
      <c r="C92" s="852"/>
      <c r="D92" s="853" t="s">
        <v>546</v>
      </c>
      <c r="E92" s="906"/>
      <c r="F92" s="854" t="s">
        <v>23</v>
      </c>
      <c r="G92" s="715">
        <v>246321</v>
      </c>
      <c r="H92" s="715">
        <v>214545</v>
      </c>
      <c r="I92" s="855">
        <v>245048</v>
      </c>
      <c r="J92" s="907"/>
      <c r="K92" s="715"/>
      <c r="L92" s="715"/>
      <c r="M92" s="715"/>
      <c r="N92" s="715"/>
      <c r="O92" s="715"/>
      <c r="P92" s="715"/>
      <c r="Q92" s="715"/>
      <c r="R92" s="857"/>
      <c r="S92" s="293"/>
      <c r="T92" s="293"/>
      <c r="U92" s="293"/>
      <c r="V92" s="293"/>
      <c r="W92" s="293"/>
      <c r="X92" s="293"/>
      <c r="Y92" s="293"/>
      <c r="Z92" s="293"/>
      <c r="AA92" s="293"/>
      <c r="AB92" s="293"/>
      <c r="AC92" s="293"/>
      <c r="AD92" s="293"/>
      <c r="AE92" s="293"/>
    </row>
    <row r="93" spans="1:31" s="36" customFormat="1" ht="18" customHeight="1" x14ac:dyDescent="0.3">
      <c r="A93" s="709">
        <v>83</v>
      </c>
      <c r="B93" s="724"/>
      <c r="C93" s="863"/>
      <c r="D93" s="863"/>
      <c r="E93" s="864" t="s">
        <v>311</v>
      </c>
      <c r="F93" s="777"/>
      <c r="G93" s="777"/>
      <c r="H93" s="777"/>
      <c r="I93" s="865"/>
      <c r="J93" s="866">
        <f t="shared" ref="J93:J96" si="18">SUM(K93:R93)</f>
        <v>213129</v>
      </c>
      <c r="K93" s="867">
        <f>82250-11583+11583</f>
        <v>82250</v>
      </c>
      <c r="L93" s="867">
        <f>15250-2027+2027</f>
        <v>15250</v>
      </c>
      <c r="M93" s="867">
        <v>115629</v>
      </c>
      <c r="N93" s="867"/>
      <c r="O93" s="867"/>
      <c r="P93" s="867"/>
      <c r="Q93" s="867"/>
      <c r="R93" s="868"/>
      <c r="S93" s="79"/>
      <c r="T93" s="79"/>
      <c r="U93" s="79"/>
      <c r="V93" s="79"/>
      <c r="W93" s="79"/>
      <c r="X93" s="79"/>
      <c r="Y93" s="79"/>
      <c r="Z93" s="79"/>
      <c r="AA93" s="79"/>
      <c r="AB93" s="79"/>
      <c r="AC93" s="79"/>
      <c r="AD93" s="79"/>
      <c r="AE93" s="79"/>
    </row>
    <row r="94" spans="1:31" s="39" customFormat="1" ht="18" customHeight="1" x14ac:dyDescent="0.3">
      <c r="A94" s="709">
        <v>84</v>
      </c>
      <c r="B94" s="724"/>
      <c r="C94" s="863"/>
      <c r="D94" s="863"/>
      <c r="E94" s="732" t="s">
        <v>1064</v>
      </c>
      <c r="F94" s="777"/>
      <c r="G94" s="777"/>
      <c r="H94" s="777"/>
      <c r="I94" s="865"/>
      <c r="J94" s="861">
        <f t="shared" ref="J94" si="19">SUM(K94:R94)</f>
        <v>243942</v>
      </c>
      <c r="K94" s="870">
        <v>89750</v>
      </c>
      <c r="L94" s="870">
        <v>17245</v>
      </c>
      <c r="M94" s="870">
        <v>134679</v>
      </c>
      <c r="N94" s="870"/>
      <c r="O94" s="870"/>
      <c r="P94" s="870">
        <v>2268</v>
      </c>
      <c r="Q94" s="867"/>
      <c r="R94" s="868"/>
      <c r="S94" s="119"/>
      <c r="T94" s="119"/>
      <c r="U94" s="119"/>
      <c r="V94" s="119"/>
      <c r="W94" s="119"/>
      <c r="X94" s="119"/>
      <c r="Y94" s="119"/>
      <c r="Z94" s="119"/>
      <c r="AA94" s="119"/>
      <c r="AB94" s="119"/>
      <c r="AC94" s="119"/>
      <c r="AD94" s="119"/>
      <c r="AE94" s="119"/>
    </row>
    <row r="95" spans="1:31" s="30" customFormat="1" ht="22.5" customHeight="1" x14ac:dyDescent="0.3">
      <c r="A95" s="709">
        <v>85</v>
      </c>
      <c r="B95" s="735"/>
      <c r="C95" s="872"/>
      <c r="D95" s="872"/>
      <c r="E95" s="738" t="s">
        <v>1137</v>
      </c>
      <c r="F95" s="753"/>
      <c r="G95" s="753"/>
      <c r="H95" s="753"/>
      <c r="I95" s="873"/>
      <c r="J95" s="874">
        <f t="shared" si="18"/>
        <v>1696</v>
      </c>
      <c r="K95" s="875">
        <v>1468</v>
      </c>
      <c r="L95" s="875">
        <v>228</v>
      </c>
      <c r="M95" s="875"/>
      <c r="N95" s="875"/>
      <c r="O95" s="875"/>
      <c r="P95" s="875"/>
      <c r="Q95" s="875"/>
      <c r="R95" s="876"/>
      <c r="S95" s="92"/>
      <c r="T95" s="92"/>
      <c r="U95" s="92"/>
      <c r="V95" s="92"/>
      <c r="W95" s="92"/>
      <c r="X95" s="92"/>
      <c r="Y95" s="92"/>
      <c r="Z95" s="92"/>
      <c r="AA95" s="92"/>
      <c r="AB95" s="92"/>
      <c r="AC95" s="92"/>
      <c r="AD95" s="92"/>
      <c r="AE95" s="92"/>
    </row>
    <row r="96" spans="1:31" s="285" customFormat="1" ht="18" customHeight="1" x14ac:dyDescent="0.3">
      <c r="A96" s="709">
        <v>86</v>
      </c>
      <c r="B96" s="740"/>
      <c r="C96" s="877"/>
      <c r="D96" s="877"/>
      <c r="E96" s="814" t="s">
        <v>1116</v>
      </c>
      <c r="F96" s="781"/>
      <c r="G96" s="781"/>
      <c r="H96" s="781"/>
      <c r="I96" s="869"/>
      <c r="J96" s="861">
        <f t="shared" si="18"/>
        <v>245638</v>
      </c>
      <c r="K96" s="870">
        <f>SUM(K94:K95)</f>
        <v>91218</v>
      </c>
      <c r="L96" s="870">
        <f>SUM(L94:L95)</f>
        <v>17473</v>
      </c>
      <c r="M96" s="870">
        <f>SUM(M94:M95)</f>
        <v>134679</v>
      </c>
      <c r="N96" s="870"/>
      <c r="O96" s="870"/>
      <c r="P96" s="870">
        <f>SUM(P94:P95)</f>
        <v>2268</v>
      </c>
      <c r="Q96" s="870"/>
      <c r="R96" s="871"/>
      <c r="S96" s="293"/>
      <c r="T96" s="293"/>
      <c r="U96" s="293"/>
      <c r="V96" s="293"/>
      <c r="W96" s="293"/>
      <c r="X96" s="293"/>
      <c r="Y96" s="293"/>
      <c r="Z96" s="293"/>
      <c r="AA96" s="293"/>
      <c r="AB96" s="293"/>
      <c r="AC96" s="293"/>
      <c r="AD96" s="293"/>
      <c r="AE96" s="293"/>
    </row>
    <row r="97" spans="1:31" s="285" customFormat="1" ht="18" customHeight="1" x14ac:dyDescent="0.3">
      <c r="A97" s="709">
        <v>87</v>
      </c>
      <c r="B97" s="915"/>
      <c r="C97" s="916"/>
      <c r="D97" s="917" t="s">
        <v>919</v>
      </c>
      <c r="E97" s="918"/>
      <c r="F97" s="919"/>
      <c r="G97" s="722"/>
      <c r="H97" s="722"/>
      <c r="I97" s="920"/>
      <c r="J97" s="910"/>
      <c r="K97" s="875"/>
      <c r="L97" s="875"/>
      <c r="M97" s="875"/>
      <c r="N97" s="875"/>
      <c r="O97" s="875"/>
      <c r="P97" s="875"/>
      <c r="Q97" s="875"/>
      <c r="R97" s="876"/>
      <c r="S97" s="293"/>
      <c r="T97" s="293"/>
      <c r="U97" s="293"/>
      <c r="V97" s="293"/>
      <c r="W97" s="293"/>
      <c r="X97" s="293"/>
      <c r="Y97" s="293"/>
      <c r="Z97" s="293"/>
      <c r="AA97" s="293"/>
      <c r="AB97" s="293"/>
      <c r="AC97" s="293"/>
      <c r="AD97" s="293"/>
      <c r="AE97" s="293"/>
    </row>
    <row r="98" spans="1:31" s="36" customFormat="1" ht="18" customHeight="1" x14ac:dyDescent="0.3">
      <c r="A98" s="709">
        <v>88</v>
      </c>
      <c r="B98" s="921"/>
      <c r="C98" s="922"/>
      <c r="D98" s="922"/>
      <c r="E98" s="923" t="s">
        <v>311</v>
      </c>
      <c r="F98" s="924"/>
      <c r="G98" s="778"/>
      <c r="H98" s="778"/>
      <c r="I98" s="925"/>
      <c r="J98" s="926">
        <f>SUM(K98:R98)</f>
        <v>13610</v>
      </c>
      <c r="K98" s="927">
        <v>11583</v>
      </c>
      <c r="L98" s="927">
        <v>2027</v>
      </c>
      <c r="M98" s="927"/>
      <c r="N98" s="927"/>
      <c r="O98" s="927"/>
      <c r="P98" s="927"/>
      <c r="Q98" s="927"/>
      <c r="R98" s="928"/>
      <c r="S98" s="79"/>
      <c r="T98" s="79"/>
      <c r="U98" s="79"/>
      <c r="V98" s="79"/>
      <c r="W98" s="79"/>
      <c r="X98" s="79"/>
      <c r="Y98" s="79"/>
      <c r="Z98" s="79"/>
      <c r="AA98" s="79"/>
      <c r="AB98" s="79"/>
      <c r="AC98" s="79"/>
      <c r="AD98" s="79"/>
      <c r="AE98" s="79"/>
    </row>
    <row r="99" spans="1:31" s="36" customFormat="1" ht="18" customHeight="1" x14ac:dyDescent="0.3">
      <c r="A99" s="709">
        <v>89</v>
      </c>
      <c r="B99" s="921"/>
      <c r="C99" s="922"/>
      <c r="D99" s="922"/>
      <c r="E99" s="732" t="s">
        <v>1138</v>
      </c>
      <c r="F99" s="924"/>
      <c r="G99" s="778"/>
      <c r="H99" s="778"/>
      <c r="I99" s="925"/>
      <c r="J99" s="861">
        <f t="shared" ref="J99" si="20">SUM(K99:R99)</f>
        <v>0</v>
      </c>
      <c r="K99" s="929">
        <v>0</v>
      </c>
      <c r="L99" s="929">
        <v>0</v>
      </c>
      <c r="M99" s="927"/>
      <c r="N99" s="927"/>
      <c r="O99" s="927"/>
      <c r="P99" s="927"/>
      <c r="Q99" s="927"/>
      <c r="R99" s="928"/>
      <c r="S99" s="79"/>
      <c r="T99" s="79"/>
      <c r="U99" s="79"/>
      <c r="V99" s="79"/>
      <c r="W99" s="79"/>
      <c r="X99" s="79"/>
      <c r="Y99" s="79"/>
      <c r="Z99" s="79"/>
      <c r="AA99" s="79"/>
      <c r="AB99" s="79"/>
      <c r="AC99" s="79"/>
      <c r="AD99" s="79"/>
      <c r="AE99" s="79"/>
    </row>
    <row r="100" spans="1:31" s="39" customFormat="1" ht="18" customHeight="1" x14ac:dyDescent="0.3">
      <c r="A100" s="709">
        <v>90</v>
      </c>
      <c r="B100" s="735"/>
      <c r="C100" s="872"/>
      <c r="D100" s="872"/>
      <c r="E100" s="930" t="s">
        <v>1012</v>
      </c>
      <c r="F100" s="753"/>
      <c r="G100" s="753"/>
      <c r="H100" s="753"/>
      <c r="I100" s="873"/>
      <c r="J100" s="874">
        <f>SUM(K100:R100)</f>
        <v>0</v>
      </c>
      <c r="K100" s="875"/>
      <c r="L100" s="875"/>
      <c r="M100" s="875"/>
      <c r="N100" s="875"/>
      <c r="O100" s="875"/>
      <c r="P100" s="875"/>
      <c r="Q100" s="875"/>
      <c r="R100" s="876"/>
      <c r="S100" s="119"/>
      <c r="T100" s="119"/>
      <c r="U100" s="119"/>
      <c r="V100" s="119"/>
      <c r="W100" s="119"/>
      <c r="X100" s="119"/>
      <c r="Y100" s="119"/>
      <c r="Z100" s="119"/>
      <c r="AA100" s="119"/>
      <c r="AB100" s="119"/>
      <c r="AC100" s="119"/>
      <c r="AD100" s="119"/>
      <c r="AE100" s="119"/>
    </row>
    <row r="101" spans="1:31" s="36" customFormat="1" ht="18" customHeight="1" x14ac:dyDescent="0.3">
      <c r="A101" s="709">
        <v>91</v>
      </c>
      <c r="B101" s="891"/>
      <c r="C101" s="931"/>
      <c r="D101" s="931"/>
      <c r="E101" s="932" t="s">
        <v>1116</v>
      </c>
      <c r="F101" s="782"/>
      <c r="G101" s="782"/>
      <c r="H101" s="782"/>
      <c r="I101" s="933"/>
      <c r="J101" s="910">
        <f>SUM(K101:R101)</f>
        <v>0</v>
      </c>
      <c r="K101" s="929">
        <f>SUM(K99:K100)</f>
        <v>0</v>
      </c>
      <c r="L101" s="929">
        <f>SUM(L99:L100)</f>
        <v>0</v>
      </c>
      <c r="M101" s="929"/>
      <c r="N101" s="929"/>
      <c r="O101" s="929"/>
      <c r="P101" s="929"/>
      <c r="Q101" s="929"/>
      <c r="R101" s="934"/>
      <c r="S101" s="79"/>
      <c r="T101" s="79"/>
      <c r="U101" s="79"/>
      <c r="V101" s="79"/>
      <c r="W101" s="79"/>
      <c r="X101" s="79"/>
      <c r="Y101" s="79"/>
      <c r="Z101" s="79"/>
      <c r="AA101" s="79"/>
      <c r="AB101" s="79"/>
      <c r="AC101" s="79"/>
      <c r="AD101" s="79"/>
      <c r="AE101" s="79"/>
    </row>
    <row r="102" spans="1:31" s="295" customFormat="1" ht="18" customHeight="1" x14ac:dyDescent="0.3">
      <c r="A102" s="709">
        <v>92</v>
      </c>
      <c r="B102" s="751"/>
      <c r="C102" s="858">
        <v>1</v>
      </c>
      <c r="D102" s="908" t="s">
        <v>655</v>
      </c>
      <c r="E102" s="908"/>
      <c r="F102" s="909"/>
      <c r="G102" s="721"/>
      <c r="H102" s="721"/>
      <c r="I102" s="935">
        <v>5228</v>
      </c>
      <c r="J102" s="910"/>
      <c r="K102" s="879"/>
      <c r="L102" s="879"/>
      <c r="M102" s="879"/>
      <c r="N102" s="875"/>
      <c r="O102" s="875"/>
      <c r="P102" s="875"/>
      <c r="Q102" s="875"/>
      <c r="R102" s="876"/>
      <c r="S102" s="294"/>
      <c r="T102" s="294"/>
      <c r="U102" s="294"/>
      <c r="V102" s="294"/>
      <c r="W102" s="294"/>
      <c r="X102" s="294"/>
      <c r="Y102" s="294"/>
      <c r="Z102" s="294"/>
      <c r="AA102" s="294"/>
      <c r="AB102" s="294"/>
      <c r="AC102" s="294"/>
      <c r="AD102" s="294"/>
      <c r="AE102" s="294"/>
    </row>
    <row r="103" spans="1:31" s="295" customFormat="1" ht="18" customHeight="1" x14ac:dyDescent="0.3">
      <c r="A103" s="709">
        <v>93</v>
      </c>
      <c r="B103" s="724"/>
      <c r="C103" s="863"/>
      <c r="D103" s="863"/>
      <c r="E103" s="936" t="s">
        <v>311</v>
      </c>
      <c r="F103" s="937"/>
      <c r="G103" s="777"/>
      <c r="H103" s="777"/>
      <c r="I103" s="865"/>
      <c r="J103" s="866">
        <f>SUM(K103:R103)</f>
        <v>89379</v>
      </c>
      <c r="K103" s="867">
        <v>33444</v>
      </c>
      <c r="L103" s="867">
        <v>6075</v>
      </c>
      <c r="M103" s="867">
        <v>45810</v>
      </c>
      <c r="N103" s="867"/>
      <c r="O103" s="867"/>
      <c r="P103" s="867">
        <v>4050</v>
      </c>
      <c r="Q103" s="867"/>
      <c r="R103" s="868"/>
      <c r="S103" s="294"/>
      <c r="T103" s="294"/>
      <c r="U103" s="294"/>
      <c r="V103" s="294"/>
      <c r="W103" s="294"/>
      <c r="X103" s="294"/>
      <c r="Y103" s="294"/>
      <c r="Z103" s="294"/>
      <c r="AA103" s="294"/>
      <c r="AB103" s="294"/>
      <c r="AC103" s="294"/>
      <c r="AD103" s="294"/>
      <c r="AE103" s="294"/>
    </row>
    <row r="104" spans="1:31" s="36" customFormat="1" ht="18" customHeight="1" x14ac:dyDescent="0.3">
      <c r="A104" s="709">
        <v>94</v>
      </c>
      <c r="B104" s="724"/>
      <c r="C104" s="863"/>
      <c r="D104" s="863"/>
      <c r="E104" s="732" t="s">
        <v>1064</v>
      </c>
      <c r="F104" s="937"/>
      <c r="G104" s="777"/>
      <c r="H104" s="777"/>
      <c r="I104" s="865"/>
      <c r="J104" s="861">
        <f t="shared" ref="J104" si="21">SUM(K104:R104)</f>
        <v>89379</v>
      </c>
      <c r="K104" s="870">
        <v>33444</v>
      </c>
      <c r="L104" s="870">
        <v>6075</v>
      </c>
      <c r="M104" s="870">
        <v>45810</v>
      </c>
      <c r="N104" s="870"/>
      <c r="O104" s="870"/>
      <c r="P104" s="870">
        <v>4050</v>
      </c>
      <c r="Q104" s="867"/>
      <c r="R104" s="868"/>
      <c r="S104" s="79"/>
      <c r="T104" s="79"/>
      <c r="U104" s="79"/>
      <c r="V104" s="79"/>
      <c r="W104" s="79"/>
      <c r="X104" s="79"/>
      <c r="Y104" s="79"/>
      <c r="Z104" s="79"/>
      <c r="AA104" s="79"/>
      <c r="AB104" s="79"/>
      <c r="AC104" s="79"/>
      <c r="AD104" s="79"/>
      <c r="AE104" s="79"/>
    </row>
    <row r="105" spans="1:31" s="40" customFormat="1" ht="18" customHeight="1" x14ac:dyDescent="0.3">
      <c r="A105" s="709">
        <v>95</v>
      </c>
      <c r="B105" s="735"/>
      <c r="C105" s="872"/>
      <c r="D105" s="872"/>
      <c r="E105" s="780" t="s">
        <v>999</v>
      </c>
      <c r="F105" s="753"/>
      <c r="G105" s="753"/>
      <c r="H105" s="753"/>
      <c r="I105" s="873"/>
      <c r="J105" s="874">
        <f>SUM(K105:R105)</f>
        <v>0</v>
      </c>
      <c r="K105" s="875"/>
      <c r="L105" s="875"/>
      <c r="M105" s="875"/>
      <c r="N105" s="875"/>
      <c r="O105" s="875"/>
      <c r="P105" s="875"/>
      <c r="Q105" s="875"/>
      <c r="R105" s="876"/>
      <c r="S105" s="133"/>
      <c r="T105" s="133"/>
      <c r="U105" s="133"/>
      <c r="V105" s="133"/>
      <c r="W105" s="133"/>
      <c r="X105" s="133"/>
      <c r="Y105" s="133"/>
      <c r="Z105" s="133"/>
      <c r="AA105" s="133"/>
      <c r="AB105" s="133"/>
      <c r="AC105" s="133"/>
      <c r="AD105" s="133"/>
      <c r="AE105" s="133"/>
    </row>
    <row r="106" spans="1:31" s="33" customFormat="1" ht="18" customHeight="1" x14ac:dyDescent="0.3">
      <c r="A106" s="709">
        <v>96</v>
      </c>
      <c r="B106" s="740"/>
      <c r="C106" s="877"/>
      <c r="D106" s="877"/>
      <c r="E106" s="814" t="s">
        <v>1116</v>
      </c>
      <c r="F106" s="781"/>
      <c r="G106" s="781"/>
      <c r="H106" s="781"/>
      <c r="I106" s="869"/>
      <c r="J106" s="861">
        <f>SUM(K106:R106)</f>
        <v>89379</v>
      </c>
      <c r="K106" s="870">
        <f>SUM(K104:K105)</f>
        <v>33444</v>
      </c>
      <c r="L106" s="870">
        <f t="shared" ref="L106:P106" si="22">SUM(L104:L105)</f>
        <v>6075</v>
      </c>
      <c r="M106" s="870">
        <f t="shared" si="22"/>
        <v>45810</v>
      </c>
      <c r="N106" s="870"/>
      <c r="O106" s="870"/>
      <c r="P106" s="870">
        <f t="shared" si="22"/>
        <v>4050</v>
      </c>
      <c r="Q106" s="870"/>
      <c r="R106" s="871"/>
      <c r="S106" s="41"/>
      <c r="T106" s="41"/>
      <c r="U106" s="41"/>
      <c r="V106" s="41"/>
      <c r="W106" s="41"/>
      <c r="X106" s="41"/>
      <c r="Y106" s="41"/>
      <c r="Z106" s="41"/>
      <c r="AA106" s="41"/>
      <c r="AB106" s="41"/>
      <c r="AC106" s="41"/>
      <c r="AD106" s="41"/>
      <c r="AE106" s="41"/>
    </row>
    <row r="107" spans="1:31" s="295" customFormat="1" ht="18" customHeight="1" x14ac:dyDescent="0.3">
      <c r="A107" s="709">
        <v>97</v>
      </c>
      <c r="B107" s="718">
        <v>11</v>
      </c>
      <c r="C107" s="858"/>
      <c r="D107" s="814" t="s">
        <v>528</v>
      </c>
      <c r="E107" s="814"/>
      <c r="F107" s="878" t="s">
        <v>23</v>
      </c>
      <c r="G107" s="721">
        <v>133426</v>
      </c>
      <c r="H107" s="721">
        <v>125485</v>
      </c>
      <c r="I107" s="860">
        <v>151034</v>
      </c>
      <c r="J107" s="910"/>
      <c r="K107" s="721"/>
      <c r="L107" s="721"/>
      <c r="M107" s="721"/>
      <c r="N107" s="721"/>
      <c r="O107" s="721"/>
      <c r="P107" s="721"/>
      <c r="Q107" s="721"/>
      <c r="R107" s="862"/>
      <c r="S107" s="294"/>
      <c r="T107" s="294"/>
      <c r="U107" s="294"/>
      <c r="V107" s="294"/>
      <c r="W107" s="294"/>
      <c r="X107" s="294"/>
      <c r="Y107" s="294"/>
      <c r="Z107" s="294"/>
      <c r="AA107" s="294"/>
      <c r="AB107" s="294"/>
      <c r="AC107" s="294"/>
      <c r="AD107" s="294"/>
      <c r="AE107" s="294"/>
    </row>
    <row r="108" spans="1:31" s="295" customFormat="1" ht="18" customHeight="1" x14ac:dyDescent="0.3">
      <c r="A108" s="709">
        <v>98</v>
      </c>
      <c r="B108" s="724"/>
      <c r="C108" s="863"/>
      <c r="D108" s="863"/>
      <c r="E108" s="864" t="s">
        <v>311</v>
      </c>
      <c r="F108" s="777"/>
      <c r="G108" s="777"/>
      <c r="H108" s="777"/>
      <c r="I108" s="865"/>
      <c r="J108" s="866">
        <f t="shared" ref="J108:J113" si="23">SUM(K108:R108)</f>
        <v>125328</v>
      </c>
      <c r="K108" s="867">
        <f>71395-11583+11583</f>
        <v>71395</v>
      </c>
      <c r="L108" s="867">
        <f>12810-2027+2027</f>
        <v>12810</v>
      </c>
      <c r="M108" s="867">
        <v>41123</v>
      </c>
      <c r="N108" s="867"/>
      <c r="O108" s="867"/>
      <c r="P108" s="867"/>
      <c r="Q108" s="867"/>
      <c r="R108" s="868"/>
      <c r="S108" s="294"/>
      <c r="T108" s="294"/>
      <c r="U108" s="294"/>
      <c r="V108" s="294"/>
      <c r="W108" s="294"/>
      <c r="X108" s="294"/>
      <c r="Y108" s="294"/>
      <c r="Z108" s="294"/>
      <c r="AA108" s="294"/>
      <c r="AB108" s="294"/>
      <c r="AC108" s="294"/>
      <c r="AD108" s="294"/>
      <c r="AE108" s="294"/>
    </row>
    <row r="109" spans="1:31" s="36" customFormat="1" ht="18" customHeight="1" x14ac:dyDescent="0.3">
      <c r="A109" s="709">
        <v>99</v>
      </c>
      <c r="B109" s="724"/>
      <c r="C109" s="863"/>
      <c r="D109" s="863"/>
      <c r="E109" s="732" t="s">
        <v>1064</v>
      </c>
      <c r="F109" s="777"/>
      <c r="G109" s="777"/>
      <c r="H109" s="777"/>
      <c r="I109" s="865"/>
      <c r="J109" s="861">
        <f t="shared" ref="J109" si="24">SUM(K109:R109)</f>
        <v>138550</v>
      </c>
      <c r="K109" s="870">
        <v>74142</v>
      </c>
      <c r="L109" s="870">
        <v>13634</v>
      </c>
      <c r="M109" s="870">
        <v>48819</v>
      </c>
      <c r="N109" s="870"/>
      <c r="O109" s="870"/>
      <c r="P109" s="870">
        <v>1955</v>
      </c>
      <c r="Q109" s="867"/>
      <c r="R109" s="868"/>
      <c r="S109" s="79"/>
      <c r="T109" s="79"/>
      <c r="U109" s="79"/>
      <c r="V109" s="79"/>
      <c r="W109" s="79"/>
      <c r="X109" s="79"/>
      <c r="Y109" s="79"/>
      <c r="Z109" s="79"/>
      <c r="AA109" s="79"/>
      <c r="AB109" s="79"/>
      <c r="AC109" s="79"/>
      <c r="AD109" s="79"/>
      <c r="AE109" s="79"/>
    </row>
    <row r="110" spans="1:31" s="39" customFormat="1" ht="18" customHeight="1" x14ac:dyDescent="0.3">
      <c r="A110" s="709">
        <v>100</v>
      </c>
      <c r="B110" s="735"/>
      <c r="C110" s="872"/>
      <c r="D110" s="872"/>
      <c r="E110" s="738" t="s">
        <v>1134</v>
      </c>
      <c r="F110" s="753"/>
      <c r="G110" s="753"/>
      <c r="H110" s="753"/>
      <c r="I110" s="873"/>
      <c r="J110" s="874">
        <f t="shared" si="23"/>
        <v>25</v>
      </c>
      <c r="K110" s="875">
        <v>22</v>
      </c>
      <c r="L110" s="875">
        <v>3</v>
      </c>
      <c r="M110" s="875"/>
      <c r="N110" s="875"/>
      <c r="O110" s="875"/>
      <c r="P110" s="875"/>
      <c r="Q110" s="875"/>
      <c r="R110" s="876"/>
      <c r="S110" s="119"/>
      <c r="T110" s="119"/>
      <c r="U110" s="119"/>
      <c r="V110" s="119"/>
      <c r="W110" s="119"/>
      <c r="X110" s="119"/>
      <c r="Y110" s="119"/>
      <c r="Z110" s="119"/>
      <c r="AA110" s="119"/>
      <c r="AB110" s="119"/>
      <c r="AC110" s="119"/>
      <c r="AD110" s="119"/>
      <c r="AE110" s="119"/>
    </row>
    <row r="111" spans="1:31" s="36" customFormat="1" ht="22.5" customHeight="1" x14ac:dyDescent="0.3">
      <c r="A111" s="709">
        <v>101</v>
      </c>
      <c r="B111" s="735"/>
      <c r="C111" s="872"/>
      <c r="D111" s="872"/>
      <c r="E111" s="738" t="s">
        <v>1137</v>
      </c>
      <c r="F111" s="753"/>
      <c r="G111" s="753"/>
      <c r="H111" s="753"/>
      <c r="I111" s="873"/>
      <c r="J111" s="874">
        <f t="shared" si="23"/>
        <v>1496</v>
      </c>
      <c r="K111" s="875">
        <v>1295</v>
      </c>
      <c r="L111" s="875">
        <v>201</v>
      </c>
      <c r="M111" s="875"/>
      <c r="N111" s="875"/>
      <c r="O111" s="875"/>
      <c r="P111" s="875"/>
      <c r="Q111" s="875"/>
      <c r="R111" s="876"/>
      <c r="S111" s="79"/>
      <c r="T111" s="79"/>
      <c r="U111" s="79"/>
      <c r="V111" s="79"/>
      <c r="W111" s="79"/>
      <c r="X111" s="79"/>
      <c r="Y111" s="79"/>
      <c r="Z111" s="79"/>
      <c r="AA111" s="79"/>
      <c r="AB111" s="79"/>
      <c r="AC111" s="79"/>
      <c r="AD111" s="79"/>
      <c r="AE111" s="79"/>
    </row>
    <row r="112" spans="1:31" s="295" customFormat="1" ht="18" customHeight="1" x14ac:dyDescent="0.3">
      <c r="A112" s="709">
        <v>102</v>
      </c>
      <c r="B112" s="735"/>
      <c r="C112" s="872"/>
      <c r="D112" s="872"/>
      <c r="E112" s="780" t="s">
        <v>1139</v>
      </c>
      <c r="F112" s="753"/>
      <c r="G112" s="753"/>
      <c r="H112" s="753"/>
      <c r="I112" s="873"/>
      <c r="J112" s="874">
        <f t="shared" si="23"/>
        <v>3732</v>
      </c>
      <c r="K112" s="875">
        <v>1000</v>
      </c>
      <c r="L112" s="875">
        <v>124</v>
      </c>
      <c r="M112" s="875">
        <v>2481</v>
      </c>
      <c r="N112" s="875"/>
      <c r="O112" s="875"/>
      <c r="P112" s="875">
        <v>127</v>
      </c>
      <c r="Q112" s="875"/>
      <c r="R112" s="876"/>
      <c r="S112" s="294"/>
      <c r="T112" s="294"/>
      <c r="U112" s="294"/>
      <c r="V112" s="294"/>
      <c r="W112" s="294"/>
      <c r="X112" s="294"/>
      <c r="Y112" s="294"/>
      <c r="Z112" s="294"/>
      <c r="AA112" s="294"/>
      <c r="AB112" s="294"/>
      <c r="AC112" s="294"/>
      <c r="AD112" s="294"/>
      <c r="AE112" s="294"/>
    </row>
    <row r="113" spans="1:31" s="295" customFormat="1" ht="18" customHeight="1" x14ac:dyDescent="0.3">
      <c r="A113" s="709">
        <v>103</v>
      </c>
      <c r="B113" s="740"/>
      <c r="C113" s="877"/>
      <c r="D113" s="877"/>
      <c r="E113" s="814" t="s">
        <v>1116</v>
      </c>
      <c r="F113" s="781"/>
      <c r="G113" s="781"/>
      <c r="H113" s="781"/>
      <c r="I113" s="869"/>
      <c r="J113" s="861">
        <f t="shared" si="23"/>
        <v>143803</v>
      </c>
      <c r="K113" s="870">
        <f>SUM(K109:K112)</f>
        <v>76459</v>
      </c>
      <c r="L113" s="870">
        <f>SUM(L109:L112)</f>
        <v>13962</v>
      </c>
      <c r="M113" s="870">
        <f>SUM(M109:M112)</f>
        <v>51300</v>
      </c>
      <c r="N113" s="870"/>
      <c r="O113" s="870"/>
      <c r="P113" s="870">
        <f>SUM(P109:P112)</f>
        <v>2082</v>
      </c>
      <c r="Q113" s="870"/>
      <c r="R113" s="871"/>
      <c r="S113" s="294"/>
      <c r="T113" s="294"/>
      <c r="U113" s="294"/>
      <c r="V113" s="294"/>
      <c r="W113" s="294"/>
      <c r="X113" s="294"/>
      <c r="Y113" s="294"/>
      <c r="Z113" s="294"/>
      <c r="AA113" s="294"/>
      <c r="AB113" s="294"/>
      <c r="AC113" s="294"/>
      <c r="AD113" s="294"/>
      <c r="AE113" s="294"/>
    </row>
    <row r="114" spans="1:31" s="36" customFormat="1" ht="18" customHeight="1" x14ac:dyDescent="0.3">
      <c r="A114" s="709">
        <v>104</v>
      </c>
      <c r="B114" s="915"/>
      <c r="C114" s="916"/>
      <c r="D114" s="917" t="s">
        <v>919</v>
      </c>
      <c r="E114" s="918"/>
      <c r="F114" s="919"/>
      <c r="G114" s="722"/>
      <c r="H114" s="722"/>
      <c r="I114" s="920"/>
      <c r="J114" s="910"/>
      <c r="K114" s="875"/>
      <c r="L114" s="875"/>
      <c r="M114" s="875"/>
      <c r="N114" s="875"/>
      <c r="O114" s="875"/>
      <c r="P114" s="875"/>
      <c r="Q114" s="875"/>
      <c r="R114" s="876"/>
      <c r="S114" s="79"/>
      <c r="T114" s="79"/>
      <c r="U114" s="79"/>
      <c r="V114" s="79"/>
      <c r="W114" s="79"/>
      <c r="X114" s="79"/>
      <c r="Y114" s="79"/>
      <c r="Z114" s="79"/>
      <c r="AA114" s="79"/>
      <c r="AB114" s="79"/>
      <c r="AC114" s="79"/>
      <c r="AD114" s="79"/>
      <c r="AE114" s="79"/>
    </row>
    <row r="115" spans="1:31" s="36" customFormat="1" ht="18" customHeight="1" x14ac:dyDescent="0.3">
      <c r="A115" s="709">
        <v>105</v>
      </c>
      <c r="B115" s="921"/>
      <c r="C115" s="922"/>
      <c r="D115" s="922"/>
      <c r="E115" s="923" t="s">
        <v>311</v>
      </c>
      <c r="F115" s="924"/>
      <c r="G115" s="778"/>
      <c r="H115" s="778"/>
      <c r="I115" s="925"/>
      <c r="J115" s="926">
        <f>SUM(K115:R115)</f>
        <v>13610</v>
      </c>
      <c r="K115" s="927">
        <v>11583</v>
      </c>
      <c r="L115" s="927">
        <v>2027</v>
      </c>
      <c r="M115" s="927"/>
      <c r="N115" s="927"/>
      <c r="O115" s="927"/>
      <c r="P115" s="927"/>
      <c r="Q115" s="927"/>
      <c r="R115" s="928"/>
      <c r="S115" s="79"/>
      <c r="T115" s="79"/>
      <c r="U115" s="79"/>
      <c r="V115" s="79"/>
      <c r="W115" s="79"/>
      <c r="X115" s="79"/>
      <c r="Y115" s="79"/>
      <c r="Z115" s="79"/>
      <c r="AA115" s="79"/>
      <c r="AB115" s="79"/>
      <c r="AC115" s="79"/>
      <c r="AD115" s="79"/>
      <c r="AE115" s="79"/>
    </row>
    <row r="116" spans="1:31" s="36" customFormat="1" ht="18" customHeight="1" x14ac:dyDescent="0.3">
      <c r="A116" s="709">
        <v>106</v>
      </c>
      <c r="B116" s="921"/>
      <c r="C116" s="922"/>
      <c r="D116" s="922"/>
      <c r="E116" s="932" t="s">
        <v>1064</v>
      </c>
      <c r="F116" s="924"/>
      <c r="G116" s="778"/>
      <c r="H116" s="778"/>
      <c r="I116" s="925"/>
      <c r="J116" s="910">
        <f>SUM(K116:R116)</f>
        <v>0</v>
      </c>
      <c r="K116" s="929">
        <v>0</v>
      </c>
      <c r="L116" s="929">
        <v>0</v>
      </c>
      <c r="M116" s="927"/>
      <c r="N116" s="927"/>
      <c r="O116" s="927"/>
      <c r="P116" s="927"/>
      <c r="Q116" s="927"/>
      <c r="R116" s="928"/>
      <c r="S116" s="79"/>
      <c r="T116" s="79"/>
      <c r="U116" s="79"/>
      <c r="V116" s="79"/>
      <c r="W116" s="79"/>
      <c r="X116" s="79"/>
      <c r="Y116" s="79"/>
      <c r="Z116" s="79"/>
      <c r="AA116" s="79"/>
      <c r="AB116" s="79"/>
      <c r="AC116" s="79"/>
      <c r="AD116" s="79"/>
      <c r="AE116" s="79"/>
    </row>
    <row r="117" spans="1:31" s="36" customFormat="1" ht="18" customHeight="1" x14ac:dyDescent="0.3">
      <c r="A117" s="709">
        <v>107</v>
      </c>
      <c r="B117" s="735"/>
      <c r="C117" s="872"/>
      <c r="D117" s="872"/>
      <c r="E117" s="930" t="s">
        <v>1012</v>
      </c>
      <c r="F117" s="753"/>
      <c r="G117" s="753"/>
      <c r="H117" s="753"/>
      <c r="I117" s="873"/>
      <c r="J117" s="874">
        <f>SUM(K117:R117)</f>
        <v>0</v>
      </c>
      <c r="K117" s="875"/>
      <c r="L117" s="875"/>
      <c r="M117" s="875"/>
      <c r="N117" s="875"/>
      <c r="O117" s="875"/>
      <c r="P117" s="875"/>
      <c r="Q117" s="875"/>
      <c r="R117" s="876"/>
      <c r="S117" s="79"/>
      <c r="T117" s="79"/>
      <c r="U117" s="79"/>
      <c r="V117" s="79"/>
      <c r="W117" s="79"/>
      <c r="X117" s="79"/>
      <c r="Y117" s="79"/>
      <c r="Z117" s="79"/>
      <c r="AA117" s="79"/>
      <c r="AB117" s="79"/>
      <c r="AC117" s="79"/>
      <c r="AD117" s="79"/>
      <c r="AE117" s="79"/>
    </row>
    <row r="118" spans="1:31" s="39" customFormat="1" ht="18" customHeight="1" x14ac:dyDescent="0.3">
      <c r="A118" s="709">
        <v>108</v>
      </c>
      <c r="B118" s="891"/>
      <c r="C118" s="931"/>
      <c r="D118" s="931"/>
      <c r="E118" s="932" t="s">
        <v>1116</v>
      </c>
      <c r="F118" s="782"/>
      <c r="G118" s="782"/>
      <c r="H118" s="782"/>
      <c r="I118" s="933"/>
      <c r="J118" s="910">
        <f>SUM(K118:R118)</f>
        <v>0</v>
      </c>
      <c r="K118" s="929">
        <f>SUM(K116:K117)</f>
        <v>0</v>
      </c>
      <c r="L118" s="929">
        <f>SUM(L116:L117)</f>
        <v>0</v>
      </c>
      <c r="M118" s="929"/>
      <c r="N118" s="929"/>
      <c r="O118" s="929"/>
      <c r="P118" s="929"/>
      <c r="Q118" s="929"/>
      <c r="R118" s="934"/>
      <c r="S118" s="119"/>
      <c r="T118" s="119"/>
      <c r="U118" s="119"/>
      <c r="V118" s="119"/>
      <c r="W118" s="119"/>
      <c r="X118" s="119"/>
      <c r="Y118" s="119"/>
      <c r="Z118" s="119"/>
      <c r="AA118" s="119"/>
      <c r="AB118" s="119"/>
      <c r="AC118" s="119"/>
      <c r="AD118" s="119"/>
      <c r="AE118" s="119"/>
    </row>
    <row r="119" spans="1:31" s="36" customFormat="1" ht="18" customHeight="1" x14ac:dyDescent="0.3">
      <c r="A119" s="709">
        <v>109</v>
      </c>
      <c r="B119" s="718">
        <v>12</v>
      </c>
      <c r="C119" s="858"/>
      <c r="D119" s="814" t="s">
        <v>25</v>
      </c>
      <c r="E119" s="814"/>
      <c r="F119" s="878" t="s">
        <v>23</v>
      </c>
      <c r="G119" s="721">
        <v>444070</v>
      </c>
      <c r="H119" s="721">
        <v>403206</v>
      </c>
      <c r="I119" s="860">
        <v>440640</v>
      </c>
      <c r="J119" s="910"/>
      <c r="K119" s="721"/>
      <c r="L119" s="721"/>
      <c r="M119" s="721"/>
      <c r="N119" s="721"/>
      <c r="O119" s="721"/>
      <c r="P119" s="721"/>
      <c r="Q119" s="721"/>
      <c r="R119" s="862"/>
      <c r="S119" s="79"/>
      <c r="T119" s="79"/>
      <c r="U119" s="79"/>
      <c r="V119" s="79"/>
      <c r="W119" s="79"/>
      <c r="X119" s="79"/>
      <c r="Y119" s="79"/>
      <c r="Z119" s="79"/>
      <c r="AA119" s="79"/>
      <c r="AB119" s="79"/>
      <c r="AC119" s="79"/>
      <c r="AD119" s="79"/>
      <c r="AE119" s="79"/>
    </row>
    <row r="120" spans="1:31" s="295" customFormat="1" ht="18" customHeight="1" x14ac:dyDescent="0.3">
      <c r="A120" s="709">
        <v>110</v>
      </c>
      <c r="B120" s="724"/>
      <c r="C120" s="863"/>
      <c r="D120" s="863"/>
      <c r="E120" s="864" t="s">
        <v>311</v>
      </c>
      <c r="F120" s="777"/>
      <c r="G120" s="777"/>
      <c r="H120" s="777"/>
      <c r="I120" s="865"/>
      <c r="J120" s="866">
        <f t="shared" ref="J120:J125" si="25">SUM(K120:R120)</f>
        <v>411904</v>
      </c>
      <c r="K120" s="867">
        <f>171809-11583+11583</f>
        <v>171809</v>
      </c>
      <c r="L120" s="867">
        <f>30653-2027+2027</f>
        <v>30653</v>
      </c>
      <c r="M120" s="867">
        <v>193442</v>
      </c>
      <c r="N120" s="867"/>
      <c r="O120" s="867"/>
      <c r="P120" s="867">
        <v>16000</v>
      </c>
      <c r="Q120" s="867"/>
      <c r="R120" s="868"/>
      <c r="S120" s="294"/>
      <c r="T120" s="294"/>
      <c r="U120" s="294"/>
      <c r="V120" s="294"/>
      <c r="W120" s="294"/>
      <c r="X120" s="294"/>
      <c r="Y120" s="294"/>
      <c r="Z120" s="294"/>
      <c r="AA120" s="294"/>
      <c r="AB120" s="294"/>
      <c r="AC120" s="294"/>
      <c r="AD120" s="294"/>
      <c r="AE120" s="294"/>
    </row>
    <row r="121" spans="1:31" s="295" customFormat="1" ht="18" customHeight="1" x14ac:dyDescent="0.3">
      <c r="A121" s="709">
        <v>111</v>
      </c>
      <c r="B121" s="724"/>
      <c r="C121" s="863"/>
      <c r="D121" s="863"/>
      <c r="E121" s="732" t="s">
        <v>1064</v>
      </c>
      <c r="F121" s="777"/>
      <c r="G121" s="777"/>
      <c r="H121" s="777"/>
      <c r="I121" s="865"/>
      <c r="J121" s="861">
        <f t="shared" si="25"/>
        <v>432768</v>
      </c>
      <c r="K121" s="870">
        <v>178897</v>
      </c>
      <c r="L121" s="870">
        <v>32040</v>
      </c>
      <c r="M121" s="870">
        <v>158881</v>
      </c>
      <c r="N121" s="870"/>
      <c r="O121" s="870"/>
      <c r="P121" s="870">
        <v>62950</v>
      </c>
      <c r="Q121" s="867"/>
      <c r="R121" s="868"/>
      <c r="S121" s="294"/>
      <c r="T121" s="294"/>
      <c r="U121" s="294"/>
      <c r="V121" s="294"/>
      <c r="W121" s="294"/>
      <c r="X121" s="294"/>
      <c r="Y121" s="294"/>
      <c r="Z121" s="294"/>
      <c r="AA121" s="294"/>
      <c r="AB121" s="294"/>
      <c r="AC121" s="294"/>
      <c r="AD121" s="294"/>
      <c r="AE121" s="294"/>
    </row>
    <row r="122" spans="1:31" s="36" customFormat="1" ht="18" customHeight="1" x14ac:dyDescent="0.3">
      <c r="A122" s="709">
        <v>112</v>
      </c>
      <c r="B122" s="735"/>
      <c r="C122" s="872"/>
      <c r="D122" s="872"/>
      <c r="E122" s="738" t="s">
        <v>1134</v>
      </c>
      <c r="F122" s="753"/>
      <c r="G122" s="753"/>
      <c r="H122" s="753"/>
      <c r="I122" s="873"/>
      <c r="J122" s="874">
        <f t="shared" si="25"/>
        <v>80</v>
      </c>
      <c r="K122" s="875">
        <v>69</v>
      </c>
      <c r="L122" s="875">
        <v>11</v>
      </c>
      <c r="M122" s="875"/>
      <c r="N122" s="875"/>
      <c r="O122" s="875"/>
      <c r="P122" s="875"/>
      <c r="Q122" s="875"/>
      <c r="R122" s="876"/>
      <c r="S122" s="79"/>
      <c r="T122" s="79"/>
      <c r="U122" s="79"/>
      <c r="V122" s="79"/>
      <c r="W122" s="79"/>
      <c r="X122" s="79"/>
      <c r="Y122" s="79"/>
      <c r="Z122" s="79"/>
      <c r="AA122" s="79"/>
      <c r="AB122" s="79"/>
      <c r="AC122" s="79"/>
      <c r="AD122" s="79"/>
      <c r="AE122" s="79"/>
    </row>
    <row r="123" spans="1:31" s="40" customFormat="1" ht="18" customHeight="1" x14ac:dyDescent="0.3">
      <c r="A123" s="709">
        <v>113</v>
      </c>
      <c r="B123" s="735"/>
      <c r="C123" s="872"/>
      <c r="D123" s="872"/>
      <c r="E123" s="738" t="s">
        <v>1137</v>
      </c>
      <c r="F123" s="753"/>
      <c r="G123" s="753"/>
      <c r="H123" s="753"/>
      <c r="I123" s="873"/>
      <c r="J123" s="874">
        <f t="shared" si="25"/>
        <v>3884</v>
      </c>
      <c r="K123" s="875">
        <v>3363</v>
      </c>
      <c r="L123" s="875">
        <v>521</v>
      </c>
      <c r="M123" s="875"/>
      <c r="N123" s="875"/>
      <c r="O123" s="875"/>
      <c r="P123" s="875"/>
      <c r="Q123" s="875"/>
      <c r="R123" s="876"/>
      <c r="S123" s="133"/>
      <c r="T123" s="133"/>
      <c r="U123" s="133"/>
      <c r="V123" s="133"/>
      <c r="W123" s="133"/>
      <c r="X123" s="133"/>
      <c r="Y123" s="133"/>
      <c r="Z123" s="133"/>
      <c r="AA123" s="133"/>
      <c r="AB123" s="133"/>
      <c r="AC123" s="133"/>
      <c r="AD123" s="133"/>
      <c r="AE123" s="133"/>
    </row>
    <row r="124" spans="1:31" s="36" customFormat="1" ht="22.5" customHeight="1" x14ac:dyDescent="0.3">
      <c r="A124" s="709">
        <v>114</v>
      </c>
      <c r="B124" s="735"/>
      <c r="C124" s="872"/>
      <c r="D124" s="872"/>
      <c r="E124" s="780" t="s">
        <v>1140</v>
      </c>
      <c r="F124" s="753"/>
      <c r="G124" s="753"/>
      <c r="H124" s="753"/>
      <c r="I124" s="873"/>
      <c r="J124" s="874">
        <f t="shared" si="25"/>
        <v>5892</v>
      </c>
      <c r="K124" s="875"/>
      <c r="L124" s="875"/>
      <c r="M124" s="875">
        <v>-1161</v>
      </c>
      <c r="N124" s="875"/>
      <c r="O124" s="875"/>
      <c r="P124" s="875">
        <v>7053</v>
      </c>
      <c r="Q124" s="875"/>
      <c r="R124" s="876"/>
      <c r="S124" s="79"/>
      <c r="T124" s="79"/>
      <c r="U124" s="79"/>
      <c r="V124" s="79"/>
      <c r="W124" s="79"/>
      <c r="X124" s="79"/>
      <c r="Y124" s="79"/>
      <c r="Z124" s="79"/>
      <c r="AA124" s="79"/>
      <c r="AB124" s="79"/>
      <c r="AC124" s="79"/>
      <c r="AD124" s="79"/>
      <c r="AE124" s="79"/>
    </row>
    <row r="125" spans="1:31" s="295" customFormat="1" ht="18" customHeight="1" x14ac:dyDescent="0.3">
      <c r="A125" s="709">
        <v>115</v>
      </c>
      <c r="B125" s="740"/>
      <c r="C125" s="877"/>
      <c r="D125" s="877"/>
      <c r="E125" s="814" t="s">
        <v>1116</v>
      </c>
      <c r="F125" s="781"/>
      <c r="G125" s="781"/>
      <c r="H125" s="781"/>
      <c r="I125" s="869"/>
      <c r="J125" s="861">
        <f t="shared" si="25"/>
        <v>442624</v>
      </c>
      <c r="K125" s="870">
        <f>SUM(K121:K124)</f>
        <v>182329</v>
      </c>
      <c r="L125" s="870">
        <f>SUM(L121:L124)</f>
        <v>32572</v>
      </c>
      <c r="M125" s="870">
        <f>SUM(M121:M124)</f>
        <v>157720</v>
      </c>
      <c r="N125" s="870"/>
      <c r="O125" s="870"/>
      <c r="P125" s="870">
        <f>SUM(P121:P124)</f>
        <v>70003</v>
      </c>
      <c r="Q125" s="870"/>
      <c r="R125" s="871"/>
      <c r="S125" s="294"/>
      <c r="T125" s="294"/>
      <c r="U125" s="294"/>
      <c r="V125" s="294"/>
      <c r="W125" s="294"/>
      <c r="X125" s="294"/>
      <c r="Y125" s="294"/>
      <c r="Z125" s="294"/>
      <c r="AA125" s="294"/>
      <c r="AB125" s="294"/>
      <c r="AC125" s="294"/>
      <c r="AD125" s="294"/>
      <c r="AE125" s="294"/>
    </row>
    <row r="126" spans="1:31" s="295" customFormat="1" ht="18" customHeight="1" x14ac:dyDescent="0.3">
      <c r="A126" s="709">
        <v>116</v>
      </c>
      <c r="B126" s="915"/>
      <c r="C126" s="916"/>
      <c r="D126" s="917" t="s">
        <v>919</v>
      </c>
      <c r="E126" s="918"/>
      <c r="F126" s="919"/>
      <c r="G126" s="722"/>
      <c r="H126" s="722"/>
      <c r="I126" s="920"/>
      <c r="J126" s="910"/>
      <c r="K126" s="875"/>
      <c r="L126" s="875"/>
      <c r="M126" s="875"/>
      <c r="N126" s="875"/>
      <c r="O126" s="875"/>
      <c r="P126" s="875"/>
      <c r="Q126" s="875"/>
      <c r="R126" s="876"/>
      <c r="S126" s="294"/>
      <c r="T126" s="294"/>
      <c r="U126" s="294"/>
      <c r="V126" s="294"/>
      <c r="W126" s="294"/>
      <c r="X126" s="294"/>
      <c r="Y126" s="294"/>
      <c r="Z126" s="294"/>
      <c r="AA126" s="294"/>
      <c r="AB126" s="294"/>
      <c r="AC126" s="294"/>
      <c r="AD126" s="294"/>
      <c r="AE126" s="294"/>
    </row>
    <row r="127" spans="1:31" s="36" customFormat="1" ht="18" customHeight="1" x14ac:dyDescent="0.3">
      <c r="A127" s="709">
        <v>117</v>
      </c>
      <c r="B127" s="921"/>
      <c r="C127" s="922"/>
      <c r="D127" s="922"/>
      <c r="E127" s="923" t="s">
        <v>311</v>
      </c>
      <c r="F127" s="924"/>
      <c r="G127" s="778"/>
      <c r="H127" s="778"/>
      <c r="I127" s="925"/>
      <c r="J127" s="926">
        <f>SUM(K127:R127)</f>
        <v>13610</v>
      </c>
      <c r="K127" s="927">
        <v>11583</v>
      </c>
      <c r="L127" s="927">
        <v>2027</v>
      </c>
      <c r="M127" s="927"/>
      <c r="N127" s="927"/>
      <c r="O127" s="927"/>
      <c r="P127" s="927"/>
      <c r="Q127" s="927"/>
      <c r="R127" s="928"/>
      <c r="S127" s="79"/>
      <c r="T127" s="79"/>
      <c r="U127" s="79"/>
      <c r="V127" s="79"/>
      <c r="W127" s="79"/>
      <c r="X127" s="79"/>
      <c r="Y127" s="79"/>
      <c r="Z127" s="79"/>
      <c r="AA127" s="79"/>
      <c r="AB127" s="79"/>
      <c r="AC127" s="79"/>
      <c r="AD127" s="79"/>
      <c r="AE127" s="79"/>
    </row>
    <row r="128" spans="1:31" s="36" customFormat="1" ht="18" customHeight="1" x14ac:dyDescent="0.3">
      <c r="A128" s="709">
        <v>118</v>
      </c>
      <c r="B128" s="921"/>
      <c r="C128" s="922"/>
      <c r="D128" s="922"/>
      <c r="E128" s="932" t="s">
        <v>1064</v>
      </c>
      <c r="F128" s="924"/>
      <c r="G128" s="778"/>
      <c r="H128" s="778"/>
      <c r="I128" s="925"/>
      <c r="J128" s="910">
        <f>SUM(K128:R128)</f>
        <v>0</v>
      </c>
      <c r="K128" s="929">
        <v>0</v>
      </c>
      <c r="L128" s="929">
        <v>0</v>
      </c>
      <c r="M128" s="927"/>
      <c r="N128" s="927"/>
      <c r="O128" s="927"/>
      <c r="P128" s="927"/>
      <c r="Q128" s="927"/>
      <c r="R128" s="928"/>
      <c r="S128" s="79"/>
      <c r="T128" s="79"/>
      <c r="U128" s="79"/>
      <c r="V128" s="79"/>
      <c r="W128" s="79"/>
      <c r="X128" s="79"/>
      <c r="Y128" s="79"/>
      <c r="Z128" s="79"/>
      <c r="AA128" s="79"/>
      <c r="AB128" s="79"/>
      <c r="AC128" s="79"/>
      <c r="AD128" s="79"/>
      <c r="AE128" s="79"/>
    </row>
    <row r="129" spans="1:31" s="36" customFormat="1" ht="18" customHeight="1" x14ac:dyDescent="0.3">
      <c r="A129" s="709">
        <v>119</v>
      </c>
      <c r="B129" s="735"/>
      <c r="C129" s="872"/>
      <c r="D129" s="872"/>
      <c r="E129" s="930" t="s">
        <v>1012</v>
      </c>
      <c r="F129" s="753"/>
      <c r="G129" s="753"/>
      <c r="H129" s="753"/>
      <c r="I129" s="873"/>
      <c r="J129" s="874">
        <f>SUM(K129:R129)</f>
        <v>0</v>
      </c>
      <c r="K129" s="875"/>
      <c r="L129" s="875"/>
      <c r="M129" s="875"/>
      <c r="N129" s="875"/>
      <c r="O129" s="875"/>
      <c r="P129" s="875"/>
      <c r="Q129" s="875"/>
      <c r="R129" s="876"/>
      <c r="S129" s="79"/>
      <c r="T129" s="79"/>
      <c r="U129" s="79"/>
      <c r="V129" s="79"/>
      <c r="W129" s="79"/>
      <c r="X129" s="79"/>
      <c r="Y129" s="79"/>
      <c r="Z129" s="79"/>
      <c r="AA129" s="79"/>
      <c r="AB129" s="79"/>
      <c r="AC129" s="79"/>
      <c r="AD129" s="79"/>
      <c r="AE129" s="79"/>
    </row>
    <row r="130" spans="1:31" s="39" customFormat="1" ht="18" customHeight="1" x14ac:dyDescent="0.3">
      <c r="A130" s="709">
        <v>120</v>
      </c>
      <c r="B130" s="891"/>
      <c r="C130" s="931"/>
      <c r="D130" s="931"/>
      <c r="E130" s="932" t="s">
        <v>1116</v>
      </c>
      <c r="F130" s="782"/>
      <c r="G130" s="782"/>
      <c r="H130" s="782"/>
      <c r="I130" s="933"/>
      <c r="J130" s="910">
        <f>SUM(K130:R130)</f>
        <v>0</v>
      </c>
      <c r="K130" s="929">
        <f>SUM(K128:K129)</f>
        <v>0</v>
      </c>
      <c r="L130" s="929">
        <f>SUM(L128:L129)</f>
        <v>0</v>
      </c>
      <c r="M130" s="929"/>
      <c r="N130" s="929"/>
      <c r="O130" s="929"/>
      <c r="P130" s="929"/>
      <c r="Q130" s="929"/>
      <c r="R130" s="934"/>
      <c r="S130" s="119"/>
      <c r="T130" s="119"/>
      <c r="U130" s="119"/>
      <c r="V130" s="119"/>
      <c r="W130" s="119"/>
      <c r="X130" s="119"/>
      <c r="Y130" s="119"/>
      <c r="Z130" s="119"/>
      <c r="AA130" s="119"/>
      <c r="AB130" s="119"/>
      <c r="AC130" s="119"/>
      <c r="AD130" s="119"/>
      <c r="AE130" s="119"/>
    </row>
    <row r="131" spans="1:31" s="36" customFormat="1" ht="18" customHeight="1" x14ac:dyDescent="0.3">
      <c r="A131" s="709">
        <v>121</v>
      </c>
      <c r="B131" s="751"/>
      <c r="C131" s="858">
        <v>1</v>
      </c>
      <c r="D131" s="908" t="s">
        <v>152</v>
      </c>
      <c r="E131" s="908"/>
      <c r="F131" s="909"/>
      <c r="G131" s="721">
        <v>657</v>
      </c>
      <c r="H131" s="721"/>
      <c r="I131" s="935"/>
      <c r="J131" s="910"/>
      <c r="K131" s="879"/>
      <c r="L131" s="879"/>
      <c r="M131" s="879"/>
      <c r="N131" s="875"/>
      <c r="O131" s="875"/>
      <c r="P131" s="875"/>
      <c r="Q131" s="875"/>
      <c r="R131" s="876"/>
      <c r="S131" s="79"/>
      <c r="T131" s="79"/>
      <c r="U131" s="79"/>
      <c r="V131" s="79"/>
      <c r="W131" s="79"/>
      <c r="X131" s="79"/>
      <c r="Y131" s="79"/>
      <c r="Z131" s="79"/>
      <c r="AA131" s="79"/>
      <c r="AB131" s="79"/>
      <c r="AC131" s="79"/>
      <c r="AD131" s="79"/>
      <c r="AE131" s="79"/>
    </row>
    <row r="132" spans="1:31" s="295" customFormat="1" ht="18" customHeight="1" x14ac:dyDescent="0.3">
      <c r="A132" s="709">
        <v>122</v>
      </c>
      <c r="B132" s="751"/>
      <c r="C132" s="858">
        <v>2</v>
      </c>
      <c r="D132" s="908" t="s">
        <v>655</v>
      </c>
      <c r="E132" s="908"/>
      <c r="F132" s="909"/>
      <c r="G132" s="721"/>
      <c r="H132" s="721"/>
      <c r="I132" s="935">
        <v>2096</v>
      </c>
      <c r="J132" s="910"/>
      <c r="K132" s="879"/>
      <c r="L132" s="879"/>
      <c r="M132" s="879"/>
      <c r="N132" s="875"/>
      <c r="O132" s="875"/>
      <c r="P132" s="875"/>
      <c r="Q132" s="875"/>
      <c r="R132" s="876"/>
      <c r="S132" s="294"/>
      <c r="T132" s="294"/>
      <c r="U132" s="294"/>
      <c r="V132" s="294"/>
      <c r="W132" s="294"/>
      <c r="X132" s="294"/>
      <c r="Y132" s="294"/>
      <c r="Z132" s="294"/>
      <c r="AA132" s="294"/>
      <c r="AB132" s="294"/>
      <c r="AC132" s="294"/>
      <c r="AD132" s="294"/>
      <c r="AE132" s="294"/>
    </row>
    <row r="133" spans="1:31" s="295" customFormat="1" ht="18" customHeight="1" x14ac:dyDescent="0.3">
      <c r="A133" s="709">
        <v>123</v>
      </c>
      <c r="B133" s="724"/>
      <c r="C133" s="863"/>
      <c r="D133" s="863"/>
      <c r="E133" s="936" t="s">
        <v>311</v>
      </c>
      <c r="F133" s="937"/>
      <c r="G133" s="777"/>
      <c r="H133" s="777"/>
      <c r="I133" s="865"/>
      <c r="J133" s="866">
        <f>SUM(K133:R133)</f>
        <v>55574</v>
      </c>
      <c r="K133" s="867">
        <v>13419</v>
      </c>
      <c r="L133" s="867">
        <v>2395</v>
      </c>
      <c r="M133" s="867">
        <v>37360</v>
      </c>
      <c r="N133" s="867"/>
      <c r="O133" s="867"/>
      <c r="P133" s="867">
        <v>2400</v>
      </c>
      <c r="Q133" s="867"/>
      <c r="R133" s="868"/>
      <c r="S133" s="294"/>
      <c r="T133" s="294"/>
      <c r="U133" s="294"/>
      <c r="V133" s="294"/>
      <c r="W133" s="294"/>
      <c r="X133" s="294"/>
      <c r="Y133" s="294"/>
      <c r="Z133" s="294"/>
      <c r="AA133" s="294"/>
      <c r="AB133" s="294"/>
      <c r="AC133" s="294"/>
      <c r="AD133" s="294"/>
      <c r="AE133" s="294"/>
    </row>
    <row r="134" spans="1:31" s="36" customFormat="1" ht="18" customHeight="1" x14ac:dyDescent="0.3">
      <c r="A134" s="709">
        <v>124</v>
      </c>
      <c r="B134" s="724"/>
      <c r="C134" s="863"/>
      <c r="D134" s="863"/>
      <c r="E134" s="814" t="s">
        <v>1064</v>
      </c>
      <c r="F134" s="937"/>
      <c r="G134" s="777"/>
      <c r="H134" s="777"/>
      <c r="I134" s="865"/>
      <c r="J134" s="861">
        <f>SUM(K134:R134)</f>
        <v>55491</v>
      </c>
      <c r="K134" s="870">
        <v>13365</v>
      </c>
      <c r="L134" s="870">
        <v>2366</v>
      </c>
      <c r="M134" s="870">
        <v>37360</v>
      </c>
      <c r="N134" s="870"/>
      <c r="O134" s="870"/>
      <c r="P134" s="870">
        <v>2400</v>
      </c>
      <c r="Q134" s="867"/>
      <c r="R134" s="868"/>
      <c r="S134" s="79"/>
      <c r="T134" s="79"/>
      <c r="U134" s="79"/>
      <c r="V134" s="79"/>
      <c r="W134" s="79"/>
      <c r="X134" s="79"/>
      <c r="Y134" s="79"/>
      <c r="Z134" s="79"/>
      <c r="AA134" s="79"/>
      <c r="AB134" s="79"/>
      <c r="AC134" s="79"/>
      <c r="AD134" s="79"/>
      <c r="AE134" s="79"/>
    </row>
    <row r="135" spans="1:31" s="40" customFormat="1" ht="18" customHeight="1" x14ac:dyDescent="0.3">
      <c r="A135" s="709">
        <v>125</v>
      </c>
      <c r="B135" s="735"/>
      <c r="C135" s="872"/>
      <c r="D135" s="872"/>
      <c r="E135" s="780" t="s">
        <v>1012</v>
      </c>
      <c r="F135" s="753"/>
      <c r="G135" s="753"/>
      <c r="H135" s="753"/>
      <c r="I135" s="873"/>
      <c r="J135" s="874">
        <f>SUM(K135:R135)</f>
        <v>0</v>
      </c>
      <c r="K135" s="875"/>
      <c r="L135" s="875"/>
      <c r="M135" s="875"/>
      <c r="N135" s="875"/>
      <c r="O135" s="875"/>
      <c r="P135" s="875"/>
      <c r="Q135" s="875"/>
      <c r="R135" s="876"/>
      <c r="S135" s="133"/>
      <c r="T135" s="133"/>
      <c r="U135" s="133"/>
      <c r="V135" s="133"/>
      <c r="W135" s="133"/>
      <c r="X135" s="133"/>
      <c r="Y135" s="133"/>
      <c r="Z135" s="133"/>
      <c r="AA135" s="133"/>
      <c r="AB135" s="133"/>
      <c r="AC135" s="133"/>
      <c r="AD135" s="133"/>
      <c r="AE135" s="133"/>
    </row>
    <row r="136" spans="1:31" s="33" customFormat="1" ht="18" customHeight="1" x14ac:dyDescent="0.3">
      <c r="A136" s="709">
        <v>126</v>
      </c>
      <c r="B136" s="740"/>
      <c r="C136" s="877"/>
      <c r="D136" s="877"/>
      <c r="E136" s="814" t="s">
        <v>1116</v>
      </c>
      <c r="F136" s="781"/>
      <c r="G136" s="781"/>
      <c r="H136" s="781"/>
      <c r="I136" s="869"/>
      <c r="J136" s="861">
        <f>SUM(K136:R136)</f>
        <v>55491</v>
      </c>
      <c r="K136" s="870">
        <f>SUM(K134:K135)</f>
        <v>13365</v>
      </c>
      <c r="L136" s="870">
        <f t="shared" ref="L136:P136" si="26">SUM(L134:L135)</f>
        <v>2366</v>
      </c>
      <c r="M136" s="870">
        <f t="shared" si="26"/>
        <v>37360</v>
      </c>
      <c r="N136" s="870"/>
      <c r="O136" s="870"/>
      <c r="P136" s="870">
        <f t="shared" si="26"/>
        <v>2400</v>
      </c>
      <c r="Q136" s="870"/>
      <c r="R136" s="871"/>
      <c r="S136" s="41"/>
      <c r="T136" s="41"/>
      <c r="U136" s="41"/>
      <c r="V136" s="41"/>
      <c r="W136" s="41"/>
      <c r="X136" s="41"/>
      <c r="Y136" s="41"/>
      <c r="Z136" s="41"/>
      <c r="AA136" s="41"/>
      <c r="AB136" s="41"/>
      <c r="AC136" s="41"/>
      <c r="AD136" s="41"/>
      <c r="AE136" s="41"/>
    </row>
    <row r="137" spans="1:31" s="33" customFormat="1" ht="18" customHeight="1" x14ac:dyDescent="0.3">
      <c r="A137" s="709">
        <v>127</v>
      </c>
      <c r="B137" s="718">
        <v>13</v>
      </c>
      <c r="C137" s="858"/>
      <c r="D137" s="814" t="s">
        <v>34</v>
      </c>
      <c r="E137" s="814"/>
      <c r="F137" s="878" t="s">
        <v>23</v>
      </c>
      <c r="G137" s="721">
        <v>323649</v>
      </c>
      <c r="H137" s="721">
        <v>332350</v>
      </c>
      <c r="I137" s="860">
        <v>433574</v>
      </c>
      <c r="J137" s="910"/>
      <c r="K137" s="721"/>
      <c r="L137" s="721"/>
      <c r="M137" s="721"/>
      <c r="N137" s="721"/>
      <c r="O137" s="721"/>
      <c r="P137" s="721"/>
      <c r="Q137" s="721"/>
      <c r="R137" s="862"/>
      <c r="S137" s="41"/>
      <c r="T137" s="41"/>
      <c r="U137" s="41"/>
      <c r="V137" s="41"/>
      <c r="W137" s="41"/>
      <c r="X137" s="41"/>
      <c r="Y137" s="41"/>
      <c r="Z137" s="41"/>
      <c r="AA137" s="41"/>
      <c r="AB137" s="41"/>
      <c r="AC137" s="41"/>
      <c r="AD137" s="41"/>
      <c r="AE137" s="41"/>
    </row>
    <row r="138" spans="1:31" s="295" customFormat="1" ht="18" customHeight="1" x14ac:dyDescent="0.3">
      <c r="A138" s="709">
        <v>128</v>
      </c>
      <c r="B138" s="724"/>
      <c r="C138" s="863"/>
      <c r="D138" s="863"/>
      <c r="E138" s="864" t="s">
        <v>311</v>
      </c>
      <c r="F138" s="777"/>
      <c r="G138" s="777"/>
      <c r="H138" s="777"/>
      <c r="I138" s="865"/>
      <c r="J138" s="866">
        <f t="shared" ref="J138:J143" si="27">SUM(K138:R138)</f>
        <v>406719</v>
      </c>
      <c r="K138" s="867">
        <f>189840-11583+11583</f>
        <v>189840</v>
      </c>
      <c r="L138" s="867">
        <f>38341-2027+2027</f>
        <v>38341</v>
      </c>
      <c r="M138" s="867">
        <v>177160</v>
      </c>
      <c r="N138" s="867"/>
      <c r="O138" s="867">
        <v>178</v>
      </c>
      <c r="P138" s="867">
        <v>1200</v>
      </c>
      <c r="Q138" s="867"/>
      <c r="R138" s="868"/>
      <c r="S138" s="294"/>
      <c r="T138" s="294"/>
      <c r="U138" s="294"/>
      <c r="V138" s="294"/>
      <c r="W138" s="294"/>
      <c r="X138" s="294"/>
      <c r="Y138" s="294"/>
      <c r="Z138" s="294"/>
      <c r="AA138" s="294"/>
      <c r="AB138" s="294"/>
      <c r="AC138" s="294"/>
      <c r="AD138" s="294"/>
      <c r="AE138" s="294"/>
    </row>
    <row r="139" spans="1:31" s="295" customFormat="1" ht="18" customHeight="1" x14ac:dyDescent="0.3">
      <c r="A139" s="709">
        <v>129</v>
      </c>
      <c r="B139" s="724"/>
      <c r="C139" s="863"/>
      <c r="D139" s="863"/>
      <c r="E139" s="732" t="s">
        <v>1064</v>
      </c>
      <c r="F139" s="777"/>
      <c r="G139" s="777"/>
      <c r="H139" s="777"/>
      <c r="I139" s="865"/>
      <c r="J139" s="861">
        <f t="shared" si="27"/>
        <v>448328</v>
      </c>
      <c r="K139" s="870">
        <v>194889</v>
      </c>
      <c r="L139" s="870">
        <v>39225</v>
      </c>
      <c r="M139" s="870">
        <v>210032</v>
      </c>
      <c r="N139" s="870"/>
      <c r="O139" s="870">
        <v>178</v>
      </c>
      <c r="P139" s="870">
        <v>4004</v>
      </c>
      <c r="Q139" s="867"/>
      <c r="R139" s="868"/>
      <c r="S139" s="294"/>
      <c r="T139" s="294"/>
      <c r="U139" s="294"/>
      <c r="V139" s="294"/>
      <c r="W139" s="294"/>
      <c r="X139" s="294"/>
      <c r="Y139" s="294"/>
      <c r="Z139" s="294"/>
      <c r="AA139" s="294"/>
      <c r="AB139" s="294"/>
      <c r="AC139" s="294"/>
      <c r="AD139" s="294"/>
      <c r="AE139" s="294"/>
    </row>
    <row r="140" spans="1:31" s="36" customFormat="1" ht="18" customHeight="1" x14ac:dyDescent="0.3">
      <c r="A140" s="709">
        <v>130</v>
      </c>
      <c r="B140" s="735"/>
      <c r="C140" s="872"/>
      <c r="D140" s="872"/>
      <c r="E140" s="738" t="s">
        <v>1137</v>
      </c>
      <c r="F140" s="753"/>
      <c r="G140" s="753"/>
      <c r="H140" s="753"/>
      <c r="I140" s="873"/>
      <c r="J140" s="874">
        <f t="shared" si="27"/>
        <v>3438</v>
      </c>
      <c r="K140" s="875">
        <v>2977</v>
      </c>
      <c r="L140" s="875">
        <v>461</v>
      </c>
      <c r="M140" s="875"/>
      <c r="N140" s="875"/>
      <c r="O140" s="875"/>
      <c r="P140" s="875"/>
      <c r="Q140" s="875"/>
      <c r="R140" s="876"/>
      <c r="S140" s="79"/>
      <c r="T140" s="79"/>
      <c r="U140" s="79"/>
      <c r="V140" s="79"/>
      <c r="W140" s="79"/>
      <c r="X140" s="79"/>
      <c r="Y140" s="79"/>
      <c r="Z140" s="79"/>
      <c r="AA140" s="79"/>
      <c r="AB140" s="79"/>
      <c r="AC140" s="79"/>
      <c r="AD140" s="79"/>
      <c r="AE140" s="79"/>
    </row>
    <row r="141" spans="1:31" s="39" customFormat="1" ht="18" customHeight="1" x14ac:dyDescent="0.3">
      <c r="A141" s="709">
        <v>131</v>
      </c>
      <c r="B141" s="735"/>
      <c r="C141" s="872"/>
      <c r="D141" s="872"/>
      <c r="E141" s="738" t="s">
        <v>1141</v>
      </c>
      <c r="F141" s="753"/>
      <c r="G141" s="753"/>
      <c r="H141" s="753"/>
      <c r="I141" s="873"/>
      <c r="J141" s="874">
        <f t="shared" si="27"/>
        <v>1200</v>
      </c>
      <c r="K141" s="875"/>
      <c r="L141" s="875"/>
      <c r="M141" s="875">
        <f>800</f>
        <v>800</v>
      </c>
      <c r="N141" s="875"/>
      <c r="O141" s="875"/>
      <c r="P141" s="875">
        <v>400</v>
      </c>
      <c r="Q141" s="875"/>
      <c r="R141" s="876"/>
      <c r="S141" s="119"/>
      <c r="T141" s="119"/>
      <c r="U141" s="119"/>
      <c r="V141" s="119"/>
      <c r="W141" s="119"/>
      <c r="X141" s="119"/>
      <c r="Y141" s="119"/>
      <c r="Z141" s="119"/>
      <c r="AA141" s="119"/>
      <c r="AB141" s="119"/>
      <c r="AC141" s="119"/>
      <c r="AD141" s="119"/>
      <c r="AE141" s="119"/>
    </row>
    <row r="142" spans="1:31" s="33" customFormat="1" ht="22.5" customHeight="1" x14ac:dyDescent="0.3">
      <c r="A142" s="709">
        <v>132</v>
      </c>
      <c r="B142" s="735"/>
      <c r="C142" s="872"/>
      <c r="D142" s="872"/>
      <c r="E142" s="738" t="s">
        <v>1140</v>
      </c>
      <c r="F142" s="753"/>
      <c r="G142" s="753"/>
      <c r="H142" s="753"/>
      <c r="I142" s="873"/>
      <c r="J142" s="874">
        <f t="shared" si="27"/>
        <v>200</v>
      </c>
      <c r="K142" s="875"/>
      <c r="L142" s="875"/>
      <c r="M142" s="875">
        <f>-3375-300</f>
        <v>-3675</v>
      </c>
      <c r="N142" s="875"/>
      <c r="O142" s="875"/>
      <c r="P142" s="875">
        <f>3575+300</f>
        <v>3875</v>
      </c>
      <c r="Q142" s="875"/>
      <c r="R142" s="876"/>
      <c r="S142" s="41"/>
      <c r="T142" s="41"/>
      <c r="U142" s="41"/>
      <c r="V142" s="41"/>
      <c r="W142" s="41"/>
      <c r="X142" s="41"/>
      <c r="Y142" s="41"/>
      <c r="Z142" s="41"/>
      <c r="AA142" s="41"/>
      <c r="AB142" s="41"/>
      <c r="AC142" s="41"/>
      <c r="AD142" s="41"/>
      <c r="AE142" s="41"/>
    </row>
    <row r="143" spans="1:31" s="295" customFormat="1" ht="18" customHeight="1" x14ac:dyDescent="0.3">
      <c r="A143" s="709">
        <v>133</v>
      </c>
      <c r="B143" s="740"/>
      <c r="C143" s="877"/>
      <c r="D143" s="877"/>
      <c r="E143" s="814" t="s">
        <v>1116</v>
      </c>
      <c r="F143" s="781"/>
      <c r="G143" s="781"/>
      <c r="H143" s="781"/>
      <c r="I143" s="869"/>
      <c r="J143" s="861">
        <f t="shared" si="27"/>
        <v>453166</v>
      </c>
      <c r="K143" s="870">
        <f>SUM(K139:K142)</f>
        <v>197866</v>
      </c>
      <c r="L143" s="870">
        <f t="shared" ref="L143:P143" si="28">SUM(L139:L142)</f>
        <v>39686</v>
      </c>
      <c r="M143" s="870">
        <f t="shared" si="28"/>
        <v>207157</v>
      </c>
      <c r="N143" s="870"/>
      <c r="O143" s="870">
        <f t="shared" si="28"/>
        <v>178</v>
      </c>
      <c r="P143" s="870">
        <f t="shared" si="28"/>
        <v>8279</v>
      </c>
      <c r="Q143" s="870"/>
      <c r="R143" s="871"/>
      <c r="S143" s="294"/>
      <c r="T143" s="294"/>
      <c r="U143" s="294"/>
      <c r="V143" s="294"/>
      <c r="W143" s="294"/>
      <c r="X143" s="294"/>
      <c r="Y143" s="294"/>
      <c r="Z143" s="294"/>
      <c r="AA143" s="294"/>
      <c r="AB143" s="294"/>
      <c r="AC143" s="294"/>
      <c r="AD143" s="294"/>
      <c r="AE143" s="294"/>
    </row>
    <row r="144" spans="1:31" s="295" customFormat="1" ht="18" customHeight="1" x14ac:dyDescent="0.3">
      <c r="A144" s="709">
        <v>134</v>
      </c>
      <c r="B144" s="915"/>
      <c r="C144" s="916"/>
      <c r="D144" s="917" t="s">
        <v>919</v>
      </c>
      <c r="E144" s="918"/>
      <c r="F144" s="919"/>
      <c r="G144" s="722"/>
      <c r="H144" s="722"/>
      <c r="I144" s="920"/>
      <c r="J144" s="910"/>
      <c r="K144" s="875"/>
      <c r="L144" s="875"/>
      <c r="M144" s="875"/>
      <c r="N144" s="875"/>
      <c r="O144" s="875"/>
      <c r="P144" s="875"/>
      <c r="Q144" s="875"/>
      <c r="R144" s="876"/>
      <c r="S144" s="294"/>
      <c r="T144" s="294"/>
      <c r="U144" s="294"/>
      <c r="V144" s="294"/>
      <c r="W144" s="294"/>
      <c r="X144" s="294"/>
      <c r="Y144" s="294"/>
      <c r="Z144" s="294"/>
      <c r="AA144" s="294"/>
      <c r="AB144" s="294"/>
      <c r="AC144" s="294"/>
      <c r="AD144" s="294"/>
      <c r="AE144" s="294"/>
    </row>
    <row r="145" spans="1:31" s="36" customFormat="1" ht="18" customHeight="1" x14ac:dyDescent="0.3">
      <c r="A145" s="709">
        <v>135</v>
      </c>
      <c r="B145" s="921"/>
      <c r="C145" s="922"/>
      <c r="D145" s="922"/>
      <c r="E145" s="923" t="s">
        <v>311</v>
      </c>
      <c r="F145" s="924"/>
      <c r="G145" s="778"/>
      <c r="H145" s="778"/>
      <c r="I145" s="925"/>
      <c r="J145" s="926">
        <f>SUM(K145:R145)</f>
        <v>13610</v>
      </c>
      <c r="K145" s="927">
        <v>11583</v>
      </c>
      <c r="L145" s="927">
        <v>2027</v>
      </c>
      <c r="M145" s="927"/>
      <c r="N145" s="927"/>
      <c r="O145" s="927"/>
      <c r="P145" s="927"/>
      <c r="Q145" s="927"/>
      <c r="R145" s="928"/>
      <c r="S145" s="79"/>
      <c r="T145" s="79"/>
      <c r="U145" s="79"/>
      <c r="V145" s="79"/>
      <c r="W145" s="79"/>
      <c r="X145" s="79"/>
      <c r="Y145" s="79"/>
      <c r="Z145" s="79"/>
      <c r="AA145" s="79"/>
      <c r="AB145" s="79"/>
      <c r="AC145" s="79"/>
      <c r="AD145" s="79"/>
      <c r="AE145" s="79"/>
    </row>
    <row r="146" spans="1:31" s="39" customFormat="1" ht="18" customHeight="1" x14ac:dyDescent="0.3">
      <c r="A146" s="709">
        <v>136</v>
      </c>
      <c r="B146" s="921"/>
      <c r="C146" s="922"/>
      <c r="D146" s="922"/>
      <c r="E146" s="932" t="s">
        <v>1064</v>
      </c>
      <c r="F146" s="924"/>
      <c r="G146" s="778"/>
      <c r="H146" s="778"/>
      <c r="I146" s="925"/>
      <c r="J146" s="910">
        <f>SUM(K146:R146)</f>
        <v>0</v>
      </c>
      <c r="K146" s="929">
        <v>0</v>
      </c>
      <c r="L146" s="929">
        <v>0</v>
      </c>
      <c r="M146" s="927"/>
      <c r="N146" s="927"/>
      <c r="O146" s="927"/>
      <c r="P146" s="927"/>
      <c r="Q146" s="927"/>
      <c r="R146" s="928"/>
      <c r="S146" s="119"/>
      <c r="T146" s="119"/>
      <c r="U146" s="119"/>
      <c r="V146" s="119"/>
      <c r="W146" s="119"/>
      <c r="X146" s="119"/>
      <c r="Y146" s="119"/>
      <c r="Z146" s="119"/>
      <c r="AA146" s="119"/>
      <c r="AB146" s="119"/>
      <c r="AC146" s="119"/>
      <c r="AD146" s="119"/>
      <c r="AE146" s="119"/>
    </row>
    <row r="147" spans="1:31" s="36" customFormat="1" ht="18" customHeight="1" x14ac:dyDescent="0.3">
      <c r="A147" s="709">
        <v>137</v>
      </c>
      <c r="B147" s="735"/>
      <c r="C147" s="872"/>
      <c r="D147" s="872"/>
      <c r="E147" s="930" t="s">
        <v>999</v>
      </c>
      <c r="F147" s="753"/>
      <c r="G147" s="753"/>
      <c r="H147" s="753"/>
      <c r="I147" s="873"/>
      <c r="J147" s="874">
        <f>SUM(K147:R147)</f>
        <v>0</v>
      </c>
      <c r="K147" s="875"/>
      <c r="L147" s="875"/>
      <c r="M147" s="875"/>
      <c r="N147" s="875"/>
      <c r="O147" s="875"/>
      <c r="P147" s="875"/>
      <c r="Q147" s="875"/>
      <c r="R147" s="876"/>
      <c r="S147" s="79"/>
      <c r="T147" s="79"/>
      <c r="U147" s="79"/>
      <c r="V147" s="79"/>
      <c r="W147" s="79"/>
      <c r="X147" s="79"/>
      <c r="Y147" s="79"/>
      <c r="Z147" s="79"/>
      <c r="AA147" s="79"/>
      <c r="AB147" s="79"/>
      <c r="AC147" s="79"/>
      <c r="AD147" s="79"/>
      <c r="AE147" s="79"/>
    </row>
    <row r="148" spans="1:31" s="295" customFormat="1" ht="18" customHeight="1" x14ac:dyDescent="0.3">
      <c r="A148" s="709">
        <v>138</v>
      </c>
      <c r="B148" s="891"/>
      <c r="C148" s="931"/>
      <c r="D148" s="931"/>
      <c r="E148" s="932" t="s">
        <v>1116</v>
      </c>
      <c r="F148" s="782"/>
      <c r="G148" s="782"/>
      <c r="H148" s="782"/>
      <c r="I148" s="933"/>
      <c r="J148" s="910">
        <f>SUM(K148:R148)</f>
        <v>0</v>
      </c>
      <c r="K148" s="929">
        <f>SUM(K146:K147)</f>
        <v>0</v>
      </c>
      <c r="L148" s="929">
        <f>SUM(L146:L147)</f>
        <v>0</v>
      </c>
      <c r="M148" s="929"/>
      <c r="N148" s="929"/>
      <c r="O148" s="929"/>
      <c r="P148" s="929"/>
      <c r="Q148" s="929"/>
      <c r="R148" s="934"/>
      <c r="S148" s="294"/>
      <c r="T148" s="294"/>
      <c r="U148" s="294"/>
      <c r="V148" s="294"/>
      <c r="W148" s="294"/>
      <c r="X148" s="294"/>
      <c r="Y148" s="294"/>
      <c r="Z148" s="294"/>
      <c r="AA148" s="294"/>
      <c r="AB148" s="294"/>
      <c r="AC148" s="294"/>
      <c r="AD148" s="294"/>
      <c r="AE148" s="294"/>
    </row>
    <row r="149" spans="1:31" s="295" customFormat="1" ht="18" customHeight="1" x14ac:dyDescent="0.3">
      <c r="A149" s="709">
        <v>139</v>
      </c>
      <c r="B149" s="751"/>
      <c r="C149" s="858">
        <v>1</v>
      </c>
      <c r="D149" s="908" t="s">
        <v>152</v>
      </c>
      <c r="E149" s="908"/>
      <c r="F149" s="909"/>
      <c r="G149" s="721">
        <v>4820</v>
      </c>
      <c r="H149" s="721"/>
      <c r="I149" s="935"/>
      <c r="J149" s="910"/>
      <c r="K149" s="879"/>
      <c r="L149" s="879"/>
      <c r="M149" s="879"/>
      <c r="N149" s="875"/>
      <c r="O149" s="875"/>
      <c r="P149" s="875"/>
      <c r="Q149" s="875"/>
      <c r="R149" s="876"/>
      <c r="S149" s="294"/>
      <c r="T149" s="294"/>
      <c r="U149" s="294"/>
      <c r="V149" s="294"/>
      <c r="W149" s="294"/>
      <c r="X149" s="294"/>
      <c r="Y149" s="294"/>
      <c r="Z149" s="294"/>
      <c r="AA149" s="294"/>
      <c r="AB149" s="294"/>
      <c r="AC149" s="294"/>
      <c r="AD149" s="294"/>
      <c r="AE149" s="294"/>
    </row>
    <row r="150" spans="1:31" s="36" customFormat="1" ht="57.75" customHeight="1" x14ac:dyDescent="0.3">
      <c r="A150" s="709">
        <v>140</v>
      </c>
      <c r="B150" s="751"/>
      <c r="C150" s="911">
        <v>2</v>
      </c>
      <c r="D150" s="1977" t="s">
        <v>531</v>
      </c>
      <c r="E150" s="1978"/>
      <c r="F150" s="938"/>
      <c r="G150" s="721">
        <v>1969</v>
      </c>
      <c r="H150" s="721">
        <v>55328</v>
      </c>
      <c r="I150" s="860">
        <v>55925</v>
      </c>
      <c r="J150" s="910"/>
      <c r="K150" s="879"/>
      <c r="L150" s="879"/>
      <c r="M150" s="879"/>
      <c r="N150" s="875"/>
      <c r="O150" s="875"/>
      <c r="P150" s="875"/>
      <c r="Q150" s="875"/>
      <c r="R150" s="876"/>
      <c r="S150" s="79"/>
      <c r="T150" s="79"/>
      <c r="U150" s="79"/>
      <c r="V150" s="79"/>
      <c r="W150" s="79"/>
      <c r="X150" s="79"/>
      <c r="Y150" s="79"/>
      <c r="Z150" s="79"/>
      <c r="AA150" s="79"/>
      <c r="AB150" s="79"/>
      <c r="AC150" s="79"/>
      <c r="AD150" s="79"/>
      <c r="AE150" s="79"/>
    </row>
    <row r="151" spans="1:31" s="40" customFormat="1" ht="18" customHeight="1" x14ac:dyDescent="0.3">
      <c r="A151" s="709">
        <v>141</v>
      </c>
      <c r="B151" s="718">
        <v>14</v>
      </c>
      <c r="C151" s="858"/>
      <c r="D151" s="814" t="s">
        <v>529</v>
      </c>
      <c r="E151" s="814"/>
      <c r="F151" s="878" t="s">
        <v>24</v>
      </c>
      <c r="G151" s="721">
        <v>137258</v>
      </c>
      <c r="H151" s="721">
        <v>131489</v>
      </c>
      <c r="I151" s="860">
        <v>141430</v>
      </c>
      <c r="J151" s="910"/>
      <c r="K151" s="721"/>
      <c r="L151" s="721"/>
      <c r="M151" s="721"/>
      <c r="N151" s="721"/>
      <c r="O151" s="721"/>
      <c r="P151" s="721"/>
      <c r="Q151" s="721"/>
      <c r="R151" s="862"/>
      <c r="S151" s="133"/>
      <c r="T151" s="133"/>
      <c r="U151" s="133"/>
      <c r="V151" s="133"/>
      <c r="W151" s="133"/>
      <c r="X151" s="133"/>
      <c r="Y151" s="133"/>
      <c r="Z151" s="133"/>
      <c r="AA151" s="133"/>
      <c r="AB151" s="133"/>
      <c r="AC151" s="133"/>
      <c r="AD151" s="133"/>
      <c r="AE151" s="133"/>
    </row>
    <row r="152" spans="1:31" s="33" customFormat="1" ht="18" customHeight="1" x14ac:dyDescent="0.3">
      <c r="A152" s="709">
        <v>142</v>
      </c>
      <c r="B152" s="724"/>
      <c r="C152" s="863"/>
      <c r="D152" s="863"/>
      <c r="E152" s="864" t="s">
        <v>311</v>
      </c>
      <c r="F152" s="777"/>
      <c r="G152" s="777"/>
      <c r="H152" s="777"/>
      <c r="I152" s="865"/>
      <c r="J152" s="866">
        <f>SUM(K152:R152)</f>
        <v>129562</v>
      </c>
      <c r="K152" s="867">
        <v>61704</v>
      </c>
      <c r="L152" s="867">
        <v>12023</v>
      </c>
      <c r="M152" s="867">
        <v>55835</v>
      </c>
      <c r="N152" s="867"/>
      <c r="O152" s="867"/>
      <c r="P152" s="867"/>
      <c r="Q152" s="867"/>
      <c r="R152" s="868"/>
      <c r="S152" s="41"/>
      <c r="T152" s="41"/>
      <c r="U152" s="41"/>
      <c r="V152" s="41"/>
      <c r="W152" s="41"/>
      <c r="X152" s="41"/>
      <c r="Y152" s="41"/>
      <c r="Z152" s="41"/>
      <c r="AA152" s="41"/>
      <c r="AB152" s="41"/>
      <c r="AC152" s="41"/>
      <c r="AD152" s="41"/>
      <c r="AE152" s="41"/>
    </row>
    <row r="153" spans="1:31" s="33" customFormat="1" ht="45.75" customHeight="1" x14ac:dyDescent="0.3">
      <c r="A153" s="709">
        <v>143</v>
      </c>
      <c r="B153" s="724"/>
      <c r="C153" s="863"/>
      <c r="D153" s="863"/>
      <c r="E153" s="732" t="s">
        <v>1064</v>
      </c>
      <c r="F153" s="777"/>
      <c r="G153" s="777"/>
      <c r="H153" s="777"/>
      <c r="I153" s="865"/>
      <c r="J153" s="861">
        <f>SUM(K153:R153)</f>
        <v>143883</v>
      </c>
      <c r="K153" s="870">
        <v>69427</v>
      </c>
      <c r="L153" s="870">
        <v>13376</v>
      </c>
      <c r="M153" s="870">
        <v>58233</v>
      </c>
      <c r="N153" s="870"/>
      <c r="O153" s="870"/>
      <c r="P153" s="870">
        <v>2847</v>
      </c>
      <c r="Q153" s="867"/>
      <c r="R153" s="868"/>
      <c r="S153" s="41"/>
      <c r="T153" s="41"/>
      <c r="U153" s="41"/>
      <c r="V153" s="41"/>
      <c r="W153" s="41"/>
      <c r="X153" s="41"/>
      <c r="Y153" s="41"/>
      <c r="Z153" s="41"/>
      <c r="AA153" s="41"/>
      <c r="AB153" s="41"/>
      <c r="AC153" s="41"/>
      <c r="AD153" s="41"/>
      <c r="AE153" s="41"/>
    </row>
    <row r="154" spans="1:31" s="33" customFormat="1" ht="22.5" customHeight="1" x14ac:dyDescent="0.3">
      <c r="A154" s="709">
        <v>144</v>
      </c>
      <c r="B154" s="735"/>
      <c r="C154" s="872"/>
      <c r="D154" s="872"/>
      <c r="E154" s="738" t="s">
        <v>1137</v>
      </c>
      <c r="F154" s="753"/>
      <c r="G154" s="753"/>
      <c r="H154" s="753"/>
      <c r="I154" s="873"/>
      <c r="J154" s="874">
        <f>SUM(K154:R154)</f>
        <v>1305</v>
      </c>
      <c r="K154" s="875">
        <v>1230</v>
      </c>
      <c r="L154" s="875">
        <v>75</v>
      </c>
      <c r="M154" s="875"/>
      <c r="N154" s="875"/>
      <c r="O154" s="875"/>
      <c r="P154" s="875"/>
      <c r="Q154" s="875"/>
      <c r="R154" s="876"/>
      <c r="S154" s="41"/>
      <c r="T154" s="41"/>
      <c r="U154" s="41"/>
      <c r="V154" s="41"/>
      <c r="W154" s="41"/>
      <c r="X154" s="41"/>
      <c r="Y154" s="41"/>
      <c r="Z154" s="41"/>
      <c r="AA154" s="41"/>
      <c r="AB154" s="41"/>
      <c r="AC154" s="41"/>
      <c r="AD154" s="41"/>
      <c r="AE154" s="41"/>
    </row>
    <row r="155" spans="1:31" s="290" customFormat="1" ht="18" customHeight="1" x14ac:dyDescent="0.3">
      <c r="A155" s="709">
        <v>145</v>
      </c>
      <c r="B155" s="735"/>
      <c r="C155" s="872"/>
      <c r="D155" s="872"/>
      <c r="E155" s="738" t="s">
        <v>1142</v>
      </c>
      <c r="F155" s="753"/>
      <c r="G155" s="753"/>
      <c r="H155" s="753"/>
      <c r="I155" s="873"/>
      <c r="J155" s="874">
        <f>SUM(K155:R155)</f>
        <v>0</v>
      </c>
      <c r="K155" s="875"/>
      <c r="L155" s="875"/>
      <c r="M155" s="875">
        <v>-326</v>
      </c>
      <c r="N155" s="875"/>
      <c r="O155" s="875"/>
      <c r="P155" s="875">
        <v>326</v>
      </c>
      <c r="Q155" s="875"/>
      <c r="R155" s="876"/>
      <c r="S155" s="289"/>
      <c r="T155" s="289"/>
      <c r="U155" s="289"/>
      <c r="V155" s="289"/>
      <c r="W155" s="289"/>
      <c r="X155" s="289"/>
      <c r="Y155" s="289"/>
      <c r="Z155" s="289"/>
      <c r="AA155" s="289"/>
      <c r="AB155" s="289"/>
      <c r="AC155" s="289"/>
      <c r="AD155" s="289"/>
      <c r="AE155" s="289"/>
    </row>
    <row r="156" spans="1:31" s="290" customFormat="1" ht="18" customHeight="1" x14ac:dyDescent="0.3">
      <c r="A156" s="709">
        <v>146</v>
      </c>
      <c r="B156" s="740"/>
      <c r="C156" s="877"/>
      <c r="D156" s="877"/>
      <c r="E156" s="814" t="s">
        <v>1116</v>
      </c>
      <c r="F156" s="781"/>
      <c r="G156" s="781"/>
      <c r="H156" s="781"/>
      <c r="I156" s="869"/>
      <c r="J156" s="861">
        <f>SUM(K156:R156)</f>
        <v>145188</v>
      </c>
      <c r="K156" s="870">
        <f>SUM(K153:K155)</f>
        <v>70657</v>
      </c>
      <c r="L156" s="870">
        <f>SUM(L153:L155)</f>
        <v>13451</v>
      </c>
      <c r="M156" s="870">
        <f>SUM(M153:M155)</f>
        <v>57907</v>
      </c>
      <c r="N156" s="870"/>
      <c r="O156" s="870"/>
      <c r="P156" s="870">
        <f>SUM(P153:P155)</f>
        <v>3173</v>
      </c>
      <c r="Q156" s="870"/>
      <c r="R156" s="871"/>
      <c r="S156" s="289"/>
      <c r="T156" s="289"/>
      <c r="U156" s="289"/>
      <c r="V156" s="289"/>
      <c r="W156" s="289"/>
      <c r="X156" s="289"/>
      <c r="Y156" s="289"/>
      <c r="Z156" s="289"/>
      <c r="AA156" s="289"/>
      <c r="AB156" s="289"/>
      <c r="AC156" s="289"/>
      <c r="AD156" s="289"/>
      <c r="AE156" s="289"/>
    </row>
    <row r="157" spans="1:31" s="36" customFormat="1" ht="18" customHeight="1" x14ac:dyDescent="0.3">
      <c r="A157" s="709">
        <v>147</v>
      </c>
      <c r="B157" s="751"/>
      <c r="C157" s="858">
        <v>1</v>
      </c>
      <c r="D157" s="908" t="s">
        <v>152</v>
      </c>
      <c r="E157" s="908"/>
      <c r="F157" s="909"/>
      <c r="G157" s="743">
        <v>1407</v>
      </c>
      <c r="H157" s="743">
        <v>2477</v>
      </c>
      <c r="I157" s="935">
        <v>2124</v>
      </c>
      <c r="J157" s="910"/>
      <c r="K157" s="879"/>
      <c r="L157" s="879"/>
      <c r="M157" s="879"/>
      <c r="N157" s="875"/>
      <c r="O157" s="875"/>
      <c r="P157" s="875"/>
      <c r="Q157" s="875"/>
      <c r="R157" s="876"/>
      <c r="S157" s="79"/>
      <c r="T157" s="79"/>
      <c r="U157" s="79"/>
      <c r="V157" s="79"/>
      <c r="W157" s="79"/>
      <c r="X157" s="79"/>
      <c r="Y157" s="79"/>
      <c r="Z157" s="79"/>
      <c r="AA157" s="79"/>
      <c r="AB157" s="79"/>
      <c r="AC157" s="79"/>
      <c r="AD157" s="79"/>
      <c r="AE157" s="79"/>
    </row>
    <row r="158" spans="1:31" s="36" customFormat="1" ht="18" customHeight="1" x14ac:dyDescent="0.3">
      <c r="A158" s="709">
        <v>148</v>
      </c>
      <c r="B158" s="724"/>
      <c r="C158" s="863"/>
      <c r="D158" s="863"/>
      <c r="E158" s="936" t="s">
        <v>311</v>
      </c>
      <c r="F158" s="937"/>
      <c r="G158" s="777"/>
      <c r="H158" s="777"/>
      <c r="I158" s="865"/>
      <c r="J158" s="866">
        <f>SUM(K158:R158)</f>
        <v>2455</v>
      </c>
      <c r="K158" s="867">
        <v>2257</v>
      </c>
      <c r="L158" s="867">
        <v>198</v>
      </c>
      <c r="M158" s="867"/>
      <c r="N158" s="867"/>
      <c r="O158" s="867"/>
      <c r="P158" s="867"/>
      <c r="Q158" s="867"/>
      <c r="R158" s="868"/>
      <c r="S158" s="79"/>
      <c r="T158" s="79"/>
      <c r="U158" s="79"/>
      <c r="V158" s="79"/>
      <c r="W158" s="79"/>
      <c r="X158" s="79"/>
      <c r="Y158" s="79"/>
      <c r="Z158" s="79"/>
      <c r="AA158" s="79"/>
      <c r="AB158" s="79"/>
      <c r="AC158" s="79"/>
      <c r="AD158" s="79"/>
      <c r="AE158" s="79"/>
    </row>
    <row r="159" spans="1:31" s="36" customFormat="1" ht="18" customHeight="1" x14ac:dyDescent="0.3">
      <c r="A159" s="709">
        <v>149</v>
      </c>
      <c r="B159" s="724"/>
      <c r="C159" s="863"/>
      <c r="D159" s="863"/>
      <c r="E159" s="732" t="s">
        <v>1064</v>
      </c>
      <c r="F159" s="937"/>
      <c r="G159" s="777"/>
      <c r="H159" s="777"/>
      <c r="I159" s="865"/>
      <c r="J159" s="861">
        <f>SUM(K159:R159)</f>
        <v>1064</v>
      </c>
      <c r="K159" s="870">
        <v>978</v>
      </c>
      <c r="L159" s="870">
        <v>86</v>
      </c>
      <c r="M159" s="867"/>
      <c r="N159" s="867"/>
      <c r="O159" s="867"/>
      <c r="P159" s="867"/>
      <c r="Q159" s="867"/>
      <c r="R159" s="868"/>
      <c r="S159" s="79"/>
      <c r="T159" s="79"/>
      <c r="U159" s="79"/>
      <c r="V159" s="79"/>
      <c r="W159" s="79"/>
      <c r="X159" s="79"/>
      <c r="Y159" s="79"/>
      <c r="Z159" s="79"/>
      <c r="AA159" s="79"/>
      <c r="AB159" s="79"/>
      <c r="AC159" s="79"/>
      <c r="AD159" s="79"/>
      <c r="AE159" s="79"/>
    </row>
    <row r="160" spans="1:31" s="39" customFormat="1" ht="18" customHeight="1" x14ac:dyDescent="0.3">
      <c r="A160" s="709">
        <v>150</v>
      </c>
      <c r="B160" s="735"/>
      <c r="C160" s="872"/>
      <c r="D160" s="872"/>
      <c r="E160" s="780" t="s">
        <v>1012</v>
      </c>
      <c r="F160" s="753"/>
      <c r="G160" s="753"/>
      <c r="H160" s="753"/>
      <c r="I160" s="873"/>
      <c r="J160" s="874">
        <f>SUM(K160:R160)</f>
        <v>0</v>
      </c>
      <c r="K160" s="875"/>
      <c r="L160" s="875"/>
      <c r="M160" s="875"/>
      <c r="N160" s="875"/>
      <c r="O160" s="875"/>
      <c r="P160" s="875"/>
      <c r="Q160" s="875"/>
      <c r="R160" s="876"/>
      <c r="S160" s="119"/>
      <c r="T160" s="119"/>
      <c r="U160" s="119"/>
      <c r="V160" s="119"/>
      <c r="W160" s="119"/>
      <c r="X160" s="119"/>
      <c r="Y160" s="119"/>
      <c r="Z160" s="119"/>
      <c r="AA160" s="119"/>
      <c r="AB160" s="119"/>
      <c r="AC160" s="119"/>
      <c r="AD160" s="119"/>
      <c r="AE160" s="119"/>
    </row>
    <row r="161" spans="1:31" s="37" customFormat="1" ht="18" customHeight="1" x14ac:dyDescent="0.3">
      <c r="A161" s="709">
        <v>151</v>
      </c>
      <c r="B161" s="740"/>
      <c r="C161" s="877"/>
      <c r="D161" s="877"/>
      <c r="E161" s="814" t="s">
        <v>1116</v>
      </c>
      <c r="F161" s="781"/>
      <c r="G161" s="781"/>
      <c r="H161" s="781"/>
      <c r="I161" s="869"/>
      <c r="J161" s="861">
        <f>SUM(K161:R161)</f>
        <v>1064</v>
      </c>
      <c r="K161" s="870">
        <f>SUM(K159:K160)</f>
        <v>978</v>
      </c>
      <c r="L161" s="870">
        <f>SUM(L159:L160)</f>
        <v>86</v>
      </c>
      <c r="M161" s="870"/>
      <c r="N161" s="870"/>
      <c r="O161" s="870"/>
      <c r="P161" s="870"/>
      <c r="Q161" s="870"/>
      <c r="R161" s="871"/>
      <c r="S161" s="120"/>
      <c r="T161" s="120"/>
      <c r="U161" s="120"/>
      <c r="V161" s="120"/>
      <c r="W161" s="120"/>
      <c r="X161" s="120"/>
      <c r="Y161" s="120"/>
      <c r="Z161" s="120"/>
      <c r="AA161" s="120"/>
      <c r="AB161" s="120"/>
      <c r="AC161" s="120"/>
      <c r="AD161" s="120"/>
      <c r="AE161" s="120"/>
    </row>
    <row r="162" spans="1:31" s="290" customFormat="1" ht="18" customHeight="1" x14ac:dyDescent="0.3">
      <c r="A162" s="709">
        <v>152</v>
      </c>
      <c r="B162" s="751"/>
      <c r="C162" s="911">
        <v>2</v>
      </c>
      <c r="D162" s="1977" t="s">
        <v>532</v>
      </c>
      <c r="E162" s="2027"/>
      <c r="F162" s="939"/>
      <c r="G162" s="721">
        <v>4679</v>
      </c>
      <c r="H162" s="721">
        <v>23787</v>
      </c>
      <c r="I162" s="860">
        <v>19384</v>
      </c>
      <c r="J162" s="910"/>
      <c r="K162" s="879"/>
      <c r="L162" s="879"/>
      <c r="M162" s="879"/>
      <c r="N162" s="875"/>
      <c r="O162" s="875"/>
      <c r="P162" s="875"/>
      <c r="Q162" s="875"/>
      <c r="R162" s="876"/>
      <c r="S162" s="289"/>
      <c r="T162" s="289"/>
      <c r="U162" s="289"/>
      <c r="V162" s="289"/>
      <c r="W162" s="289"/>
      <c r="X162" s="289"/>
      <c r="Y162" s="289"/>
      <c r="Z162" s="289"/>
      <c r="AA162" s="289"/>
      <c r="AB162" s="289"/>
      <c r="AC162" s="289"/>
      <c r="AD162" s="289"/>
      <c r="AE162" s="289"/>
    </row>
    <row r="163" spans="1:31" s="290" customFormat="1" ht="18" customHeight="1" x14ac:dyDescent="0.3">
      <c r="A163" s="709">
        <v>153</v>
      </c>
      <c r="B163" s="724"/>
      <c r="C163" s="863"/>
      <c r="D163" s="863"/>
      <c r="E163" s="936" t="s">
        <v>311</v>
      </c>
      <c r="F163" s="937"/>
      <c r="G163" s="777"/>
      <c r="H163" s="777"/>
      <c r="I163" s="865"/>
      <c r="J163" s="866">
        <f>SUM(K163:R163)</f>
        <v>5725</v>
      </c>
      <c r="K163" s="867">
        <v>1640</v>
      </c>
      <c r="L163" s="867"/>
      <c r="M163" s="867">
        <v>1254</v>
      </c>
      <c r="N163" s="867"/>
      <c r="O163" s="867"/>
      <c r="P163" s="867">
        <v>2831</v>
      </c>
      <c r="Q163" s="867"/>
      <c r="R163" s="868"/>
      <c r="S163" s="289"/>
      <c r="T163" s="289"/>
      <c r="U163" s="289"/>
      <c r="V163" s="289"/>
      <c r="W163" s="289"/>
      <c r="X163" s="289"/>
      <c r="Y163" s="289"/>
      <c r="Z163" s="289"/>
      <c r="AA163" s="289"/>
      <c r="AB163" s="289"/>
      <c r="AC163" s="289"/>
      <c r="AD163" s="289"/>
      <c r="AE163" s="289"/>
    </row>
    <row r="164" spans="1:31" s="36" customFormat="1" ht="18" customHeight="1" x14ac:dyDescent="0.3">
      <c r="A164" s="709">
        <v>154</v>
      </c>
      <c r="B164" s="724"/>
      <c r="C164" s="863"/>
      <c r="D164" s="863"/>
      <c r="E164" s="732" t="s">
        <v>1064</v>
      </c>
      <c r="F164" s="937"/>
      <c r="G164" s="777"/>
      <c r="H164" s="777"/>
      <c r="I164" s="865"/>
      <c r="J164" s="861">
        <f>SUM(K164:R164)</f>
        <v>5352</v>
      </c>
      <c r="K164" s="870">
        <v>964</v>
      </c>
      <c r="L164" s="870"/>
      <c r="M164" s="870">
        <v>3519</v>
      </c>
      <c r="N164" s="870"/>
      <c r="O164" s="870"/>
      <c r="P164" s="870">
        <v>869</v>
      </c>
      <c r="Q164" s="867"/>
      <c r="R164" s="868"/>
      <c r="S164" s="79"/>
      <c r="T164" s="79"/>
      <c r="U164" s="79"/>
      <c r="V164" s="79"/>
      <c r="W164" s="79"/>
      <c r="X164" s="79"/>
      <c r="Y164" s="79"/>
      <c r="Z164" s="79"/>
      <c r="AA164" s="79"/>
      <c r="AB164" s="79"/>
      <c r="AC164" s="79"/>
      <c r="AD164" s="79"/>
      <c r="AE164" s="79"/>
    </row>
    <row r="165" spans="1:31" s="39" customFormat="1" ht="18" customHeight="1" x14ac:dyDescent="0.3">
      <c r="A165" s="709">
        <v>155</v>
      </c>
      <c r="B165" s="735"/>
      <c r="C165" s="872"/>
      <c r="D165" s="872"/>
      <c r="E165" s="780" t="s">
        <v>1012</v>
      </c>
      <c r="F165" s="753"/>
      <c r="G165" s="753"/>
      <c r="H165" s="753"/>
      <c r="I165" s="873"/>
      <c r="J165" s="874">
        <f>SUM(K165:R165)</f>
        <v>0</v>
      </c>
      <c r="K165" s="875"/>
      <c r="L165" s="875"/>
      <c r="M165" s="875"/>
      <c r="N165" s="875"/>
      <c r="O165" s="875"/>
      <c r="P165" s="875"/>
      <c r="Q165" s="875"/>
      <c r="R165" s="876"/>
      <c r="S165" s="119"/>
      <c r="T165" s="119"/>
      <c r="U165" s="119"/>
      <c r="V165" s="119"/>
      <c r="W165" s="119"/>
      <c r="X165" s="119"/>
      <c r="Y165" s="119"/>
      <c r="Z165" s="119"/>
      <c r="AA165" s="119"/>
      <c r="AB165" s="119"/>
      <c r="AC165" s="119"/>
      <c r="AD165" s="119"/>
      <c r="AE165" s="119"/>
    </row>
    <row r="166" spans="1:31" s="37" customFormat="1" ht="33" customHeight="1" x14ac:dyDescent="0.3">
      <c r="A166" s="709">
        <v>156</v>
      </c>
      <c r="B166" s="740"/>
      <c r="C166" s="877"/>
      <c r="D166" s="877"/>
      <c r="E166" s="814" t="s">
        <v>1116</v>
      </c>
      <c r="F166" s="781"/>
      <c r="G166" s="781"/>
      <c r="H166" s="781"/>
      <c r="I166" s="869"/>
      <c r="J166" s="861">
        <f>SUM(K166:R166)</f>
        <v>5352</v>
      </c>
      <c r="K166" s="870">
        <f>SUM(K164:K165)</f>
        <v>964</v>
      </c>
      <c r="L166" s="870"/>
      <c r="M166" s="870">
        <f t="shared" ref="M166:P166" si="29">SUM(M164:M165)</f>
        <v>3519</v>
      </c>
      <c r="N166" s="870"/>
      <c r="O166" s="870"/>
      <c r="P166" s="870">
        <f t="shared" si="29"/>
        <v>869</v>
      </c>
      <c r="Q166" s="870"/>
      <c r="R166" s="871"/>
      <c r="S166" s="120"/>
      <c r="T166" s="120"/>
      <c r="U166" s="120"/>
      <c r="V166" s="120"/>
      <c r="W166" s="120"/>
      <c r="X166" s="120"/>
      <c r="Y166" s="120"/>
      <c r="Z166" s="120"/>
      <c r="AA166" s="120"/>
      <c r="AB166" s="120"/>
      <c r="AC166" s="120"/>
      <c r="AD166" s="120"/>
      <c r="AE166" s="120"/>
    </row>
    <row r="167" spans="1:31" s="290" customFormat="1" ht="18" customHeight="1" x14ac:dyDescent="0.3">
      <c r="A167" s="709">
        <v>157</v>
      </c>
      <c r="B167" s="718">
        <v>15</v>
      </c>
      <c r="C167" s="858"/>
      <c r="D167" s="814" t="s">
        <v>157</v>
      </c>
      <c r="E167" s="814"/>
      <c r="F167" s="878" t="s">
        <v>24</v>
      </c>
      <c r="G167" s="721">
        <v>918236</v>
      </c>
      <c r="H167" s="721">
        <v>717112</v>
      </c>
      <c r="I167" s="860">
        <v>851369</v>
      </c>
      <c r="J167" s="910"/>
      <c r="K167" s="721"/>
      <c r="L167" s="721"/>
      <c r="M167" s="721"/>
      <c r="N167" s="721"/>
      <c r="O167" s="721"/>
      <c r="P167" s="721"/>
      <c r="Q167" s="721"/>
      <c r="R167" s="862"/>
      <c r="S167" s="289"/>
      <c r="T167" s="289"/>
      <c r="U167" s="289"/>
      <c r="V167" s="289"/>
      <c r="W167" s="289"/>
      <c r="X167" s="289"/>
      <c r="Y167" s="289"/>
      <c r="Z167" s="289"/>
      <c r="AA167" s="289"/>
      <c r="AB167" s="289"/>
      <c r="AC167" s="289"/>
      <c r="AD167" s="289"/>
      <c r="AE167" s="289"/>
    </row>
    <row r="168" spans="1:31" s="290" customFormat="1" ht="18" customHeight="1" x14ac:dyDescent="0.3">
      <c r="A168" s="709">
        <v>158</v>
      </c>
      <c r="B168" s="724"/>
      <c r="C168" s="885"/>
      <c r="D168" s="885"/>
      <c r="E168" s="813" t="s">
        <v>311</v>
      </c>
      <c r="F168" s="784"/>
      <c r="G168" s="784"/>
      <c r="H168" s="784"/>
      <c r="I168" s="886"/>
      <c r="J168" s="887">
        <f t="shared" ref="J168:J172" si="30">SUM(K168:R168)</f>
        <v>742553</v>
      </c>
      <c r="K168" s="888">
        <v>353612</v>
      </c>
      <c r="L168" s="888">
        <v>67795</v>
      </c>
      <c r="M168" s="888">
        <v>319146</v>
      </c>
      <c r="N168" s="888"/>
      <c r="O168" s="888"/>
      <c r="P168" s="888">
        <v>2000</v>
      </c>
      <c r="Q168" s="888"/>
      <c r="R168" s="889"/>
      <c r="S168" s="289"/>
      <c r="T168" s="289"/>
      <c r="U168" s="289"/>
      <c r="V168" s="289"/>
      <c r="W168" s="289"/>
      <c r="X168" s="289"/>
      <c r="Y168" s="289"/>
      <c r="Z168" s="289"/>
      <c r="AA168" s="289"/>
      <c r="AB168" s="289"/>
      <c r="AC168" s="289"/>
      <c r="AD168" s="289"/>
      <c r="AE168" s="289"/>
    </row>
    <row r="169" spans="1:31" s="36" customFormat="1" ht="18" customHeight="1" x14ac:dyDescent="0.3">
      <c r="A169" s="709">
        <v>159</v>
      </c>
      <c r="B169" s="724"/>
      <c r="C169" s="885"/>
      <c r="D169" s="885"/>
      <c r="E169" s="732" t="s">
        <v>1064</v>
      </c>
      <c r="F169" s="784"/>
      <c r="G169" s="784"/>
      <c r="H169" s="784"/>
      <c r="I169" s="886"/>
      <c r="J169" s="861">
        <f t="shared" si="30"/>
        <v>924516</v>
      </c>
      <c r="K169" s="890">
        <v>384947</v>
      </c>
      <c r="L169" s="890">
        <v>70322</v>
      </c>
      <c r="M169" s="890">
        <v>454164</v>
      </c>
      <c r="N169" s="890"/>
      <c r="O169" s="890"/>
      <c r="P169" s="890">
        <v>15083</v>
      </c>
      <c r="Q169" s="888"/>
      <c r="R169" s="889"/>
      <c r="S169" s="79"/>
      <c r="T169" s="79"/>
      <c r="U169" s="79"/>
      <c r="V169" s="79"/>
      <c r="W169" s="79"/>
      <c r="X169" s="79"/>
      <c r="Y169" s="79"/>
      <c r="Z169" s="79"/>
      <c r="AA169" s="79"/>
      <c r="AB169" s="79"/>
      <c r="AC169" s="79"/>
      <c r="AD169" s="79"/>
      <c r="AE169" s="79"/>
    </row>
    <row r="170" spans="1:31" s="39" customFormat="1" ht="18" customHeight="1" x14ac:dyDescent="0.3">
      <c r="A170" s="709">
        <v>160</v>
      </c>
      <c r="B170" s="735"/>
      <c r="C170" s="872"/>
      <c r="D170" s="872"/>
      <c r="E170" s="738" t="s">
        <v>1137</v>
      </c>
      <c r="F170" s="753"/>
      <c r="G170" s="753"/>
      <c r="H170" s="753"/>
      <c r="I170" s="873"/>
      <c r="J170" s="874">
        <f t="shared" si="30"/>
        <v>4672</v>
      </c>
      <c r="K170" s="875">
        <v>4045</v>
      </c>
      <c r="L170" s="875">
        <v>627</v>
      </c>
      <c r="M170" s="875"/>
      <c r="N170" s="875"/>
      <c r="O170" s="875"/>
      <c r="P170" s="875"/>
      <c r="Q170" s="875"/>
      <c r="R170" s="876"/>
      <c r="S170" s="119"/>
      <c r="T170" s="119"/>
      <c r="U170" s="119"/>
      <c r="V170" s="119"/>
      <c r="W170" s="119"/>
      <c r="X170" s="119"/>
      <c r="Y170" s="119"/>
      <c r="Z170" s="119"/>
      <c r="AA170" s="119"/>
      <c r="AB170" s="119"/>
      <c r="AC170" s="119"/>
      <c r="AD170" s="119"/>
      <c r="AE170" s="119"/>
    </row>
    <row r="171" spans="1:31" s="34" customFormat="1" ht="22.5" customHeight="1" x14ac:dyDescent="0.3">
      <c r="A171" s="709">
        <v>161</v>
      </c>
      <c r="B171" s="735"/>
      <c r="C171" s="872"/>
      <c r="D171" s="872"/>
      <c r="E171" s="738" t="s">
        <v>1000</v>
      </c>
      <c r="F171" s="753"/>
      <c r="G171" s="753"/>
      <c r="H171" s="753"/>
      <c r="I171" s="873"/>
      <c r="J171" s="874">
        <f t="shared" si="30"/>
        <v>0</v>
      </c>
      <c r="K171" s="875"/>
      <c r="L171" s="875"/>
      <c r="M171" s="875">
        <v>-6120</v>
      </c>
      <c r="N171" s="875"/>
      <c r="O171" s="875"/>
      <c r="P171" s="875">
        <v>6120</v>
      </c>
      <c r="Q171" s="875"/>
      <c r="R171" s="876"/>
      <c r="S171" s="117"/>
      <c r="T171" s="117"/>
      <c r="U171" s="117"/>
      <c r="V171" s="117"/>
      <c r="W171" s="117"/>
      <c r="X171" s="117"/>
      <c r="Y171" s="117"/>
      <c r="Z171" s="117"/>
      <c r="AA171" s="117"/>
      <c r="AB171" s="117"/>
      <c r="AC171" s="117"/>
      <c r="AD171" s="117"/>
      <c r="AE171" s="117"/>
    </row>
    <row r="172" spans="1:31" s="290" customFormat="1" ht="18" customHeight="1" thickBot="1" x14ac:dyDescent="0.35">
      <c r="A172" s="709">
        <v>162</v>
      </c>
      <c r="B172" s="740"/>
      <c r="C172" s="877"/>
      <c r="D172" s="877"/>
      <c r="E172" s="814" t="s">
        <v>1116</v>
      </c>
      <c r="F172" s="781"/>
      <c r="G172" s="781"/>
      <c r="H172" s="781"/>
      <c r="I172" s="869"/>
      <c r="J172" s="861">
        <f t="shared" si="30"/>
        <v>929188</v>
      </c>
      <c r="K172" s="870">
        <f>SUM(K169:K171)</f>
        <v>388992</v>
      </c>
      <c r="L172" s="870">
        <f>SUM(L169:L171)</f>
        <v>70949</v>
      </c>
      <c r="M172" s="870">
        <f>SUM(M169:M171)</f>
        <v>448044</v>
      </c>
      <c r="N172" s="870"/>
      <c r="O172" s="870"/>
      <c r="P172" s="870">
        <f>SUM(P169:P171)</f>
        <v>21203</v>
      </c>
      <c r="Q172" s="870"/>
      <c r="R172" s="871"/>
      <c r="S172" s="289"/>
      <c r="T172" s="289"/>
      <c r="U172" s="289"/>
      <c r="V172" s="289"/>
      <c r="W172" s="289"/>
      <c r="X172" s="289"/>
      <c r="Y172" s="289"/>
      <c r="Z172" s="289"/>
      <c r="AA172" s="289"/>
      <c r="AB172" s="289"/>
      <c r="AC172" s="289"/>
      <c r="AD172" s="289"/>
      <c r="AE172" s="289"/>
    </row>
    <row r="173" spans="1:31" s="290" customFormat="1" ht="18" customHeight="1" thickTop="1" x14ac:dyDescent="0.2">
      <c r="A173" s="709">
        <v>163</v>
      </c>
      <c r="B173" s="891"/>
      <c r="C173" s="2015" t="s">
        <v>667</v>
      </c>
      <c r="D173" s="2016"/>
      <c r="E173" s="2017"/>
      <c r="F173" s="940"/>
      <c r="G173" s="764">
        <f>SUM(G92:G168)</f>
        <v>2216492</v>
      </c>
      <c r="H173" s="764">
        <f>SUM(H92:H168)</f>
        <v>2005779</v>
      </c>
      <c r="I173" s="941">
        <f>SUM(I92:I168)</f>
        <v>2347852</v>
      </c>
      <c r="J173" s="942"/>
      <c r="K173" s="913"/>
      <c r="L173" s="913"/>
      <c r="M173" s="913"/>
      <c r="N173" s="913"/>
      <c r="O173" s="913"/>
      <c r="P173" s="913"/>
      <c r="Q173" s="913"/>
      <c r="R173" s="914"/>
      <c r="S173" s="289"/>
      <c r="T173" s="289"/>
      <c r="U173" s="289"/>
      <c r="V173" s="289"/>
      <c r="W173" s="289"/>
      <c r="X173" s="289"/>
      <c r="Y173" s="289"/>
      <c r="Z173" s="289"/>
      <c r="AA173" s="289"/>
      <c r="AB173" s="289"/>
      <c r="AC173" s="289"/>
      <c r="AD173" s="289"/>
      <c r="AE173" s="289"/>
    </row>
    <row r="174" spans="1:31" s="36" customFormat="1" ht="18" customHeight="1" x14ac:dyDescent="0.3">
      <c r="A174" s="709">
        <v>164</v>
      </c>
      <c r="B174" s="724"/>
      <c r="C174" s="895"/>
      <c r="D174" s="885"/>
      <c r="E174" s="813" t="s">
        <v>311</v>
      </c>
      <c r="F174" s="784"/>
      <c r="G174" s="784"/>
      <c r="H174" s="784"/>
      <c r="I174" s="886"/>
      <c r="J174" s="887">
        <f>SUM(K174:R174)</f>
        <v>2182328</v>
      </c>
      <c r="K174" s="888">
        <f t="shared" ref="K174:R175" si="31">SUM(K93,K103,K108,K120,K133,K138,K152,K158,K163,K168)</f>
        <v>981370</v>
      </c>
      <c r="L174" s="888">
        <f t="shared" si="31"/>
        <v>185540</v>
      </c>
      <c r="M174" s="888">
        <f t="shared" si="31"/>
        <v>986759</v>
      </c>
      <c r="N174" s="888">
        <f t="shared" si="31"/>
        <v>0</v>
      </c>
      <c r="O174" s="888">
        <f t="shared" si="31"/>
        <v>178</v>
      </c>
      <c r="P174" s="888">
        <f t="shared" si="31"/>
        <v>28481</v>
      </c>
      <c r="Q174" s="888">
        <f t="shared" si="31"/>
        <v>0</v>
      </c>
      <c r="R174" s="889">
        <f t="shared" si="31"/>
        <v>0</v>
      </c>
      <c r="S174" s="79"/>
      <c r="T174" s="79"/>
      <c r="U174" s="79"/>
      <c r="V174" s="79"/>
      <c r="W174" s="79"/>
      <c r="X174" s="79"/>
      <c r="Y174" s="79"/>
      <c r="Z174" s="79"/>
      <c r="AA174" s="79"/>
      <c r="AB174" s="79"/>
      <c r="AC174" s="79"/>
      <c r="AD174" s="79"/>
      <c r="AE174" s="79"/>
    </row>
    <row r="175" spans="1:31" s="36" customFormat="1" ht="18" customHeight="1" x14ac:dyDescent="0.3">
      <c r="A175" s="709">
        <v>165</v>
      </c>
      <c r="B175" s="724"/>
      <c r="C175" s="895"/>
      <c r="D175" s="885"/>
      <c r="E175" s="732" t="s">
        <v>1064</v>
      </c>
      <c r="F175" s="784"/>
      <c r="G175" s="784"/>
      <c r="H175" s="784"/>
      <c r="I175" s="886"/>
      <c r="J175" s="861">
        <f>SUM(K175:R175)</f>
        <v>2483273</v>
      </c>
      <c r="K175" s="890">
        <f t="shared" si="31"/>
        <v>1040803</v>
      </c>
      <c r="L175" s="890">
        <f t="shared" si="31"/>
        <v>194369</v>
      </c>
      <c r="M175" s="890">
        <f t="shared" si="31"/>
        <v>1151497</v>
      </c>
      <c r="N175" s="890">
        <f t="shared" si="31"/>
        <v>0</v>
      </c>
      <c r="O175" s="890">
        <f t="shared" si="31"/>
        <v>178</v>
      </c>
      <c r="P175" s="890">
        <f t="shared" si="31"/>
        <v>96426</v>
      </c>
      <c r="Q175" s="890">
        <f t="shared" si="31"/>
        <v>0</v>
      </c>
      <c r="R175" s="896">
        <f t="shared" si="31"/>
        <v>0</v>
      </c>
      <c r="S175" s="79"/>
      <c r="T175" s="79"/>
      <c r="U175" s="79"/>
      <c r="V175" s="79"/>
      <c r="W175" s="79"/>
      <c r="X175" s="79"/>
      <c r="Y175" s="79"/>
      <c r="Z175" s="79"/>
      <c r="AA175" s="79"/>
      <c r="AB175" s="79"/>
      <c r="AC175" s="79"/>
      <c r="AD175" s="79"/>
      <c r="AE175" s="79"/>
    </row>
    <row r="176" spans="1:31" s="36" customFormat="1" ht="18" customHeight="1" x14ac:dyDescent="0.3">
      <c r="A176" s="709">
        <v>166</v>
      </c>
      <c r="B176" s="735"/>
      <c r="C176" s="897"/>
      <c r="D176" s="872"/>
      <c r="E176" s="780" t="s">
        <v>1012</v>
      </c>
      <c r="F176" s="753"/>
      <c r="G176" s="753"/>
      <c r="H176" s="753"/>
      <c r="I176" s="873"/>
      <c r="J176" s="874">
        <f>SUM(K176:R176)</f>
        <v>27620</v>
      </c>
      <c r="K176" s="875">
        <f>SUM(K95:K95,K105,K110:K112,K122:K124,K135,K140:K142,K154:K155,K160,K165,K170:K171)</f>
        <v>15469</v>
      </c>
      <c r="L176" s="875">
        <f t="shared" ref="L176:R176" si="32">SUM(L95:L95,L105,L110:L112,L122:L124,L135,L140:L142,L154:L155,L160,L165,L170:L171)</f>
        <v>2251</v>
      </c>
      <c r="M176" s="875">
        <f t="shared" si="32"/>
        <v>-8001</v>
      </c>
      <c r="N176" s="875">
        <f t="shared" si="32"/>
        <v>0</v>
      </c>
      <c r="O176" s="875">
        <f t="shared" si="32"/>
        <v>0</v>
      </c>
      <c r="P176" s="875">
        <f t="shared" si="32"/>
        <v>17901</v>
      </c>
      <c r="Q176" s="875">
        <f t="shared" si="32"/>
        <v>0</v>
      </c>
      <c r="R176" s="876">
        <f t="shared" si="32"/>
        <v>0</v>
      </c>
      <c r="S176" s="79"/>
      <c r="T176" s="79"/>
      <c r="U176" s="79"/>
      <c r="V176" s="79"/>
      <c r="W176" s="79"/>
      <c r="X176" s="79"/>
      <c r="Y176" s="79"/>
      <c r="Z176" s="79"/>
      <c r="AA176" s="79"/>
      <c r="AB176" s="79"/>
      <c r="AC176" s="79"/>
      <c r="AD176" s="79"/>
      <c r="AE176" s="79"/>
    </row>
    <row r="177" spans="1:31" s="36" customFormat="1" ht="18" customHeight="1" thickBot="1" x14ac:dyDescent="0.35">
      <c r="A177" s="709">
        <v>167</v>
      </c>
      <c r="B177" s="740"/>
      <c r="C177" s="898"/>
      <c r="D177" s="899"/>
      <c r="E177" s="900" t="s">
        <v>1116</v>
      </c>
      <c r="F177" s="901"/>
      <c r="G177" s="901"/>
      <c r="H177" s="901"/>
      <c r="I177" s="902"/>
      <c r="J177" s="903">
        <f>SUM(K177:R177)</f>
        <v>2510893</v>
      </c>
      <c r="K177" s="904">
        <f>SUM(K175:K176)</f>
        <v>1056272</v>
      </c>
      <c r="L177" s="904">
        <f t="shared" ref="L177:R177" si="33">SUM(L175:L176)</f>
        <v>196620</v>
      </c>
      <c r="M177" s="904">
        <f t="shared" si="33"/>
        <v>1143496</v>
      </c>
      <c r="N177" s="904">
        <f t="shared" si="33"/>
        <v>0</v>
      </c>
      <c r="O177" s="904">
        <f t="shared" si="33"/>
        <v>178</v>
      </c>
      <c r="P177" s="904">
        <f t="shared" si="33"/>
        <v>114327</v>
      </c>
      <c r="Q177" s="904">
        <f t="shared" si="33"/>
        <v>0</v>
      </c>
      <c r="R177" s="905">
        <f t="shared" si="33"/>
        <v>0</v>
      </c>
      <c r="S177" s="79"/>
      <c r="T177" s="79"/>
      <c r="U177" s="79"/>
      <c r="V177" s="79"/>
      <c r="W177" s="79"/>
      <c r="X177" s="79"/>
      <c r="Y177" s="79"/>
      <c r="Z177" s="79"/>
      <c r="AA177" s="79"/>
      <c r="AB177" s="79"/>
      <c r="AC177" s="79"/>
      <c r="AD177" s="79"/>
      <c r="AE177" s="79"/>
    </row>
    <row r="178" spans="1:31" s="36" customFormat="1" ht="18" customHeight="1" thickTop="1" x14ac:dyDescent="0.3">
      <c r="A178" s="709">
        <v>168</v>
      </c>
      <c r="B178" s="711">
        <v>16</v>
      </c>
      <c r="C178" s="852"/>
      <c r="D178" s="943" t="s">
        <v>271</v>
      </c>
      <c r="E178" s="943"/>
      <c r="F178" s="854" t="s">
        <v>23</v>
      </c>
      <c r="G178" s="715">
        <v>903541</v>
      </c>
      <c r="H178" s="715">
        <v>1012076</v>
      </c>
      <c r="I178" s="855">
        <v>965302</v>
      </c>
      <c r="J178" s="907"/>
      <c r="K178" s="715"/>
      <c r="L178" s="715"/>
      <c r="M178" s="715"/>
      <c r="N178" s="715"/>
      <c r="O178" s="715"/>
      <c r="P178" s="715"/>
      <c r="Q178" s="715"/>
      <c r="R178" s="857"/>
      <c r="S178" s="79"/>
      <c r="T178" s="79"/>
      <c r="U178" s="79"/>
      <c r="V178" s="79"/>
      <c r="W178" s="79"/>
      <c r="X178" s="79"/>
      <c r="Y178" s="79"/>
      <c r="Z178" s="79"/>
      <c r="AA178" s="79"/>
      <c r="AB178" s="79"/>
      <c r="AC178" s="79"/>
      <c r="AD178" s="79"/>
      <c r="AE178" s="79"/>
    </row>
    <row r="179" spans="1:31" s="39" customFormat="1" ht="18" customHeight="1" x14ac:dyDescent="0.3">
      <c r="A179" s="709">
        <v>169</v>
      </c>
      <c r="B179" s="800"/>
      <c r="C179" s="885"/>
      <c r="D179" s="885"/>
      <c r="E179" s="813" t="s">
        <v>311</v>
      </c>
      <c r="F179" s="784"/>
      <c r="G179" s="784"/>
      <c r="H179" s="784"/>
      <c r="I179" s="886"/>
      <c r="J179" s="887">
        <f>SUM(K179:R179)</f>
        <v>1025459</v>
      </c>
      <c r="K179" s="888">
        <v>180690</v>
      </c>
      <c r="L179" s="888">
        <v>36122</v>
      </c>
      <c r="M179" s="888">
        <v>808647</v>
      </c>
      <c r="N179" s="888"/>
      <c r="O179" s="888"/>
      <c r="P179" s="888"/>
      <c r="Q179" s="888"/>
      <c r="R179" s="889"/>
      <c r="S179" s="119"/>
      <c r="T179" s="119"/>
      <c r="U179" s="119"/>
      <c r="V179" s="119"/>
      <c r="W179" s="119"/>
      <c r="X179" s="119"/>
      <c r="Y179" s="119"/>
      <c r="Z179" s="119"/>
      <c r="AA179" s="119"/>
      <c r="AB179" s="119"/>
      <c r="AC179" s="119"/>
      <c r="AD179" s="119"/>
      <c r="AE179" s="119"/>
    </row>
    <row r="180" spans="1:31" s="83" customFormat="1" ht="22.5" customHeight="1" x14ac:dyDescent="0.3">
      <c r="A180" s="709">
        <v>170</v>
      </c>
      <c r="B180" s="800"/>
      <c r="C180" s="885"/>
      <c r="D180" s="885"/>
      <c r="E180" s="732" t="s">
        <v>1064</v>
      </c>
      <c r="F180" s="784"/>
      <c r="G180" s="784"/>
      <c r="H180" s="784"/>
      <c r="I180" s="886"/>
      <c r="J180" s="861">
        <f>SUM(K180:R180)</f>
        <v>1137601</v>
      </c>
      <c r="K180" s="890">
        <v>186367</v>
      </c>
      <c r="L180" s="890">
        <v>37899</v>
      </c>
      <c r="M180" s="890">
        <v>913335</v>
      </c>
      <c r="N180" s="888"/>
      <c r="O180" s="888"/>
      <c r="P180" s="888"/>
      <c r="Q180" s="888"/>
      <c r="R180" s="889"/>
      <c r="S180" s="134"/>
      <c r="T180" s="134"/>
      <c r="U180" s="134"/>
      <c r="V180" s="134"/>
      <c r="W180" s="134"/>
      <c r="X180" s="134"/>
      <c r="Y180" s="134"/>
      <c r="Z180" s="134"/>
      <c r="AA180" s="134"/>
      <c r="AB180" s="134"/>
      <c r="AC180" s="134"/>
      <c r="AD180" s="134"/>
      <c r="AE180" s="134"/>
    </row>
    <row r="181" spans="1:31" s="290" customFormat="1" ht="18" customHeight="1" x14ac:dyDescent="0.3">
      <c r="A181" s="709">
        <v>171</v>
      </c>
      <c r="B181" s="735"/>
      <c r="C181" s="872"/>
      <c r="D181" s="872"/>
      <c r="E181" s="738" t="s">
        <v>1012</v>
      </c>
      <c r="F181" s="753"/>
      <c r="G181" s="753"/>
      <c r="H181" s="753"/>
      <c r="I181" s="873"/>
      <c r="J181" s="874">
        <f>SUM(K181:R181)</f>
        <v>0</v>
      </c>
      <c r="K181" s="875"/>
      <c r="L181" s="875"/>
      <c r="M181" s="875"/>
      <c r="N181" s="875"/>
      <c r="O181" s="875"/>
      <c r="P181" s="875"/>
      <c r="Q181" s="875"/>
      <c r="R181" s="876"/>
      <c r="S181" s="289">
        <v>0</v>
      </c>
      <c r="T181" s="289"/>
      <c r="U181" s="289"/>
      <c r="V181" s="289"/>
      <c r="W181" s="289"/>
      <c r="X181" s="289"/>
      <c r="Y181" s="289"/>
      <c r="Z181" s="289"/>
      <c r="AA181" s="289"/>
      <c r="AB181" s="289"/>
      <c r="AC181" s="289"/>
      <c r="AD181" s="289"/>
      <c r="AE181" s="289"/>
    </row>
    <row r="182" spans="1:31" s="290" customFormat="1" ht="18" customHeight="1" thickBot="1" x14ac:dyDescent="0.35">
      <c r="A182" s="709">
        <v>172</v>
      </c>
      <c r="B182" s="740"/>
      <c r="C182" s="877"/>
      <c r="D182" s="877"/>
      <c r="E182" s="814" t="s">
        <v>1116</v>
      </c>
      <c r="F182" s="781"/>
      <c r="G182" s="781"/>
      <c r="H182" s="781"/>
      <c r="I182" s="869"/>
      <c r="J182" s="861">
        <f>SUM(K182:R182)</f>
        <v>1137601</v>
      </c>
      <c r="K182" s="870">
        <f>SUM(K180:K181)</f>
        <v>186367</v>
      </c>
      <c r="L182" s="870">
        <f>SUM(L180:L181)</f>
        <v>37899</v>
      </c>
      <c r="M182" s="870">
        <f>SUM(M180:M181)</f>
        <v>913335</v>
      </c>
      <c r="N182" s="870"/>
      <c r="O182" s="870"/>
      <c r="P182" s="870"/>
      <c r="Q182" s="870"/>
      <c r="R182" s="871"/>
      <c r="S182" s="289"/>
      <c r="T182" s="289"/>
      <c r="U182" s="289"/>
      <c r="V182" s="289"/>
      <c r="W182" s="289"/>
      <c r="X182" s="289"/>
      <c r="Y182" s="289"/>
      <c r="Z182" s="289"/>
      <c r="AA182" s="289"/>
      <c r="AB182" s="289"/>
      <c r="AC182" s="289"/>
      <c r="AD182" s="289"/>
      <c r="AE182" s="289"/>
    </row>
    <row r="183" spans="1:31" s="36" customFormat="1" ht="18" customHeight="1" x14ac:dyDescent="0.3">
      <c r="A183" s="709">
        <v>173</v>
      </c>
      <c r="B183" s="1967" t="s">
        <v>158</v>
      </c>
      <c r="C183" s="1968"/>
      <c r="D183" s="1968"/>
      <c r="E183" s="1969"/>
      <c r="F183" s="944"/>
      <c r="G183" s="816">
        <f>SUM(G178,G173,G87,G54)</f>
        <v>5894344</v>
      </c>
      <c r="H183" s="816">
        <f>SUM(H178,H173,H87,H54)</f>
        <v>6023194</v>
      </c>
      <c r="I183" s="945">
        <f>SUM(I178,I173,I87,I54)</f>
        <v>6471307</v>
      </c>
      <c r="J183" s="946"/>
      <c r="K183" s="947"/>
      <c r="L183" s="947"/>
      <c r="M183" s="947"/>
      <c r="N183" s="947"/>
      <c r="O183" s="947"/>
      <c r="P183" s="947"/>
      <c r="Q183" s="947"/>
      <c r="R183" s="948"/>
      <c r="S183" s="79"/>
      <c r="T183" s="79"/>
      <c r="U183" s="79"/>
      <c r="V183" s="79"/>
      <c r="W183" s="79"/>
      <c r="X183" s="79"/>
      <c r="Y183" s="79"/>
      <c r="Z183" s="79"/>
      <c r="AA183" s="79"/>
      <c r="AB183" s="79"/>
      <c r="AC183" s="79"/>
      <c r="AD183" s="79"/>
      <c r="AE183" s="79"/>
    </row>
    <row r="184" spans="1:31" s="39" customFormat="1" ht="18" customHeight="1" x14ac:dyDescent="0.3">
      <c r="A184" s="709">
        <v>174</v>
      </c>
      <c r="B184" s="800"/>
      <c r="C184" s="885"/>
      <c r="D184" s="885"/>
      <c r="E184" s="813" t="s">
        <v>311</v>
      </c>
      <c r="F184" s="784"/>
      <c r="G184" s="784"/>
      <c r="H184" s="784"/>
      <c r="I184" s="886"/>
      <c r="J184" s="887">
        <f>SUM(K184:R184)</f>
        <v>6363012</v>
      </c>
      <c r="K184" s="888">
        <f t="shared" ref="K184:R185" si="34">SUM(K179,K174,K88,K55)</f>
        <v>3301895</v>
      </c>
      <c r="L184" s="888">
        <f t="shared" si="34"/>
        <v>645834</v>
      </c>
      <c r="M184" s="888">
        <f t="shared" si="34"/>
        <v>2382434</v>
      </c>
      <c r="N184" s="888">
        <f t="shared" si="34"/>
        <v>0</v>
      </c>
      <c r="O184" s="888">
        <f t="shared" si="34"/>
        <v>178</v>
      </c>
      <c r="P184" s="888">
        <f t="shared" si="34"/>
        <v>32671</v>
      </c>
      <c r="Q184" s="888">
        <f t="shared" si="34"/>
        <v>0</v>
      </c>
      <c r="R184" s="889">
        <f t="shared" si="34"/>
        <v>0</v>
      </c>
      <c r="S184" s="119"/>
      <c r="T184" s="119"/>
      <c r="U184" s="119"/>
      <c r="V184" s="119"/>
      <c r="W184" s="119"/>
      <c r="X184" s="119"/>
      <c r="Y184" s="119"/>
      <c r="Z184" s="119"/>
      <c r="AA184" s="119"/>
      <c r="AB184" s="119"/>
      <c r="AC184" s="119"/>
      <c r="AD184" s="119"/>
      <c r="AE184" s="119"/>
    </row>
    <row r="185" spans="1:31" s="38" customFormat="1" ht="22.5" customHeight="1" x14ac:dyDescent="0.3">
      <c r="A185" s="709">
        <v>175</v>
      </c>
      <c r="B185" s="800"/>
      <c r="C185" s="885"/>
      <c r="D185" s="885"/>
      <c r="E185" s="732" t="s">
        <v>1064</v>
      </c>
      <c r="F185" s="784"/>
      <c r="G185" s="784"/>
      <c r="H185" s="784"/>
      <c r="I185" s="886"/>
      <c r="J185" s="861">
        <f>SUM(K185:R185)</f>
        <v>7022601</v>
      </c>
      <c r="K185" s="890">
        <f t="shared" si="34"/>
        <v>3443889</v>
      </c>
      <c r="L185" s="890">
        <f t="shared" si="34"/>
        <v>671275</v>
      </c>
      <c r="M185" s="890">
        <f t="shared" si="34"/>
        <v>2791409</v>
      </c>
      <c r="N185" s="890">
        <f t="shared" si="34"/>
        <v>0</v>
      </c>
      <c r="O185" s="890">
        <f t="shared" si="34"/>
        <v>357</v>
      </c>
      <c r="P185" s="890">
        <f t="shared" si="34"/>
        <v>112516</v>
      </c>
      <c r="Q185" s="890">
        <f t="shared" si="34"/>
        <v>3155</v>
      </c>
      <c r="R185" s="896">
        <f t="shared" si="34"/>
        <v>0</v>
      </c>
      <c r="S185" s="115"/>
      <c r="T185" s="115"/>
      <c r="U185" s="115"/>
      <c r="V185" s="115"/>
      <c r="W185" s="115"/>
      <c r="X185" s="115"/>
      <c r="Y185" s="115"/>
      <c r="Z185" s="115"/>
      <c r="AA185" s="115"/>
      <c r="AB185" s="115"/>
      <c r="AC185" s="115"/>
      <c r="AD185" s="115"/>
      <c r="AE185" s="115"/>
    </row>
    <row r="186" spans="1:31" s="285" customFormat="1" ht="18" customHeight="1" x14ac:dyDescent="0.3">
      <c r="A186" s="709">
        <v>176</v>
      </c>
      <c r="B186" s="735"/>
      <c r="C186" s="897"/>
      <c r="D186" s="872"/>
      <c r="E186" s="780" t="s">
        <v>999</v>
      </c>
      <c r="F186" s="753"/>
      <c r="G186" s="753"/>
      <c r="H186" s="753"/>
      <c r="I186" s="873"/>
      <c r="J186" s="874">
        <f>SUM(K186:R186)</f>
        <v>75572</v>
      </c>
      <c r="K186" s="875">
        <f t="shared" ref="K186:R186" si="35">SUM(K57,K90,K176,K181:K181)</f>
        <v>54449</v>
      </c>
      <c r="L186" s="875">
        <f t="shared" si="35"/>
        <v>7123</v>
      </c>
      <c r="M186" s="875">
        <f t="shared" si="35"/>
        <v>-9597</v>
      </c>
      <c r="N186" s="875">
        <f t="shared" si="35"/>
        <v>0</v>
      </c>
      <c r="O186" s="875">
        <f t="shared" si="35"/>
        <v>0</v>
      </c>
      <c r="P186" s="875">
        <f t="shared" si="35"/>
        <v>23597</v>
      </c>
      <c r="Q186" s="875">
        <f t="shared" si="35"/>
        <v>0</v>
      </c>
      <c r="R186" s="876">
        <f t="shared" si="35"/>
        <v>0</v>
      </c>
      <c r="S186" s="293"/>
      <c r="T186" s="293"/>
      <c r="U186" s="293"/>
      <c r="V186" s="293"/>
      <c r="W186" s="293"/>
      <c r="X186" s="293"/>
      <c r="Y186" s="293"/>
      <c r="Z186" s="293"/>
      <c r="AA186" s="293"/>
      <c r="AB186" s="293"/>
      <c r="AC186" s="293"/>
      <c r="AD186" s="293"/>
      <c r="AE186" s="293"/>
    </row>
    <row r="187" spans="1:31" s="285" customFormat="1" ht="18" customHeight="1" thickBot="1" x14ac:dyDescent="0.35">
      <c r="A187" s="709">
        <v>177</v>
      </c>
      <c r="B187" s="804"/>
      <c r="C187" s="949"/>
      <c r="D187" s="950"/>
      <c r="E187" s="815" t="s">
        <v>1116</v>
      </c>
      <c r="F187" s="951"/>
      <c r="G187" s="951"/>
      <c r="H187" s="951"/>
      <c r="I187" s="952"/>
      <c r="J187" s="953">
        <f>SUM(K187:R187)</f>
        <v>7098173</v>
      </c>
      <c r="K187" s="954">
        <f>SUM(K185:K186)</f>
        <v>3498338</v>
      </c>
      <c r="L187" s="954">
        <f t="shared" ref="L187:R187" si="36">SUM(L185:L186)</f>
        <v>678398</v>
      </c>
      <c r="M187" s="954">
        <f t="shared" si="36"/>
        <v>2781812</v>
      </c>
      <c r="N187" s="954">
        <f t="shared" si="36"/>
        <v>0</v>
      </c>
      <c r="O187" s="954">
        <f t="shared" si="36"/>
        <v>357</v>
      </c>
      <c r="P187" s="954">
        <f t="shared" si="36"/>
        <v>136113</v>
      </c>
      <c r="Q187" s="954">
        <f t="shared" si="36"/>
        <v>3155</v>
      </c>
      <c r="R187" s="955">
        <f t="shared" si="36"/>
        <v>0</v>
      </c>
      <c r="S187" s="293"/>
      <c r="T187" s="293"/>
      <c r="U187" s="293"/>
      <c r="V187" s="293"/>
      <c r="W187" s="293"/>
      <c r="X187" s="293"/>
      <c r="Y187" s="293"/>
      <c r="Z187" s="293"/>
      <c r="AA187" s="293"/>
      <c r="AB187" s="293"/>
      <c r="AC187" s="293"/>
      <c r="AD187" s="293"/>
      <c r="AE187" s="293"/>
    </row>
    <row r="188" spans="1:31" s="36" customFormat="1" ht="18" customHeight="1" x14ac:dyDescent="0.3">
      <c r="A188" s="709">
        <v>178</v>
      </c>
      <c r="B188" s="711">
        <v>17</v>
      </c>
      <c r="C188" s="852"/>
      <c r="D188" s="956" t="s">
        <v>26</v>
      </c>
      <c r="E188" s="957"/>
      <c r="F188" s="712" t="s">
        <v>23</v>
      </c>
      <c r="G188" s="958"/>
      <c r="H188" s="958"/>
      <c r="I188" s="959"/>
      <c r="J188" s="960"/>
      <c r="K188" s="958"/>
      <c r="L188" s="958"/>
      <c r="M188" s="958"/>
      <c r="N188" s="958"/>
      <c r="O188" s="958"/>
      <c r="P188" s="958"/>
      <c r="Q188" s="958"/>
      <c r="R188" s="961"/>
      <c r="S188" s="79"/>
      <c r="T188" s="79"/>
      <c r="U188" s="79"/>
      <c r="V188" s="79"/>
      <c r="W188" s="79"/>
      <c r="X188" s="79"/>
      <c r="Y188" s="79"/>
      <c r="Z188" s="79"/>
      <c r="AA188" s="79"/>
      <c r="AB188" s="79"/>
      <c r="AC188" s="79"/>
      <c r="AD188" s="79"/>
      <c r="AE188" s="79"/>
    </row>
    <row r="189" spans="1:31" s="39" customFormat="1" ht="18" customHeight="1" x14ac:dyDescent="0.3">
      <c r="A189" s="709">
        <v>179</v>
      </c>
      <c r="B189" s="718"/>
      <c r="C189" s="719">
        <v>1</v>
      </c>
      <c r="D189" s="962" t="s">
        <v>165</v>
      </c>
      <c r="E189" s="962"/>
      <c r="F189" s="878"/>
      <c r="G189" s="721">
        <v>1220396</v>
      </c>
      <c r="H189" s="721">
        <v>1291184</v>
      </c>
      <c r="I189" s="860">
        <v>1287824</v>
      </c>
      <c r="J189" s="910"/>
      <c r="K189" s="721"/>
      <c r="L189" s="721"/>
      <c r="M189" s="721"/>
      <c r="N189" s="721"/>
      <c r="O189" s="721"/>
      <c r="P189" s="721"/>
      <c r="Q189" s="721"/>
      <c r="R189" s="862"/>
      <c r="S189" s="119"/>
      <c r="T189" s="119"/>
      <c r="U189" s="119"/>
      <c r="V189" s="119"/>
      <c r="W189" s="119"/>
      <c r="X189" s="119"/>
      <c r="Y189" s="119"/>
      <c r="Z189" s="119"/>
      <c r="AA189" s="119"/>
      <c r="AB189" s="119"/>
      <c r="AC189" s="119"/>
      <c r="AD189" s="119"/>
      <c r="AE189" s="119"/>
    </row>
    <row r="190" spans="1:31" s="75" customFormat="1" x14ac:dyDescent="0.3">
      <c r="A190" s="709">
        <v>180</v>
      </c>
      <c r="B190" s="724"/>
      <c r="C190" s="725"/>
      <c r="D190" s="863"/>
      <c r="E190" s="963" t="s">
        <v>311</v>
      </c>
      <c r="F190" s="728"/>
      <c r="G190" s="777"/>
      <c r="H190" s="777"/>
      <c r="I190" s="865"/>
      <c r="J190" s="866">
        <f t="shared" ref="J190:J193" si="37">SUM(K190:R190)</f>
        <v>1326424</v>
      </c>
      <c r="K190" s="867">
        <f>903672+1923+174945</f>
        <v>1080540</v>
      </c>
      <c r="L190" s="867">
        <f>163052+338+30615</f>
        <v>194005</v>
      </c>
      <c r="M190" s="867">
        <v>51879</v>
      </c>
      <c r="N190" s="867"/>
      <c r="O190" s="867"/>
      <c r="P190" s="867"/>
      <c r="Q190" s="867"/>
      <c r="R190" s="868"/>
      <c r="S190" s="122"/>
      <c r="T190" s="122"/>
      <c r="U190" s="122"/>
      <c r="V190" s="122"/>
      <c r="W190" s="122"/>
      <c r="X190" s="122"/>
      <c r="Y190" s="122"/>
      <c r="Z190" s="122"/>
      <c r="AA190" s="122"/>
      <c r="AB190" s="122"/>
      <c r="AC190" s="122"/>
      <c r="AD190" s="122"/>
      <c r="AE190" s="122"/>
    </row>
    <row r="191" spans="1:31" s="290" customFormat="1" ht="18" customHeight="1" x14ac:dyDescent="0.3">
      <c r="A191" s="709">
        <v>181</v>
      </c>
      <c r="B191" s="724"/>
      <c r="C191" s="964"/>
      <c r="D191" s="863"/>
      <c r="E191" s="732" t="s">
        <v>1064</v>
      </c>
      <c r="F191" s="728"/>
      <c r="G191" s="777"/>
      <c r="H191" s="777"/>
      <c r="I191" s="865"/>
      <c r="J191" s="861">
        <f t="shared" si="37"/>
        <v>1424393</v>
      </c>
      <c r="K191" s="870">
        <v>1137433</v>
      </c>
      <c r="L191" s="870">
        <v>225677</v>
      </c>
      <c r="M191" s="870">
        <v>61283</v>
      </c>
      <c r="N191" s="867"/>
      <c r="O191" s="867"/>
      <c r="P191" s="867"/>
      <c r="Q191" s="867"/>
      <c r="R191" s="868"/>
      <c r="S191" s="289">
        <v>0</v>
      </c>
      <c r="T191" s="289"/>
      <c r="U191" s="289"/>
      <c r="V191" s="289"/>
      <c r="W191" s="289"/>
      <c r="X191" s="289"/>
      <c r="Y191" s="289"/>
      <c r="Z191" s="289"/>
      <c r="AA191" s="289"/>
      <c r="AB191" s="289"/>
      <c r="AC191" s="289"/>
      <c r="AD191" s="289"/>
      <c r="AE191" s="289"/>
    </row>
    <row r="192" spans="1:31" s="290" customFormat="1" ht="18" customHeight="1" x14ac:dyDescent="0.3">
      <c r="A192" s="709">
        <v>182</v>
      </c>
      <c r="B192" s="735"/>
      <c r="C192" s="872"/>
      <c r="D192" s="872"/>
      <c r="E192" s="738" t="s">
        <v>1134</v>
      </c>
      <c r="F192" s="753"/>
      <c r="G192" s="753"/>
      <c r="H192" s="753"/>
      <c r="I192" s="873"/>
      <c r="J192" s="874">
        <f t="shared" si="37"/>
        <v>214</v>
      </c>
      <c r="K192" s="875">
        <v>185</v>
      </c>
      <c r="L192" s="875">
        <v>29</v>
      </c>
      <c r="M192" s="875"/>
      <c r="N192" s="875"/>
      <c r="O192" s="875"/>
      <c r="P192" s="875"/>
      <c r="Q192" s="875"/>
      <c r="R192" s="876"/>
      <c r="S192" s="289"/>
      <c r="T192" s="289"/>
      <c r="U192" s="289"/>
      <c r="V192" s="289"/>
      <c r="W192" s="289"/>
      <c r="X192" s="289"/>
      <c r="Y192" s="289"/>
      <c r="Z192" s="289"/>
      <c r="AA192" s="289"/>
      <c r="AB192" s="289"/>
      <c r="AC192" s="289"/>
      <c r="AD192" s="289"/>
      <c r="AE192" s="289"/>
    </row>
    <row r="193" spans="1:31" s="36" customFormat="1" ht="18" customHeight="1" x14ac:dyDescent="0.3">
      <c r="A193" s="709">
        <v>183</v>
      </c>
      <c r="B193" s="740"/>
      <c r="C193" s="877"/>
      <c r="D193" s="877"/>
      <c r="E193" s="814" t="s">
        <v>1116</v>
      </c>
      <c r="F193" s="781"/>
      <c r="G193" s="781"/>
      <c r="H193" s="781"/>
      <c r="I193" s="869"/>
      <c r="J193" s="861">
        <f t="shared" si="37"/>
        <v>1424607</v>
      </c>
      <c r="K193" s="870">
        <f>SUM(K191:K192)</f>
        <v>1137618</v>
      </c>
      <c r="L193" s="870">
        <f>SUM(L191:L192)</f>
        <v>225706</v>
      </c>
      <c r="M193" s="870">
        <f>SUM(M191:M192)</f>
        <v>61283</v>
      </c>
      <c r="N193" s="870"/>
      <c r="O193" s="870"/>
      <c r="P193" s="870"/>
      <c r="Q193" s="870"/>
      <c r="R193" s="871"/>
      <c r="S193" s="79"/>
      <c r="T193" s="79"/>
      <c r="U193" s="79"/>
      <c r="V193" s="79"/>
      <c r="W193" s="79"/>
      <c r="X193" s="79"/>
      <c r="Y193" s="79"/>
      <c r="Z193" s="79"/>
      <c r="AA193" s="79"/>
      <c r="AB193" s="79"/>
      <c r="AC193" s="79"/>
      <c r="AD193" s="79"/>
      <c r="AE193" s="79"/>
    </row>
    <row r="194" spans="1:31" s="39" customFormat="1" ht="18" customHeight="1" x14ac:dyDescent="0.3">
      <c r="A194" s="709">
        <v>184</v>
      </c>
      <c r="B194" s="965"/>
      <c r="C194" s="736"/>
      <c r="D194" s="966" t="s">
        <v>916</v>
      </c>
      <c r="E194" s="966"/>
      <c r="F194" s="967"/>
      <c r="G194" s="722"/>
      <c r="H194" s="722"/>
      <c r="I194" s="968">
        <v>10996</v>
      </c>
      <c r="J194" s="910"/>
      <c r="K194" s="722"/>
      <c r="L194" s="722"/>
      <c r="M194" s="722"/>
      <c r="N194" s="722"/>
      <c r="O194" s="722"/>
      <c r="P194" s="722"/>
      <c r="Q194" s="722"/>
      <c r="R194" s="739"/>
      <c r="S194" s="119"/>
      <c r="T194" s="119"/>
      <c r="U194" s="119"/>
      <c r="V194" s="119"/>
      <c r="W194" s="119"/>
      <c r="X194" s="119"/>
      <c r="Y194" s="119"/>
      <c r="Z194" s="119"/>
      <c r="AA194" s="119"/>
      <c r="AB194" s="119"/>
      <c r="AC194" s="119"/>
      <c r="AD194" s="119"/>
      <c r="AE194" s="119"/>
    </row>
    <row r="195" spans="1:31" s="38" customFormat="1" x14ac:dyDescent="0.3">
      <c r="A195" s="709">
        <v>185</v>
      </c>
      <c r="B195" s="921"/>
      <c r="C195" s="969"/>
      <c r="D195" s="922"/>
      <c r="E195" s="970" t="s">
        <v>311</v>
      </c>
      <c r="F195" s="729"/>
      <c r="G195" s="778"/>
      <c r="H195" s="778"/>
      <c r="I195" s="925"/>
      <c r="J195" s="926">
        <f>SUM(K195:R195)</f>
        <v>2261</v>
      </c>
      <c r="K195" s="927">
        <v>1923</v>
      </c>
      <c r="L195" s="927">
        <v>338</v>
      </c>
      <c r="M195" s="927"/>
      <c r="N195" s="927"/>
      <c r="O195" s="927"/>
      <c r="P195" s="927"/>
      <c r="Q195" s="927"/>
      <c r="R195" s="928"/>
      <c r="S195" s="115"/>
      <c r="T195" s="115"/>
      <c r="U195" s="115"/>
      <c r="V195" s="115"/>
      <c r="W195" s="115"/>
      <c r="X195" s="115"/>
      <c r="Y195" s="115"/>
      <c r="Z195" s="115"/>
      <c r="AA195" s="115"/>
      <c r="AB195" s="115"/>
      <c r="AC195" s="115"/>
      <c r="AD195" s="115"/>
      <c r="AE195" s="115"/>
    </row>
    <row r="196" spans="1:31" s="78" customFormat="1" ht="19.5" customHeight="1" x14ac:dyDescent="0.3">
      <c r="A196" s="709">
        <v>186</v>
      </c>
      <c r="B196" s="921"/>
      <c r="C196" s="971"/>
      <c r="D196" s="922"/>
      <c r="E196" s="932" t="s">
        <v>1064</v>
      </c>
      <c r="F196" s="729"/>
      <c r="G196" s="778"/>
      <c r="H196" s="778"/>
      <c r="I196" s="925"/>
      <c r="J196" s="910">
        <f>SUM(K196:R196)</f>
        <v>2261</v>
      </c>
      <c r="K196" s="929">
        <v>1923</v>
      </c>
      <c r="L196" s="929">
        <v>338</v>
      </c>
      <c r="M196" s="927"/>
      <c r="N196" s="927"/>
      <c r="O196" s="927"/>
      <c r="P196" s="927"/>
      <c r="Q196" s="927"/>
      <c r="R196" s="928"/>
      <c r="S196" s="117"/>
      <c r="T196" s="80"/>
      <c r="U196" s="80"/>
      <c r="V196" s="80"/>
      <c r="W196" s="80"/>
      <c r="X196" s="80"/>
      <c r="Y196" s="80"/>
      <c r="Z196" s="80"/>
      <c r="AA196" s="80"/>
      <c r="AB196" s="80"/>
      <c r="AC196" s="80"/>
      <c r="AD196" s="80"/>
      <c r="AE196" s="80"/>
    </row>
    <row r="197" spans="1:31" s="285" customFormat="1" ht="18" customHeight="1" x14ac:dyDescent="0.3">
      <c r="A197" s="709">
        <v>187</v>
      </c>
      <c r="B197" s="735"/>
      <c r="C197" s="872"/>
      <c r="D197" s="872"/>
      <c r="E197" s="930" t="s">
        <v>1012</v>
      </c>
      <c r="F197" s="753"/>
      <c r="G197" s="753"/>
      <c r="H197" s="753"/>
      <c r="I197" s="873"/>
      <c r="J197" s="874">
        <f>SUM(K197:R197)</f>
        <v>0</v>
      </c>
      <c r="K197" s="875"/>
      <c r="L197" s="875"/>
      <c r="M197" s="875"/>
      <c r="N197" s="875"/>
      <c r="O197" s="875"/>
      <c r="P197" s="875"/>
      <c r="Q197" s="875"/>
      <c r="R197" s="876"/>
      <c r="S197" s="293"/>
      <c r="T197" s="293"/>
      <c r="U197" s="293"/>
      <c r="V197" s="293"/>
      <c r="W197" s="293"/>
      <c r="X197" s="293"/>
      <c r="Y197" s="293"/>
      <c r="Z197" s="293"/>
      <c r="AA197" s="293"/>
      <c r="AB197" s="293"/>
      <c r="AC197" s="293"/>
      <c r="AD197" s="293"/>
      <c r="AE197" s="293"/>
    </row>
    <row r="198" spans="1:31" s="285" customFormat="1" ht="18" customHeight="1" x14ac:dyDescent="0.3">
      <c r="A198" s="709">
        <v>188</v>
      </c>
      <c r="B198" s="891"/>
      <c r="C198" s="931"/>
      <c r="D198" s="931"/>
      <c r="E198" s="932" t="s">
        <v>1116</v>
      </c>
      <c r="F198" s="782"/>
      <c r="G198" s="782"/>
      <c r="H198" s="782"/>
      <c r="I198" s="933"/>
      <c r="J198" s="910">
        <f>SUM(K198:R198)</f>
        <v>2261</v>
      </c>
      <c r="K198" s="929">
        <f>SUM(K196:K197)</f>
        <v>1923</v>
      </c>
      <c r="L198" s="929">
        <f>SUM(L196:L197)</f>
        <v>338</v>
      </c>
      <c r="M198" s="929"/>
      <c r="N198" s="929"/>
      <c r="O198" s="929"/>
      <c r="P198" s="929"/>
      <c r="Q198" s="929"/>
      <c r="R198" s="934"/>
      <c r="S198" s="293"/>
      <c r="T198" s="293"/>
      <c r="U198" s="293"/>
      <c r="V198" s="293"/>
      <c r="W198" s="293"/>
      <c r="X198" s="293"/>
      <c r="Y198" s="293"/>
      <c r="Z198" s="293"/>
      <c r="AA198" s="293"/>
      <c r="AB198" s="293"/>
      <c r="AC198" s="293"/>
      <c r="AD198" s="293"/>
      <c r="AE198" s="293"/>
    </row>
    <row r="199" spans="1:31" s="36" customFormat="1" ht="18" customHeight="1" x14ac:dyDescent="0.3">
      <c r="A199" s="709">
        <v>189</v>
      </c>
      <c r="B199" s="965"/>
      <c r="C199" s="736"/>
      <c r="D199" s="966" t="s">
        <v>917</v>
      </c>
      <c r="E199" s="966"/>
      <c r="F199" s="967"/>
      <c r="G199" s="722"/>
      <c r="H199" s="722"/>
      <c r="I199" s="968"/>
      <c r="J199" s="910"/>
      <c r="K199" s="722"/>
      <c r="L199" s="722"/>
      <c r="M199" s="722"/>
      <c r="N199" s="722"/>
      <c r="O199" s="722"/>
      <c r="P199" s="722"/>
      <c r="Q199" s="722"/>
      <c r="R199" s="739"/>
      <c r="S199" s="79"/>
      <c r="T199" s="79"/>
      <c r="U199" s="79"/>
      <c r="V199" s="79"/>
      <c r="W199" s="79"/>
      <c r="X199" s="79"/>
      <c r="Y199" s="79"/>
      <c r="Z199" s="79"/>
      <c r="AA199" s="79"/>
      <c r="AB199" s="79"/>
      <c r="AC199" s="79"/>
      <c r="AD199" s="79"/>
      <c r="AE199" s="79"/>
    </row>
    <row r="200" spans="1:31" s="36" customFormat="1" ht="18" customHeight="1" x14ac:dyDescent="0.3">
      <c r="A200" s="709">
        <v>190</v>
      </c>
      <c r="B200" s="921"/>
      <c r="C200" s="969"/>
      <c r="D200" s="922"/>
      <c r="E200" s="970" t="s">
        <v>311</v>
      </c>
      <c r="F200" s="729"/>
      <c r="G200" s="778"/>
      <c r="H200" s="778"/>
      <c r="I200" s="925"/>
      <c r="J200" s="926">
        <f>SUM(K200:R200)</f>
        <v>205560</v>
      </c>
      <c r="K200" s="927">
        <v>174945</v>
      </c>
      <c r="L200" s="927">
        <v>30615</v>
      </c>
      <c r="M200" s="927"/>
      <c r="N200" s="927"/>
      <c r="O200" s="927"/>
      <c r="P200" s="927"/>
      <c r="Q200" s="927"/>
      <c r="R200" s="928"/>
      <c r="S200" s="79"/>
      <c r="T200" s="79"/>
      <c r="U200" s="79"/>
      <c r="V200" s="79"/>
      <c r="W200" s="79"/>
      <c r="X200" s="79"/>
      <c r="Y200" s="79"/>
      <c r="Z200" s="79"/>
      <c r="AA200" s="79"/>
      <c r="AB200" s="79"/>
      <c r="AC200" s="79"/>
      <c r="AD200" s="79"/>
      <c r="AE200" s="79"/>
    </row>
    <row r="201" spans="1:31" s="36" customFormat="1" ht="18" customHeight="1" x14ac:dyDescent="0.3">
      <c r="A201" s="709">
        <v>191</v>
      </c>
      <c r="B201" s="921"/>
      <c r="C201" s="971"/>
      <c r="D201" s="922"/>
      <c r="E201" s="932" t="s">
        <v>1064</v>
      </c>
      <c r="F201" s="729"/>
      <c r="G201" s="778"/>
      <c r="H201" s="778"/>
      <c r="I201" s="925"/>
      <c r="J201" s="910">
        <f>SUM(K201:R201)</f>
        <v>17479</v>
      </c>
      <c r="K201" s="929">
        <v>14876</v>
      </c>
      <c r="L201" s="929">
        <v>2603</v>
      </c>
      <c r="M201" s="927"/>
      <c r="N201" s="927"/>
      <c r="O201" s="927"/>
      <c r="P201" s="927"/>
      <c r="Q201" s="927"/>
      <c r="R201" s="928"/>
      <c r="S201" s="79"/>
      <c r="T201" s="79"/>
      <c r="U201" s="79"/>
      <c r="V201" s="79"/>
      <c r="W201" s="79"/>
      <c r="X201" s="79"/>
      <c r="Y201" s="79"/>
      <c r="Z201" s="79"/>
      <c r="AA201" s="79"/>
      <c r="AB201" s="79"/>
      <c r="AC201" s="79"/>
      <c r="AD201" s="79"/>
      <c r="AE201" s="79"/>
    </row>
    <row r="202" spans="1:31" s="39" customFormat="1" ht="18" customHeight="1" x14ac:dyDescent="0.3">
      <c r="A202" s="709">
        <v>192</v>
      </c>
      <c r="B202" s="735"/>
      <c r="C202" s="872"/>
      <c r="D202" s="872"/>
      <c r="E202" s="930" t="s">
        <v>1012</v>
      </c>
      <c r="F202" s="753"/>
      <c r="G202" s="753"/>
      <c r="H202" s="753"/>
      <c r="I202" s="873"/>
      <c r="J202" s="874">
        <f>SUM(K202:R202)</f>
        <v>0</v>
      </c>
      <c r="K202" s="875"/>
      <c r="L202" s="875"/>
      <c r="M202" s="875"/>
      <c r="N202" s="875"/>
      <c r="O202" s="875"/>
      <c r="P202" s="875"/>
      <c r="Q202" s="875"/>
      <c r="R202" s="876"/>
      <c r="S202" s="119"/>
      <c r="T202" s="119"/>
      <c r="U202" s="119"/>
      <c r="V202" s="119"/>
      <c r="W202" s="119"/>
      <c r="X202" s="119"/>
      <c r="Y202" s="119"/>
      <c r="Z202" s="119"/>
      <c r="AA202" s="119"/>
      <c r="AB202" s="119"/>
      <c r="AC202" s="119"/>
      <c r="AD202" s="119"/>
      <c r="AE202" s="119"/>
    </row>
    <row r="203" spans="1:31" s="428" customFormat="1" ht="19.5" customHeight="1" x14ac:dyDescent="0.3">
      <c r="A203" s="709">
        <v>193</v>
      </c>
      <c r="B203" s="891"/>
      <c r="C203" s="931"/>
      <c r="D203" s="931"/>
      <c r="E203" s="932" t="s">
        <v>1116</v>
      </c>
      <c r="F203" s="782"/>
      <c r="G203" s="782"/>
      <c r="H203" s="782"/>
      <c r="I203" s="933"/>
      <c r="J203" s="910">
        <f>SUM(K203:R203)</f>
        <v>17479</v>
      </c>
      <c r="K203" s="929">
        <f>SUM(K201:K202)</f>
        <v>14876</v>
      </c>
      <c r="L203" s="929">
        <f>SUM(L201:L202)</f>
        <v>2603</v>
      </c>
      <c r="M203" s="929"/>
      <c r="N203" s="929"/>
      <c r="O203" s="929"/>
      <c r="P203" s="929"/>
      <c r="Q203" s="929"/>
      <c r="R203" s="934"/>
      <c r="S203" s="504"/>
      <c r="T203" s="427"/>
      <c r="U203" s="427"/>
      <c r="V203" s="427"/>
      <c r="W203" s="427"/>
      <c r="X203" s="427"/>
      <c r="Y203" s="427"/>
      <c r="Z203" s="427"/>
      <c r="AA203" s="427"/>
      <c r="AB203" s="427"/>
      <c r="AC203" s="427"/>
      <c r="AD203" s="427"/>
      <c r="AE203" s="427"/>
    </row>
    <row r="204" spans="1:31" s="430" customFormat="1" ht="18" customHeight="1" x14ac:dyDescent="0.3">
      <c r="A204" s="709">
        <v>194</v>
      </c>
      <c r="B204" s="718"/>
      <c r="C204" s="719">
        <v>2</v>
      </c>
      <c r="D204" s="962" t="s">
        <v>166</v>
      </c>
      <c r="E204" s="962"/>
      <c r="F204" s="878"/>
      <c r="G204" s="721">
        <v>121346</v>
      </c>
      <c r="H204" s="721">
        <v>164570</v>
      </c>
      <c r="I204" s="860">
        <v>129126</v>
      </c>
      <c r="J204" s="910"/>
      <c r="K204" s="721"/>
      <c r="L204" s="721"/>
      <c r="M204" s="721"/>
      <c r="N204" s="721"/>
      <c r="O204" s="721"/>
      <c r="P204" s="721"/>
      <c r="Q204" s="721"/>
      <c r="R204" s="862"/>
      <c r="S204" s="429"/>
      <c r="T204" s="429"/>
      <c r="U204" s="429"/>
      <c r="V204" s="429"/>
      <c r="W204" s="429"/>
      <c r="X204" s="429"/>
      <c r="Y204" s="429"/>
      <c r="Z204" s="429"/>
      <c r="AA204" s="429"/>
      <c r="AB204" s="429"/>
      <c r="AC204" s="429"/>
      <c r="AD204" s="429"/>
      <c r="AE204" s="429"/>
    </row>
    <row r="205" spans="1:31" s="430" customFormat="1" ht="18" customHeight="1" x14ac:dyDescent="0.3">
      <c r="A205" s="709">
        <v>195</v>
      </c>
      <c r="B205" s="724"/>
      <c r="C205" s="725"/>
      <c r="D205" s="863"/>
      <c r="E205" s="963" t="s">
        <v>311</v>
      </c>
      <c r="F205" s="728"/>
      <c r="G205" s="777"/>
      <c r="H205" s="777"/>
      <c r="I205" s="865"/>
      <c r="J205" s="866">
        <f t="shared" ref="J205:J208" si="38">SUM(K205:R205)</f>
        <v>185553</v>
      </c>
      <c r="K205" s="867">
        <v>3200</v>
      </c>
      <c r="L205" s="867">
        <v>1471</v>
      </c>
      <c r="M205" s="867">
        <v>164897</v>
      </c>
      <c r="N205" s="867"/>
      <c r="O205" s="867"/>
      <c r="P205" s="867">
        <v>15985</v>
      </c>
      <c r="Q205" s="867"/>
      <c r="R205" s="868"/>
      <c r="S205" s="429"/>
      <c r="T205" s="429"/>
      <c r="U205" s="429"/>
      <c r="V205" s="429"/>
      <c r="W205" s="429"/>
      <c r="X205" s="429"/>
      <c r="Y205" s="429"/>
      <c r="Z205" s="429"/>
      <c r="AA205" s="429"/>
      <c r="AB205" s="429"/>
      <c r="AC205" s="429"/>
      <c r="AD205" s="429"/>
      <c r="AE205" s="429"/>
    </row>
    <row r="206" spans="1:31" s="36" customFormat="1" ht="18" customHeight="1" x14ac:dyDescent="0.3">
      <c r="A206" s="709">
        <v>196</v>
      </c>
      <c r="B206" s="724"/>
      <c r="C206" s="964"/>
      <c r="D206" s="863"/>
      <c r="E206" s="732" t="s">
        <v>1064</v>
      </c>
      <c r="F206" s="728"/>
      <c r="G206" s="777"/>
      <c r="H206" s="777"/>
      <c r="I206" s="865"/>
      <c r="J206" s="861">
        <f t="shared" si="38"/>
        <v>282698</v>
      </c>
      <c r="K206" s="870">
        <v>3311</v>
      </c>
      <c r="L206" s="870">
        <v>1971</v>
      </c>
      <c r="M206" s="870">
        <v>268933</v>
      </c>
      <c r="N206" s="870"/>
      <c r="O206" s="870"/>
      <c r="P206" s="870">
        <v>8483</v>
      </c>
      <c r="Q206" s="867"/>
      <c r="R206" s="868"/>
      <c r="S206" s="79"/>
      <c r="T206" s="79"/>
      <c r="U206" s="79"/>
      <c r="V206" s="79"/>
      <c r="W206" s="79"/>
      <c r="X206" s="79"/>
      <c r="Y206" s="79"/>
      <c r="Z206" s="79"/>
      <c r="AA206" s="79"/>
      <c r="AB206" s="79"/>
      <c r="AC206" s="79"/>
      <c r="AD206" s="79"/>
      <c r="AE206" s="79"/>
    </row>
    <row r="207" spans="1:31" s="40" customFormat="1" ht="18" customHeight="1" x14ac:dyDescent="0.3">
      <c r="A207" s="709">
        <v>197</v>
      </c>
      <c r="B207" s="735"/>
      <c r="C207" s="872"/>
      <c r="D207" s="872"/>
      <c r="E207" s="780" t="s">
        <v>1012</v>
      </c>
      <c r="F207" s="753"/>
      <c r="G207" s="753"/>
      <c r="H207" s="753"/>
      <c r="I207" s="873"/>
      <c r="J207" s="874">
        <f t="shared" si="38"/>
        <v>0</v>
      </c>
      <c r="K207" s="875"/>
      <c r="L207" s="875"/>
      <c r="M207" s="875"/>
      <c r="N207" s="875"/>
      <c r="O207" s="875"/>
      <c r="P207" s="875"/>
      <c r="Q207" s="875"/>
      <c r="R207" s="876"/>
      <c r="S207" s="133"/>
      <c r="T207" s="133"/>
      <c r="U207" s="133"/>
      <c r="V207" s="133"/>
      <c r="W207" s="133"/>
      <c r="X207" s="133"/>
      <c r="Y207" s="133"/>
      <c r="Z207" s="133"/>
      <c r="AA207" s="133"/>
      <c r="AB207" s="133"/>
      <c r="AC207" s="133"/>
      <c r="AD207" s="133"/>
      <c r="AE207" s="133"/>
    </row>
    <row r="208" spans="1:31" s="428" customFormat="1" ht="19.5" customHeight="1" x14ac:dyDescent="0.3">
      <c r="A208" s="709">
        <v>198</v>
      </c>
      <c r="B208" s="740"/>
      <c r="C208" s="877"/>
      <c r="D208" s="877"/>
      <c r="E208" s="814" t="s">
        <v>1116</v>
      </c>
      <c r="F208" s="781"/>
      <c r="G208" s="781"/>
      <c r="H208" s="781"/>
      <c r="I208" s="869"/>
      <c r="J208" s="861">
        <f t="shared" si="38"/>
        <v>282698</v>
      </c>
      <c r="K208" s="870">
        <f>SUM(K206:K207)</f>
        <v>3311</v>
      </c>
      <c r="L208" s="870">
        <f>SUM(L206:L207)</f>
        <v>1971</v>
      </c>
      <c r="M208" s="870">
        <f>SUM(M206:M207)</f>
        <v>268933</v>
      </c>
      <c r="N208" s="870"/>
      <c r="O208" s="870"/>
      <c r="P208" s="870">
        <f>SUM(P206:P207)</f>
        <v>8483</v>
      </c>
      <c r="Q208" s="870"/>
      <c r="R208" s="871"/>
      <c r="S208" s="504"/>
      <c r="T208" s="427"/>
      <c r="U208" s="427"/>
      <c r="V208" s="427"/>
      <c r="W208" s="427"/>
      <c r="X208" s="427"/>
      <c r="Y208" s="427"/>
      <c r="Z208" s="427"/>
      <c r="AA208" s="427"/>
      <c r="AB208" s="427"/>
      <c r="AC208" s="427"/>
      <c r="AD208" s="427"/>
      <c r="AE208" s="427"/>
    </row>
    <row r="209" spans="1:31" s="430" customFormat="1" ht="18" customHeight="1" x14ac:dyDescent="0.3">
      <c r="A209" s="709">
        <v>199</v>
      </c>
      <c r="B209" s="718"/>
      <c r="C209" s="719">
        <v>3</v>
      </c>
      <c r="D209" s="962" t="s">
        <v>35</v>
      </c>
      <c r="E209" s="962"/>
      <c r="F209" s="878"/>
      <c r="G209" s="721">
        <v>81896</v>
      </c>
      <c r="H209" s="721">
        <v>96571</v>
      </c>
      <c r="I209" s="860">
        <v>96889</v>
      </c>
      <c r="J209" s="910"/>
      <c r="K209" s="721"/>
      <c r="L209" s="721"/>
      <c r="M209" s="721"/>
      <c r="N209" s="721"/>
      <c r="O209" s="721"/>
      <c r="P209" s="721"/>
      <c r="Q209" s="721"/>
      <c r="R209" s="862"/>
      <c r="S209" s="429"/>
      <c r="T209" s="429"/>
      <c r="U209" s="429"/>
      <c r="V209" s="429"/>
      <c r="W209" s="429"/>
      <c r="X209" s="429"/>
      <c r="Y209" s="429"/>
      <c r="Z209" s="429"/>
      <c r="AA209" s="429"/>
      <c r="AB209" s="429"/>
      <c r="AC209" s="429"/>
      <c r="AD209" s="429"/>
      <c r="AE209" s="429"/>
    </row>
    <row r="210" spans="1:31" s="430" customFormat="1" ht="18" customHeight="1" x14ac:dyDescent="0.3">
      <c r="A210" s="709">
        <v>200</v>
      </c>
      <c r="B210" s="724"/>
      <c r="C210" s="725"/>
      <c r="D210" s="863"/>
      <c r="E210" s="963" t="s">
        <v>311</v>
      </c>
      <c r="F210" s="728"/>
      <c r="G210" s="777"/>
      <c r="H210" s="777"/>
      <c r="I210" s="865"/>
      <c r="J210" s="866">
        <f>SUM(K210:R210)</f>
        <v>91571</v>
      </c>
      <c r="K210" s="867"/>
      <c r="L210" s="867"/>
      <c r="M210" s="867">
        <v>73191</v>
      </c>
      <c r="N210" s="867"/>
      <c r="O210" s="867"/>
      <c r="P210" s="867">
        <v>18380</v>
      </c>
      <c r="Q210" s="867"/>
      <c r="R210" s="868"/>
      <c r="S210" s="429"/>
      <c r="T210" s="429"/>
      <c r="U210" s="429"/>
      <c r="V210" s="429"/>
      <c r="W210" s="429"/>
      <c r="X210" s="429"/>
      <c r="Y210" s="429"/>
      <c r="Z210" s="429"/>
      <c r="AA210" s="429"/>
      <c r="AB210" s="429"/>
      <c r="AC210" s="429"/>
      <c r="AD210" s="429"/>
      <c r="AE210" s="429"/>
    </row>
    <row r="211" spans="1:31" s="36" customFormat="1" ht="18" customHeight="1" x14ac:dyDescent="0.3">
      <c r="A211" s="709">
        <v>201</v>
      </c>
      <c r="B211" s="724"/>
      <c r="C211" s="964"/>
      <c r="D211" s="863"/>
      <c r="E211" s="732" t="s">
        <v>1064</v>
      </c>
      <c r="F211" s="728"/>
      <c r="G211" s="777"/>
      <c r="H211" s="777"/>
      <c r="I211" s="865"/>
      <c r="J211" s="861">
        <f>SUM(K211:R211)</f>
        <v>117796</v>
      </c>
      <c r="K211" s="867"/>
      <c r="L211" s="867"/>
      <c r="M211" s="870">
        <v>93722</v>
      </c>
      <c r="N211" s="870"/>
      <c r="O211" s="870"/>
      <c r="P211" s="870">
        <v>24074</v>
      </c>
      <c r="Q211" s="867"/>
      <c r="R211" s="868"/>
      <c r="S211" s="79"/>
      <c r="T211" s="79"/>
      <c r="U211" s="79"/>
      <c r="V211" s="79"/>
      <c r="W211" s="79"/>
      <c r="X211" s="79"/>
      <c r="Y211" s="79"/>
      <c r="Z211" s="79"/>
      <c r="AA211" s="79"/>
      <c r="AB211" s="79"/>
      <c r="AC211" s="79"/>
      <c r="AD211" s="79"/>
      <c r="AE211" s="79"/>
    </row>
    <row r="212" spans="1:31" s="40" customFormat="1" ht="18" customHeight="1" x14ac:dyDescent="0.3">
      <c r="A212" s="709">
        <v>202</v>
      </c>
      <c r="B212" s="735"/>
      <c r="C212" s="872"/>
      <c r="D212" s="872"/>
      <c r="E212" s="780" t="s">
        <v>999</v>
      </c>
      <c r="F212" s="753"/>
      <c r="G212" s="753"/>
      <c r="H212" s="753"/>
      <c r="I212" s="873"/>
      <c r="J212" s="874">
        <f>SUM(K212:R212)</f>
        <v>0</v>
      </c>
      <c r="K212" s="875"/>
      <c r="L212" s="875"/>
      <c r="M212" s="875"/>
      <c r="N212" s="875"/>
      <c r="O212" s="875"/>
      <c r="P212" s="875"/>
      <c r="Q212" s="875"/>
      <c r="R212" s="876"/>
      <c r="S212" s="133"/>
      <c r="T212" s="133"/>
      <c r="U212" s="133"/>
      <c r="V212" s="133"/>
      <c r="W212" s="133"/>
      <c r="X212" s="133"/>
      <c r="Y212" s="133"/>
      <c r="Z212" s="133"/>
      <c r="AA212" s="133"/>
      <c r="AB212" s="133"/>
      <c r="AC212" s="133"/>
      <c r="AD212" s="133"/>
      <c r="AE212" s="133"/>
    </row>
    <row r="213" spans="1:31" s="39" customFormat="1" ht="20.100000000000001" customHeight="1" x14ac:dyDescent="0.3">
      <c r="A213" s="709">
        <v>203</v>
      </c>
      <c r="B213" s="740"/>
      <c r="C213" s="877"/>
      <c r="D213" s="877"/>
      <c r="E213" s="814" t="s">
        <v>1116</v>
      </c>
      <c r="F213" s="781"/>
      <c r="G213" s="781"/>
      <c r="H213" s="781"/>
      <c r="I213" s="869"/>
      <c r="J213" s="861">
        <f>SUM(K213:R213)</f>
        <v>117796</v>
      </c>
      <c r="K213" s="870"/>
      <c r="L213" s="870"/>
      <c r="M213" s="870">
        <f>SUM(M211:M212)</f>
        <v>93722</v>
      </c>
      <c r="N213" s="870"/>
      <c r="O213" s="870"/>
      <c r="P213" s="870">
        <f t="shared" ref="P213" si="39">SUM(P211:P212)</f>
        <v>24074</v>
      </c>
      <c r="Q213" s="870"/>
      <c r="R213" s="871"/>
      <c r="S213" s="119"/>
      <c r="T213" s="119"/>
      <c r="U213" s="119"/>
      <c r="V213" s="119"/>
      <c r="W213" s="119"/>
      <c r="X213" s="119"/>
      <c r="Y213" s="119"/>
      <c r="Z213" s="119"/>
      <c r="AA213" s="119"/>
      <c r="AB213" s="119"/>
      <c r="AC213" s="119"/>
      <c r="AD213" s="119"/>
      <c r="AE213" s="119"/>
    </row>
    <row r="214" spans="1:31" s="285" customFormat="1" ht="18" customHeight="1" x14ac:dyDescent="0.3">
      <c r="A214" s="709">
        <v>204</v>
      </c>
      <c r="B214" s="718"/>
      <c r="C214" s="719">
        <v>4</v>
      </c>
      <c r="D214" s="962" t="s">
        <v>167</v>
      </c>
      <c r="E214" s="962"/>
      <c r="F214" s="878"/>
      <c r="G214" s="721">
        <v>2690</v>
      </c>
      <c r="H214" s="721">
        <v>6350</v>
      </c>
      <c r="I214" s="860">
        <v>2385</v>
      </c>
      <c r="J214" s="910"/>
      <c r="K214" s="721"/>
      <c r="L214" s="721"/>
      <c r="M214" s="721"/>
      <c r="N214" s="721"/>
      <c r="O214" s="721"/>
      <c r="P214" s="721"/>
      <c r="Q214" s="721"/>
      <c r="R214" s="862"/>
      <c r="S214" s="293"/>
      <c r="T214" s="293"/>
      <c r="U214" s="293"/>
      <c r="V214" s="293"/>
      <c r="W214" s="293"/>
      <c r="X214" s="293"/>
      <c r="Y214" s="293"/>
      <c r="Z214" s="293"/>
      <c r="AA214" s="293"/>
      <c r="AB214" s="293"/>
      <c r="AC214" s="293"/>
      <c r="AD214" s="293"/>
      <c r="AE214" s="293"/>
    </row>
    <row r="215" spans="1:31" s="285" customFormat="1" ht="18" customHeight="1" x14ac:dyDescent="0.3">
      <c r="A215" s="709">
        <v>205</v>
      </c>
      <c r="B215" s="724"/>
      <c r="C215" s="725"/>
      <c r="D215" s="863"/>
      <c r="E215" s="963" t="s">
        <v>311</v>
      </c>
      <c r="F215" s="728"/>
      <c r="G215" s="777"/>
      <c r="H215" s="777"/>
      <c r="I215" s="865"/>
      <c r="J215" s="866">
        <f>SUM(K215:R215)</f>
        <v>7800</v>
      </c>
      <c r="K215" s="867"/>
      <c r="L215" s="867"/>
      <c r="M215" s="867">
        <v>7800</v>
      </c>
      <c r="N215" s="867"/>
      <c r="O215" s="867"/>
      <c r="P215" s="867"/>
      <c r="Q215" s="867"/>
      <c r="R215" s="868"/>
      <c r="S215" s="293"/>
      <c r="T215" s="293"/>
      <c r="U215" s="293"/>
      <c r="V215" s="293"/>
      <c r="W215" s="293"/>
      <c r="X215" s="293"/>
      <c r="Y215" s="293"/>
      <c r="Z215" s="293"/>
      <c r="AA215" s="293"/>
      <c r="AB215" s="293"/>
      <c r="AC215" s="293"/>
      <c r="AD215" s="293"/>
      <c r="AE215" s="293"/>
    </row>
    <row r="216" spans="1:31" s="36" customFormat="1" ht="18" customHeight="1" x14ac:dyDescent="0.3">
      <c r="A216" s="709">
        <v>206</v>
      </c>
      <c r="B216" s="724"/>
      <c r="C216" s="964"/>
      <c r="D216" s="863"/>
      <c r="E216" s="732" t="s">
        <v>1064</v>
      </c>
      <c r="F216" s="728"/>
      <c r="G216" s="777"/>
      <c r="H216" s="777"/>
      <c r="I216" s="865"/>
      <c r="J216" s="861">
        <f>SUM(K216:R216)</f>
        <v>13972</v>
      </c>
      <c r="K216" s="867"/>
      <c r="L216" s="867"/>
      <c r="M216" s="870">
        <v>13972</v>
      </c>
      <c r="N216" s="867"/>
      <c r="O216" s="867"/>
      <c r="P216" s="867"/>
      <c r="Q216" s="867"/>
      <c r="R216" s="868"/>
      <c r="S216" s="79"/>
      <c r="T216" s="79"/>
      <c r="U216" s="79"/>
      <c r="V216" s="79"/>
      <c r="W216" s="79"/>
      <c r="X216" s="79"/>
      <c r="Y216" s="79"/>
      <c r="Z216" s="79"/>
      <c r="AA216" s="79"/>
      <c r="AB216" s="79"/>
      <c r="AC216" s="79"/>
      <c r="AD216" s="79"/>
      <c r="AE216" s="79"/>
    </row>
    <row r="217" spans="1:31" s="39" customFormat="1" ht="18" customHeight="1" x14ac:dyDescent="0.3">
      <c r="A217" s="709">
        <v>207</v>
      </c>
      <c r="B217" s="735"/>
      <c r="C217" s="872"/>
      <c r="D217" s="872"/>
      <c r="E217" s="780" t="s">
        <v>1012</v>
      </c>
      <c r="F217" s="753"/>
      <c r="G217" s="753"/>
      <c r="H217" s="753"/>
      <c r="I217" s="873"/>
      <c r="J217" s="874">
        <f>SUM(K217:R217)</f>
        <v>0</v>
      </c>
      <c r="K217" s="875"/>
      <c r="L217" s="875"/>
      <c r="M217" s="875"/>
      <c r="N217" s="875"/>
      <c r="O217" s="875"/>
      <c r="P217" s="875"/>
      <c r="Q217" s="875"/>
      <c r="R217" s="876"/>
      <c r="S217" s="119"/>
      <c r="T217" s="119"/>
      <c r="U217" s="119"/>
      <c r="V217" s="119"/>
      <c r="W217" s="119"/>
      <c r="X217" s="119"/>
      <c r="Y217" s="119"/>
      <c r="Z217" s="119"/>
      <c r="AA217" s="119"/>
      <c r="AB217" s="119"/>
      <c r="AC217" s="119"/>
      <c r="AD217" s="119"/>
      <c r="AE217" s="119"/>
    </row>
    <row r="218" spans="1:31" s="39" customFormat="1" ht="20.100000000000001" customHeight="1" x14ac:dyDescent="0.3">
      <c r="A218" s="709">
        <v>208</v>
      </c>
      <c r="B218" s="740"/>
      <c r="C218" s="877"/>
      <c r="D218" s="877"/>
      <c r="E218" s="814" t="s">
        <v>1116</v>
      </c>
      <c r="F218" s="781"/>
      <c r="G218" s="781"/>
      <c r="H218" s="781"/>
      <c r="I218" s="869"/>
      <c r="J218" s="861">
        <f>SUM(K218:R218)</f>
        <v>13972</v>
      </c>
      <c r="K218" s="870"/>
      <c r="L218" s="870"/>
      <c r="M218" s="870">
        <f>SUM(M216:M217)</f>
        <v>13972</v>
      </c>
      <c r="N218" s="870"/>
      <c r="O218" s="870"/>
      <c r="P218" s="870"/>
      <c r="Q218" s="870"/>
      <c r="R218" s="871"/>
      <c r="S218" s="119"/>
      <c r="T218" s="119"/>
      <c r="U218" s="119"/>
      <c r="V218" s="119"/>
      <c r="W218" s="119"/>
      <c r="X218" s="119"/>
      <c r="Y218" s="119"/>
      <c r="Z218" s="119"/>
      <c r="AA218" s="119"/>
      <c r="AB218" s="119"/>
      <c r="AC218" s="119"/>
      <c r="AD218" s="119"/>
      <c r="AE218" s="119"/>
    </row>
    <row r="219" spans="1:31" s="285" customFormat="1" ht="32.25" customHeight="1" x14ac:dyDescent="0.3">
      <c r="A219" s="709">
        <v>209</v>
      </c>
      <c r="B219" s="740"/>
      <c r="C219" s="799">
        <v>5</v>
      </c>
      <c r="D219" s="2011" t="s">
        <v>395</v>
      </c>
      <c r="E219" s="2012"/>
      <c r="F219" s="972"/>
      <c r="G219" s="752">
        <v>1577</v>
      </c>
      <c r="H219" s="752"/>
      <c r="I219" s="973"/>
      <c r="J219" s="861"/>
      <c r="K219" s="974"/>
      <c r="L219" s="974"/>
      <c r="M219" s="974"/>
      <c r="N219" s="974"/>
      <c r="O219" s="974"/>
      <c r="P219" s="974"/>
      <c r="Q219" s="974"/>
      <c r="R219" s="975"/>
      <c r="S219" s="293"/>
      <c r="T219" s="293"/>
      <c r="U219" s="293"/>
      <c r="V219" s="293"/>
      <c r="W219" s="293"/>
      <c r="X219" s="293"/>
      <c r="Y219" s="293"/>
      <c r="Z219" s="293"/>
      <c r="AA219" s="293"/>
      <c r="AB219" s="293"/>
      <c r="AC219" s="293"/>
      <c r="AD219" s="293"/>
      <c r="AE219" s="293"/>
    </row>
    <row r="220" spans="1:31" s="285" customFormat="1" ht="36" customHeight="1" x14ac:dyDescent="0.3">
      <c r="A220" s="709">
        <v>210</v>
      </c>
      <c r="B220" s="740"/>
      <c r="C220" s="719">
        <v>6</v>
      </c>
      <c r="D220" s="962" t="s">
        <v>392</v>
      </c>
      <c r="E220" s="962"/>
      <c r="F220" s="878"/>
      <c r="G220" s="752">
        <v>4167</v>
      </c>
      <c r="H220" s="752">
        <v>2495</v>
      </c>
      <c r="I220" s="973"/>
      <c r="J220" s="861"/>
      <c r="K220" s="974"/>
      <c r="L220" s="974"/>
      <c r="M220" s="974"/>
      <c r="N220" s="974"/>
      <c r="O220" s="974"/>
      <c r="P220" s="974"/>
      <c r="Q220" s="974"/>
      <c r="R220" s="975"/>
      <c r="S220" s="293"/>
      <c r="T220" s="293"/>
      <c r="U220" s="293"/>
      <c r="V220" s="293"/>
      <c r="W220" s="293"/>
      <c r="X220" s="293"/>
      <c r="Y220" s="293"/>
      <c r="Z220" s="293"/>
      <c r="AA220" s="293"/>
      <c r="AB220" s="293"/>
      <c r="AC220" s="293"/>
      <c r="AD220" s="293"/>
      <c r="AE220" s="293"/>
    </row>
    <row r="221" spans="1:31" s="36" customFormat="1" ht="33" customHeight="1" x14ac:dyDescent="0.3">
      <c r="A221" s="709">
        <v>211</v>
      </c>
      <c r="B221" s="740"/>
      <c r="C221" s="799">
        <v>7</v>
      </c>
      <c r="D221" s="1977" t="s">
        <v>615</v>
      </c>
      <c r="E221" s="1978"/>
      <c r="F221" s="878"/>
      <c r="G221" s="752"/>
      <c r="H221" s="752">
        <v>8475</v>
      </c>
      <c r="I221" s="973"/>
      <c r="J221" s="861"/>
      <c r="K221" s="882"/>
      <c r="L221" s="882"/>
      <c r="M221" s="974"/>
      <c r="N221" s="974"/>
      <c r="O221" s="974"/>
      <c r="P221" s="974"/>
      <c r="Q221" s="974"/>
      <c r="R221" s="975"/>
      <c r="S221" s="79"/>
      <c r="T221" s="79"/>
      <c r="U221" s="79"/>
      <c r="V221" s="79"/>
      <c r="W221" s="79"/>
      <c r="X221" s="79"/>
      <c r="Y221" s="79"/>
      <c r="Z221" s="79"/>
      <c r="AA221" s="79"/>
      <c r="AB221" s="79"/>
      <c r="AC221" s="79"/>
      <c r="AD221" s="79"/>
      <c r="AE221" s="79"/>
    </row>
    <row r="222" spans="1:31" s="39" customFormat="1" ht="18" customHeight="1" x14ac:dyDescent="0.3">
      <c r="A222" s="709">
        <v>212</v>
      </c>
      <c r="B222" s="724"/>
      <c r="C222" s="725"/>
      <c r="D222" s="863"/>
      <c r="E222" s="963" t="s">
        <v>311</v>
      </c>
      <c r="F222" s="976"/>
      <c r="G222" s="777"/>
      <c r="H222" s="777"/>
      <c r="I222" s="865"/>
      <c r="J222" s="866">
        <f t="shared" ref="J222:J227" si="40">SUM(K222:R222)</f>
        <v>13852</v>
      </c>
      <c r="K222" s="977">
        <v>11592</v>
      </c>
      <c r="L222" s="977">
        <v>2260</v>
      </c>
      <c r="M222" s="977"/>
      <c r="N222" s="977"/>
      <c r="O222" s="977"/>
      <c r="P222" s="977"/>
      <c r="Q222" s="977"/>
      <c r="R222" s="978"/>
      <c r="S222" s="119"/>
      <c r="T222" s="119"/>
      <c r="U222" s="119"/>
      <c r="V222" s="119"/>
      <c r="W222" s="119"/>
      <c r="X222" s="119"/>
      <c r="Y222" s="119"/>
      <c r="Z222" s="119"/>
      <c r="AA222" s="119"/>
      <c r="AB222" s="119"/>
      <c r="AC222" s="119"/>
      <c r="AD222" s="119"/>
      <c r="AE222" s="119"/>
    </row>
    <row r="223" spans="1:31" s="39" customFormat="1" ht="20.100000000000001" customHeight="1" x14ac:dyDescent="0.3">
      <c r="A223" s="709">
        <v>213</v>
      </c>
      <c r="B223" s="724"/>
      <c r="C223" s="964"/>
      <c r="D223" s="863"/>
      <c r="E223" s="732" t="s">
        <v>1064</v>
      </c>
      <c r="F223" s="976"/>
      <c r="G223" s="777"/>
      <c r="H223" s="777"/>
      <c r="I223" s="865"/>
      <c r="J223" s="861">
        <f>SUM(K223:R223)</f>
        <v>13852</v>
      </c>
      <c r="K223" s="974">
        <v>11592</v>
      </c>
      <c r="L223" s="974">
        <v>2260</v>
      </c>
      <c r="M223" s="977"/>
      <c r="N223" s="977"/>
      <c r="O223" s="977"/>
      <c r="P223" s="977"/>
      <c r="Q223" s="977"/>
      <c r="R223" s="978"/>
      <c r="S223" s="119"/>
      <c r="T223" s="119"/>
      <c r="U223" s="119"/>
      <c r="V223" s="119"/>
      <c r="W223" s="119"/>
      <c r="X223" s="119"/>
      <c r="Y223" s="119"/>
      <c r="Z223" s="119"/>
      <c r="AA223" s="119"/>
      <c r="AB223" s="119"/>
      <c r="AC223" s="119"/>
      <c r="AD223" s="119"/>
      <c r="AE223" s="119"/>
    </row>
    <row r="224" spans="1:31" s="285" customFormat="1" ht="18" customHeight="1" x14ac:dyDescent="0.3">
      <c r="A224" s="709">
        <v>214</v>
      </c>
      <c r="B224" s="735"/>
      <c r="C224" s="872"/>
      <c r="D224" s="872"/>
      <c r="E224" s="780" t="s">
        <v>999</v>
      </c>
      <c r="F224" s="753"/>
      <c r="G224" s="753"/>
      <c r="H224" s="753"/>
      <c r="I224" s="873"/>
      <c r="J224" s="874">
        <f>SUM(K224:R224)</f>
        <v>0</v>
      </c>
      <c r="K224" s="875"/>
      <c r="L224" s="875"/>
      <c r="M224" s="875"/>
      <c r="N224" s="875"/>
      <c r="O224" s="875"/>
      <c r="P224" s="875"/>
      <c r="Q224" s="875"/>
      <c r="R224" s="876"/>
      <c r="S224" s="293"/>
      <c r="T224" s="293"/>
      <c r="U224" s="293"/>
      <c r="V224" s="293"/>
      <c r="W224" s="293"/>
      <c r="X224" s="293"/>
      <c r="Y224" s="293"/>
      <c r="Z224" s="293"/>
      <c r="AA224" s="293"/>
      <c r="AB224" s="293"/>
      <c r="AC224" s="293"/>
      <c r="AD224" s="293"/>
      <c r="AE224" s="293"/>
    </row>
    <row r="225" spans="1:31" s="285" customFormat="1" ht="18" customHeight="1" x14ac:dyDescent="0.3">
      <c r="A225" s="709">
        <v>215</v>
      </c>
      <c r="B225" s="740"/>
      <c r="C225" s="877"/>
      <c r="D225" s="877"/>
      <c r="E225" s="814" t="s">
        <v>1116</v>
      </c>
      <c r="F225" s="781"/>
      <c r="G225" s="781"/>
      <c r="H225" s="781"/>
      <c r="I225" s="869"/>
      <c r="J225" s="861">
        <f>SUM(K225:R225)</f>
        <v>13852</v>
      </c>
      <c r="K225" s="870">
        <f>SUM(K223:K224)</f>
        <v>11592</v>
      </c>
      <c r="L225" s="870">
        <f>SUM(L223:L224)</f>
        <v>2260</v>
      </c>
      <c r="M225" s="870"/>
      <c r="N225" s="870"/>
      <c r="O225" s="870"/>
      <c r="P225" s="870"/>
      <c r="Q225" s="870"/>
      <c r="R225" s="871"/>
      <c r="S225" s="293"/>
      <c r="T225" s="293"/>
      <c r="U225" s="293"/>
      <c r="V225" s="293"/>
      <c r="W225" s="293"/>
      <c r="X225" s="293"/>
      <c r="Y225" s="293"/>
      <c r="Z225" s="293"/>
      <c r="AA225" s="293"/>
      <c r="AB225" s="293"/>
      <c r="AC225" s="293"/>
      <c r="AD225" s="293"/>
      <c r="AE225" s="293"/>
    </row>
    <row r="226" spans="1:31" s="36" customFormat="1" ht="40.5" customHeight="1" x14ac:dyDescent="0.3">
      <c r="A226" s="709">
        <v>216</v>
      </c>
      <c r="B226" s="740"/>
      <c r="C226" s="799">
        <v>8</v>
      </c>
      <c r="D226" s="1977" t="s">
        <v>616</v>
      </c>
      <c r="E226" s="1978"/>
      <c r="F226" s="878"/>
      <c r="G226" s="752"/>
      <c r="H226" s="752">
        <v>3250</v>
      </c>
      <c r="I226" s="973"/>
      <c r="J226" s="861"/>
      <c r="K226" s="882"/>
      <c r="L226" s="882"/>
      <c r="M226" s="974"/>
      <c r="N226" s="974"/>
      <c r="O226" s="974"/>
      <c r="P226" s="974"/>
      <c r="Q226" s="974"/>
      <c r="R226" s="975"/>
      <c r="S226" s="79"/>
      <c r="T226" s="79"/>
      <c r="U226" s="79"/>
      <c r="V226" s="79"/>
      <c r="W226" s="79"/>
      <c r="X226" s="79"/>
      <c r="Y226" s="79"/>
      <c r="Z226" s="79"/>
      <c r="AA226" s="79"/>
      <c r="AB226" s="79"/>
      <c r="AC226" s="79"/>
      <c r="AD226" s="79"/>
      <c r="AE226" s="79"/>
    </row>
    <row r="227" spans="1:31" s="39" customFormat="1" ht="18" customHeight="1" x14ac:dyDescent="0.3">
      <c r="A227" s="709">
        <v>217</v>
      </c>
      <c r="B227" s="724"/>
      <c r="C227" s="725"/>
      <c r="D227" s="863"/>
      <c r="E227" s="963" t="s">
        <v>311</v>
      </c>
      <c r="F227" s="976"/>
      <c r="G227" s="777"/>
      <c r="H227" s="777"/>
      <c r="I227" s="865"/>
      <c r="J227" s="866">
        <f t="shared" si="40"/>
        <v>3250</v>
      </c>
      <c r="K227" s="977">
        <v>2720</v>
      </c>
      <c r="L227" s="977">
        <v>530</v>
      </c>
      <c r="M227" s="977"/>
      <c r="N227" s="977"/>
      <c r="O227" s="977"/>
      <c r="P227" s="977"/>
      <c r="Q227" s="977"/>
      <c r="R227" s="978"/>
      <c r="S227" s="119"/>
      <c r="T227" s="119"/>
      <c r="U227" s="119"/>
      <c r="V227" s="119"/>
      <c r="W227" s="119"/>
      <c r="X227" s="119"/>
      <c r="Y227" s="119"/>
      <c r="Z227" s="119"/>
      <c r="AA227" s="119"/>
      <c r="AB227" s="119"/>
      <c r="AC227" s="119"/>
      <c r="AD227" s="119"/>
      <c r="AE227" s="119"/>
    </row>
    <row r="228" spans="1:31" s="39" customFormat="1" ht="30" customHeight="1" x14ac:dyDescent="0.3">
      <c r="A228" s="709">
        <v>218</v>
      </c>
      <c r="B228" s="724"/>
      <c r="C228" s="964"/>
      <c r="D228" s="863"/>
      <c r="E228" s="732" t="s">
        <v>1064</v>
      </c>
      <c r="F228" s="976"/>
      <c r="G228" s="777"/>
      <c r="H228" s="777"/>
      <c r="I228" s="865"/>
      <c r="J228" s="861">
        <f>SUM(K228:R228)</f>
        <v>3250</v>
      </c>
      <c r="K228" s="974">
        <v>2720</v>
      </c>
      <c r="L228" s="974">
        <v>530</v>
      </c>
      <c r="M228" s="977"/>
      <c r="N228" s="977"/>
      <c r="O228" s="977"/>
      <c r="P228" s="977"/>
      <c r="Q228" s="977"/>
      <c r="R228" s="978"/>
      <c r="S228" s="119"/>
      <c r="T228" s="119"/>
      <c r="U228" s="119"/>
      <c r="V228" s="119"/>
      <c r="W228" s="119"/>
      <c r="X228" s="119"/>
      <c r="Y228" s="119"/>
      <c r="Z228" s="119"/>
      <c r="AA228" s="119"/>
      <c r="AB228" s="119"/>
      <c r="AC228" s="119"/>
      <c r="AD228" s="119"/>
      <c r="AE228" s="119"/>
    </row>
    <row r="229" spans="1:31" s="39" customFormat="1" ht="20.100000000000001" customHeight="1" x14ac:dyDescent="0.3">
      <c r="A229" s="709">
        <v>219</v>
      </c>
      <c r="B229" s="735"/>
      <c r="C229" s="872"/>
      <c r="D229" s="872"/>
      <c r="E229" s="780" t="s">
        <v>999</v>
      </c>
      <c r="F229" s="753"/>
      <c r="G229" s="753"/>
      <c r="H229" s="753"/>
      <c r="I229" s="873"/>
      <c r="J229" s="874">
        <f>SUM(K229:R229)</f>
        <v>0</v>
      </c>
      <c r="K229" s="875"/>
      <c r="L229" s="875"/>
      <c r="M229" s="875"/>
      <c r="N229" s="875"/>
      <c r="O229" s="875"/>
      <c r="P229" s="875"/>
      <c r="Q229" s="875"/>
      <c r="R229" s="876"/>
      <c r="S229" s="119"/>
      <c r="T229" s="119"/>
      <c r="U229" s="119"/>
      <c r="V229" s="119"/>
      <c r="W229" s="119"/>
      <c r="X229" s="119"/>
      <c r="Y229" s="119"/>
      <c r="Z229" s="119"/>
      <c r="AA229" s="119"/>
      <c r="AB229" s="119"/>
      <c r="AC229" s="119"/>
      <c r="AD229" s="119"/>
      <c r="AE229" s="119"/>
    </row>
    <row r="230" spans="1:31" s="39" customFormat="1" ht="30" customHeight="1" x14ac:dyDescent="0.3">
      <c r="A230" s="709">
        <v>220</v>
      </c>
      <c r="B230" s="740"/>
      <c r="C230" s="877"/>
      <c r="D230" s="877"/>
      <c r="E230" s="814" t="s">
        <v>1116</v>
      </c>
      <c r="F230" s="781"/>
      <c r="G230" s="781"/>
      <c r="H230" s="781"/>
      <c r="I230" s="869"/>
      <c r="J230" s="861">
        <f>SUM(K230:R230)</f>
        <v>3250</v>
      </c>
      <c r="K230" s="870">
        <f>SUM(K228:K229)</f>
        <v>2720</v>
      </c>
      <c r="L230" s="870">
        <f>SUM(L228:L229)</f>
        <v>530</v>
      </c>
      <c r="M230" s="870"/>
      <c r="N230" s="870"/>
      <c r="O230" s="870"/>
      <c r="P230" s="870"/>
      <c r="Q230" s="870"/>
      <c r="R230" s="871"/>
      <c r="S230" s="119"/>
      <c r="T230" s="119"/>
      <c r="U230" s="119"/>
      <c r="V230" s="119"/>
      <c r="W230" s="119"/>
      <c r="X230" s="119"/>
      <c r="Y230" s="119"/>
      <c r="Z230" s="119"/>
      <c r="AA230" s="119"/>
      <c r="AB230" s="119"/>
      <c r="AC230" s="119"/>
      <c r="AD230" s="119"/>
      <c r="AE230" s="119"/>
    </row>
    <row r="231" spans="1:31" s="290" customFormat="1" ht="18" customHeight="1" x14ac:dyDescent="0.3">
      <c r="A231" s="709">
        <v>221</v>
      </c>
      <c r="B231" s="740"/>
      <c r="C231" s="719">
        <v>9</v>
      </c>
      <c r="D231" s="962" t="s">
        <v>535</v>
      </c>
      <c r="E231" s="962"/>
      <c r="F231" s="878"/>
      <c r="G231" s="752"/>
      <c r="H231" s="752"/>
      <c r="I231" s="973"/>
      <c r="J231" s="861"/>
      <c r="K231" s="974"/>
      <c r="L231" s="974"/>
      <c r="M231" s="974"/>
      <c r="N231" s="974"/>
      <c r="O231" s="974"/>
      <c r="P231" s="974"/>
      <c r="Q231" s="974"/>
      <c r="R231" s="975"/>
      <c r="S231" s="289"/>
      <c r="T231" s="289"/>
      <c r="U231" s="289"/>
      <c r="V231" s="289"/>
      <c r="W231" s="289"/>
      <c r="X231" s="289"/>
      <c r="Y231" s="289"/>
      <c r="Z231" s="289"/>
      <c r="AA231" s="289"/>
      <c r="AB231" s="289"/>
      <c r="AC231" s="289"/>
      <c r="AD231" s="289"/>
      <c r="AE231" s="289"/>
    </row>
    <row r="232" spans="1:31" s="290" customFormat="1" ht="18" customHeight="1" x14ac:dyDescent="0.3">
      <c r="A232" s="709">
        <v>222</v>
      </c>
      <c r="B232" s="724"/>
      <c r="C232" s="725"/>
      <c r="D232" s="863"/>
      <c r="E232" s="963" t="s">
        <v>311</v>
      </c>
      <c r="F232" s="976"/>
      <c r="G232" s="777"/>
      <c r="H232" s="777"/>
      <c r="I232" s="865"/>
      <c r="J232" s="866">
        <f>SUM(K232:R232)</f>
        <v>6000</v>
      </c>
      <c r="K232" s="977">
        <v>4918</v>
      </c>
      <c r="L232" s="977">
        <v>1082</v>
      </c>
      <c r="M232" s="977"/>
      <c r="N232" s="977"/>
      <c r="O232" s="977"/>
      <c r="P232" s="977"/>
      <c r="Q232" s="977"/>
      <c r="R232" s="978"/>
      <c r="S232" s="289"/>
      <c r="T232" s="289"/>
      <c r="U232" s="289"/>
      <c r="V232" s="289"/>
      <c r="W232" s="289"/>
      <c r="X232" s="289"/>
      <c r="Y232" s="289"/>
      <c r="Z232" s="289"/>
      <c r="AA232" s="289"/>
      <c r="AB232" s="289"/>
      <c r="AC232" s="289"/>
      <c r="AD232" s="289"/>
      <c r="AE232" s="289"/>
    </row>
    <row r="233" spans="1:31" s="36" customFormat="1" ht="18" customHeight="1" x14ac:dyDescent="0.3">
      <c r="A233" s="709">
        <v>223</v>
      </c>
      <c r="B233" s="724"/>
      <c r="C233" s="964"/>
      <c r="D233" s="863"/>
      <c r="E233" s="732" t="s">
        <v>1064</v>
      </c>
      <c r="F233" s="976"/>
      <c r="G233" s="777"/>
      <c r="H233" s="777"/>
      <c r="I233" s="865"/>
      <c r="J233" s="861">
        <f>SUM(K233:R233)</f>
        <v>6000</v>
      </c>
      <c r="K233" s="974">
        <v>4918</v>
      </c>
      <c r="L233" s="974">
        <v>1082</v>
      </c>
      <c r="M233" s="977"/>
      <c r="N233" s="977"/>
      <c r="O233" s="977"/>
      <c r="P233" s="977"/>
      <c r="Q233" s="977"/>
      <c r="R233" s="978"/>
      <c r="S233" s="79"/>
      <c r="T233" s="79"/>
      <c r="U233" s="79"/>
      <c r="V233" s="79"/>
      <c r="W233" s="79"/>
      <c r="X233" s="79"/>
      <c r="Y233" s="79"/>
      <c r="Z233" s="79"/>
      <c r="AA233" s="79"/>
      <c r="AB233" s="79"/>
      <c r="AC233" s="79"/>
      <c r="AD233" s="79"/>
      <c r="AE233" s="79"/>
    </row>
    <row r="234" spans="1:31" s="39" customFormat="1" ht="18" customHeight="1" x14ac:dyDescent="0.3">
      <c r="A234" s="709">
        <v>224</v>
      </c>
      <c r="B234" s="735"/>
      <c r="C234" s="872"/>
      <c r="D234" s="872"/>
      <c r="E234" s="780" t="s">
        <v>999</v>
      </c>
      <c r="F234" s="753"/>
      <c r="G234" s="753"/>
      <c r="H234" s="753"/>
      <c r="I234" s="873"/>
      <c r="J234" s="874">
        <f>SUM(K234:R234)</f>
        <v>0</v>
      </c>
      <c r="K234" s="875"/>
      <c r="L234" s="875"/>
      <c r="M234" s="875"/>
      <c r="N234" s="875"/>
      <c r="O234" s="875"/>
      <c r="P234" s="875"/>
      <c r="Q234" s="875"/>
      <c r="R234" s="876"/>
      <c r="S234" s="119"/>
      <c r="T234" s="119"/>
      <c r="U234" s="119"/>
      <c r="V234" s="119"/>
      <c r="W234" s="119"/>
      <c r="X234" s="119"/>
      <c r="Y234" s="119"/>
      <c r="Z234" s="119"/>
      <c r="AA234" s="119"/>
      <c r="AB234" s="119"/>
      <c r="AC234" s="119"/>
      <c r="AD234" s="119"/>
      <c r="AE234" s="119"/>
    </row>
    <row r="235" spans="1:31" s="39" customFormat="1" ht="30" customHeight="1" x14ac:dyDescent="0.3">
      <c r="A235" s="709">
        <v>225</v>
      </c>
      <c r="B235" s="740"/>
      <c r="C235" s="877"/>
      <c r="D235" s="877"/>
      <c r="E235" s="814" t="s">
        <v>1116</v>
      </c>
      <c r="F235" s="781"/>
      <c r="G235" s="781"/>
      <c r="H235" s="781"/>
      <c r="I235" s="869"/>
      <c r="J235" s="861">
        <f>SUM(K235:R235)</f>
        <v>6000</v>
      </c>
      <c r="K235" s="870">
        <f>SUM(K233:K234)</f>
        <v>4918</v>
      </c>
      <c r="L235" s="870">
        <f>SUM(L233:L234)</f>
        <v>1082</v>
      </c>
      <c r="M235" s="870"/>
      <c r="N235" s="870"/>
      <c r="O235" s="870"/>
      <c r="P235" s="870"/>
      <c r="Q235" s="870"/>
      <c r="R235" s="871"/>
      <c r="S235" s="119"/>
      <c r="T235" s="119"/>
      <c r="U235" s="119"/>
      <c r="V235" s="119"/>
      <c r="W235" s="119"/>
      <c r="X235" s="119"/>
      <c r="Y235" s="119"/>
      <c r="Z235" s="119"/>
      <c r="AA235" s="119"/>
      <c r="AB235" s="119"/>
      <c r="AC235" s="119"/>
      <c r="AD235" s="119"/>
      <c r="AE235" s="119"/>
    </row>
    <row r="236" spans="1:31" s="290" customFormat="1" ht="18" customHeight="1" x14ac:dyDescent="0.3">
      <c r="A236" s="709">
        <v>226</v>
      </c>
      <c r="B236" s="740"/>
      <c r="C236" s="719">
        <v>10</v>
      </c>
      <c r="D236" s="962" t="s">
        <v>466</v>
      </c>
      <c r="E236" s="962"/>
      <c r="F236" s="878"/>
      <c r="G236" s="752">
        <v>7483</v>
      </c>
      <c r="H236" s="752"/>
      <c r="I236" s="973">
        <v>3536</v>
      </c>
      <c r="J236" s="861"/>
      <c r="K236" s="974"/>
      <c r="L236" s="974"/>
      <c r="M236" s="974"/>
      <c r="N236" s="974"/>
      <c r="O236" s="974"/>
      <c r="P236" s="974"/>
      <c r="Q236" s="974"/>
      <c r="R236" s="975"/>
      <c r="S236" s="289"/>
      <c r="T236" s="289"/>
      <c r="U236" s="289"/>
      <c r="V236" s="289"/>
      <c r="W236" s="289"/>
      <c r="X236" s="289"/>
      <c r="Y236" s="289"/>
      <c r="Z236" s="289"/>
      <c r="AA236" s="289"/>
      <c r="AB236" s="289"/>
      <c r="AC236" s="289"/>
      <c r="AD236" s="289"/>
      <c r="AE236" s="289"/>
    </row>
    <row r="237" spans="1:31" s="290" customFormat="1" ht="30.75" customHeight="1" x14ac:dyDescent="0.3">
      <c r="A237" s="709">
        <v>227</v>
      </c>
      <c r="B237" s="740"/>
      <c r="C237" s="799">
        <v>11</v>
      </c>
      <c r="D237" s="2011" t="s">
        <v>468</v>
      </c>
      <c r="E237" s="2012"/>
      <c r="F237" s="972"/>
      <c r="G237" s="752"/>
      <c r="H237" s="752"/>
      <c r="I237" s="973">
        <v>2506</v>
      </c>
      <c r="J237" s="861"/>
      <c r="K237" s="974"/>
      <c r="L237" s="974"/>
      <c r="M237" s="974"/>
      <c r="N237" s="974"/>
      <c r="O237" s="974"/>
      <c r="P237" s="974"/>
      <c r="Q237" s="974"/>
      <c r="R237" s="975"/>
      <c r="S237" s="289"/>
      <c r="T237" s="289"/>
      <c r="U237" s="289"/>
      <c r="V237" s="289"/>
      <c r="W237" s="289"/>
      <c r="X237" s="289"/>
      <c r="Y237" s="289"/>
      <c r="Z237" s="289"/>
      <c r="AA237" s="289"/>
      <c r="AB237" s="289"/>
      <c r="AC237" s="289"/>
      <c r="AD237" s="289"/>
      <c r="AE237" s="289"/>
    </row>
    <row r="238" spans="1:31" s="36" customFormat="1" ht="18" customHeight="1" x14ac:dyDescent="0.3">
      <c r="A238" s="709">
        <v>228</v>
      </c>
      <c r="B238" s="740"/>
      <c r="C238" s="719">
        <v>12</v>
      </c>
      <c r="D238" s="1888" t="s">
        <v>504</v>
      </c>
      <c r="E238" s="979"/>
      <c r="F238" s="980"/>
      <c r="G238" s="752">
        <v>1622</v>
      </c>
      <c r="H238" s="752"/>
      <c r="I238" s="973"/>
      <c r="J238" s="861"/>
      <c r="K238" s="974"/>
      <c r="L238" s="974"/>
      <c r="M238" s="974"/>
      <c r="N238" s="974"/>
      <c r="O238" s="974"/>
      <c r="P238" s="974"/>
      <c r="Q238" s="974"/>
      <c r="R238" s="975"/>
      <c r="S238" s="79"/>
      <c r="T238" s="79"/>
      <c r="U238" s="79"/>
      <c r="V238" s="79"/>
      <c r="W238" s="79"/>
      <c r="X238" s="79"/>
      <c r="Y238" s="79"/>
      <c r="Z238" s="79"/>
      <c r="AA238" s="79"/>
      <c r="AB238" s="79"/>
      <c r="AC238" s="79"/>
      <c r="AD238" s="79"/>
      <c r="AE238" s="79"/>
    </row>
    <row r="239" spans="1:31" s="39" customFormat="1" ht="33.75" customHeight="1" x14ac:dyDescent="0.3">
      <c r="A239" s="709">
        <v>229</v>
      </c>
      <c r="B239" s="740"/>
      <c r="C239" s="799">
        <v>13</v>
      </c>
      <c r="D239" s="2011" t="s">
        <v>503</v>
      </c>
      <c r="E239" s="2012"/>
      <c r="F239" s="972"/>
      <c r="G239" s="752"/>
      <c r="H239" s="752"/>
      <c r="I239" s="973"/>
      <c r="J239" s="861"/>
      <c r="K239" s="974"/>
      <c r="L239" s="974"/>
      <c r="M239" s="974"/>
      <c r="N239" s="974"/>
      <c r="O239" s="974"/>
      <c r="P239" s="974"/>
      <c r="Q239" s="974"/>
      <c r="R239" s="975"/>
      <c r="S239" s="119"/>
      <c r="T239" s="119"/>
      <c r="U239" s="119"/>
      <c r="V239" s="119"/>
      <c r="W239" s="119"/>
      <c r="X239" s="119"/>
      <c r="Y239" s="119"/>
      <c r="Z239" s="119"/>
      <c r="AA239" s="119"/>
      <c r="AB239" s="119"/>
      <c r="AC239" s="119"/>
      <c r="AD239" s="119"/>
      <c r="AE239" s="119"/>
    </row>
    <row r="240" spans="1:31" s="39" customFormat="1" ht="20.100000000000001" customHeight="1" x14ac:dyDescent="0.3">
      <c r="A240" s="709">
        <v>230</v>
      </c>
      <c r="B240" s="724"/>
      <c r="C240" s="725"/>
      <c r="D240" s="863"/>
      <c r="E240" s="963" t="s">
        <v>311</v>
      </c>
      <c r="F240" s="976"/>
      <c r="G240" s="777"/>
      <c r="H240" s="777"/>
      <c r="I240" s="865"/>
      <c r="J240" s="866">
        <f>SUM(K240:R240)</f>
        <v>5962</v>
      </c>
      <c r="K240" s="977">
        <v>4887</v>
      </c>
      <c r="L240" s="977">
        <v>1075</v>
      </c>
      <c r="M240" s="977"/>
      <c r="N240" s="977"/>
      <c r="O240" s="977"/>
      <c r="P240" s="977"/>
      <c r="Q240" s="977"/>
      <c r="R240" s="978"/>
      <c r="S240" s="119"/>
      <c r="T240" s="119"/>
      <c r="U240" s="119"/>
      <c r="V240" s="119"/>
      <c r="W240" s="119"/>
      <c r="X240" s="119"/>
      <c r="Y240" s="119"/>
      <c r="Z240" s="119"/>
      <c r="AA240" s="119"/>
      <c r="AB240" s="119"/>
      <c r="AC240" s="119"/>
      <c r="AD240" s="119"/>
      <c r="AE240" s="119"/>
    </row>
    <row r="241" spans="1:31" s="290" customFormat="1" ht="18" customHeight="1" x14ac:dyDescent="0.3">
      <c r="A241" s="709">
        <v>231</v>
      </c>
      <c r="B241" s="724"/>
      <c r="C241" s="964"/>
      <c r="D241" s="863"/>
      <c r="E241" s="732" t="s">
        <v>1064</v>
      </c>
      <c r="F241" s="976"/>
      <c r="G241" s="777"/>
      <c r="H241" s="777"/>
      <c r="I241" s="865"/>
      <c r="J241" s="861">
        <f>SUM(K241:R241)</f>
        <v>5962</v>
      </c>
      <c r="K241" s="974">
        <v>4887</v>
      </c>
      <c r="L241" s="974">
        <v>1075</v>
      </c>
      <c r="M241" s="977"/>
      <c r="N241" s="977"/>
      <c r="O241" s="977"/>
      <c r="P241" s="977"/>
      <c r="Q241" s="977"/>
      <c r="R241" s="978"/>
      <c r="S241" s="289"/>
      <c r="T241" s="289"/>
      <c r="U241" s="289"/>
      <c r="V241" s="289"/>
      <c r="W241" s="289"/>
      <c r="X241" s="289"/>
      <c r="Y241" s="289"/>
      <c r="Z241" s="289"/>
      <c r="AA241" s="289"/>
      <c r="AB241" s="289"/>
      <c r="AC241" s="289"/>
      <c r="AD241" s="289"/>
      <c r="AE241" s="289"/>
    </row>
    <row r="242" spans="1:31" s="290" customFormat="1" ht="18" customHeight="1" x14ac:dyDescent="0.3">
      <c r="A242" s="709">
        <v>232</v>
      </c>
      <c r="B242" s="735"/>
      <c r="C242" s="872"/>
      <c r="D242" s="872"/>
      <c r="E242" s="780" t="s">
        <v>999</v>
      </c>
      <c r="F242" s="753"/>
      <c r="G242" s="753"/>
      <c r="H242" s="753"/>
      <c r="I242" s="873"/>
      <c r="J242" s="874">
        <f>SUM(K242:R242)</f>
        <v>0</v>
      </c>
      <c r="K242" s="875"/>
      <c r="L242" s="875"/>
      <c r="M242" s="875"/>
      <c r="N242" s="875"/>
      <c r="O242" s="875"/>
      <c r="P242" s="875"/>
      <c r="Q242" s="875"/>
      <c r="R242" s="876"/>
      <c r="S242" s="289"/>
      <c r="T242" s="289"/>
      <c r="U242" s="289"/>
      <c r="V242" s="289"/>
      <c r="W242" s="289"/>
      <c r="X242" s="289"/>
      <c r="Y242" s="289"/>
      <c r="Z242" s="289"/>
      <c r="AA242" s="289"/>
      <c r="AB242" s="289"/>
      <c r="AC242" s="289"/>
      <c r="AD242" s="289"/>
      <c r="AE242" s="289"/>
    </row>
    <row r="243" spans="1:31" s="36" customFormat="1" ht="18" customHeight="1" x14ac:dyDescent="0.3">
      <c r="A243" s="709">
        <v>233</v>
      </c>
      <c r="B243" s="740"/>
      <c r="C243" s="877"/>
      <c r="D243" s="877"/>
      <c r="E243" s="814" t="s">
        <v>1116</v>
      </c>
      <c r="F243" s="781"/>
      <c r="G243" s="781"/>
      <c r="H243" s="781"/>
      <c r="I243" s="869"/>
      <c r="J243" s="861">
        <f>SUM(K243:R243)</f>
        <v>5962</v>
      </c>
      <c r="K243" s="870">
        <f>SUM(K241:K242)</f>
        <v>4887</v>
      </c>
      <c r="L243" s="870">
        <f>SUM(L241:L242)</f>
        <v>1075</v>
      </c>
      <c r="M243" s="870"/>
      <c r="N243" s="870"/>
      <c r="O243" s="870"/>
      <c r="P243" s="870"/>
      <c r="Q243" s="870"/>
      <c r="R243" s="871"/>
      <c r="S243" s="79"/>
      <c r="T243" s="79"/>
      <c r="U243" s="79"/>
      <c r="V243" s="79"/>
      <c r="W243" s="79"/>
      <c r="X243" s="79"/>
      <c r="Y243" s="79"/>
      <c r="Z243" s="79"/>
      <c r="AA243" s="79"/>
      <c r="AB243" s="79"/>
      <c r="AC243" s="79"/>
      <c r="AD243" s="79"/>
      <c r="AE243" s="79"/>
    </row>
    <row r="244" spans="1:31" s="39" customFormat="1" ht="18" customHeight="1" x14ac:dyDescent="0.3">
      <c r="A244" s="709">
        <v>234</v>
      </c>
      <c r="B244" s="740"/>
      <c r="C244" s="719">
        <v>14</v>
      </c>
      <c r="D244" s="962" t="s">
        <v>506</v>
      </c>
      <c r="E244" s="1888"/>
      <c r="F244" s="980"/>
      <c r="G244" s="752"/>
      <c r="H244" s="752"/>
      <c r="I244" s="973"/>
      <c r="J244" s="861"/>
      <c r="K244" s="974"/>
      <c r="L244" s="974"/>
      <c r="M244" s="974"/>
      <c r="N244" s="974"/>
      <c r="O244" s="974"/>
      <c r="P244" s="974"/>
      <c r="Q244" s="974"/>
      <c r="R244" s="975"/>
      <c r="S244" s="119"/>
      <c r="T244" s="119"/>
      <c r="U244" s="119"/>
      <c r="V244" s="119"/>
      <c r="W244" s="119"/>
      <c r="X244" s="119"/>
      <c r="Y244" s="119"/>
      <c r="Z244" s="119"/>
      <c r="AA244" s="119"/>
      <c r="AB244" s="119"/>
      <c r="AC244" s="119"/>
      <c r="AD244" s="119"/>
      <c r="AE244" s="119"/>
    </row>
    <row r="245" spans="1:31" s="30" customFormat="1" ht="19.5" customHeight="1" x14ac:dyDescent="0.3">
      <c r="A245" s="709">
        <v>235</v>
      </c>
      <c r="B245" s="724"/>
      <c r="C245" s="725"/>
      <c r="D245" s="863"/>
      <c r="E245" s="963" t="s">
        <v>311</v>
      </c>
      <c r="F245" s="976"/>
      <c r="G245" s="777"/>
      <c r="H245" s="777"/>
      <c r="I245" s="865"/>
      <c r="J245" s="866">
        <f>SUM(K245:R245)</f>
        <v>482</v>
      </c>
      <c r="K245" s="977">
        <v>395</v>
      </c>
      <c r="L245" s="977">
        <v>87</v>
      </c>
      <c r="M245" s="977"/>
      <c r="N245" s="977"/>
      <c r="O245" s="977"/>
      <c r="P245" s="977"/>
      <c r="Q245" s="977"/>
      <c r="R245" s="978"/>
      <c r="S245" s="92"/>
      <c r="T245" s="92"/>
      <c r="U245" s="92"/>
      <c r="V245" s="92"/>
      <c r="W245" s="92"/>
      <c r="X245" s="92"/>
      <c r="Y245" s="92"/>
      <c r="Z245" s="92"/>
      <c r="AA245" s="92"/>
      <c r="AB245" s="92"/>
      <c r="AC245" s="92"/>
      <c r="AD245" s="92"/>
      <c r="AE245" s="92"/>
    </row>
    <row r="246" spans="1:31" s="30" customFormat="1" x14ac:dyDescent="0.3">
      <c r="A246" s="709">
        <v>236</v>
      </c>
      <c r="B246" s="724"/>
      <c r="C246" s="964"/>
      <c r="D246" s="863"/>
      <c r="E246" s="732" t="s">
        <v>1064</v>
      </c>
      <c r="F246" s="976"/>
      <c r="G246" s="777"/>
      <c r="H246" s="777"/>
      <c r="I246" s="865"/>
      <c r="J246" s="861">
        <f>SUM(K246:R246)</f>
        <v>0</v>
      </c>
      <c r="K246" s="974">
        <v>0</v>
      </c>
      <c r="L246" s="974">
        <v>0</v>
      </c>
      <c r="M246" s="977"/>
      <c r="N246" s="977"/>
      <c r="O246" s="977"/>
      <c r="P246" s="977"/>
      <c r="Q246" s="977"/>
      <c r="R246" s="978"/>
      <c r="S246" s="92"/>
      <c r="T246" s="92"/>
      <c r="U246" s="92"/>
      <c r="V246" s="92"/>
      <c r="W246" s="92"/>
      <c r="X246" s="92"/>
      <c r="Y246" s="92"/>
      <c r="Z246" s="92"/>
      <c r="AA246" s="92"/>
      <c r="AB246" s="92"/>
      <c r="AC246" s="92"/>
      <c r="AD246" s="92"/>
      <c r="AE246" s="92"/>
    </row>
    <row r="247" spans="1:31" s="30" customFormat="1" x14ac:dyDescent="0.3">
      <c r="A247" s="709">
        <v>237</v>
      </c>
      <c r="B247" s="735"/>
      <c r="C247" s="872"/>
      <c r="D247" s="872"/>
      <c r="E247" s="780" t="s">
        <v>1012</v>
      </c>
      <c r="F247" s="753"/>
      <c r="G247" s="753"/>
      <c r="H247" s="753"/>
      <c r="I247" s="873"/>
      <c r="J247" s="874">
        <f>SUM(K247:R247)</f>
        <v>0</v>
      </c>
      <c r="K247" s="875"/>
      <c r="L247" s="875"/>
      <c r="M247" s="875"/>
      <c r="N247" s="875"/>
      <c r="O247" s="875"/>
      <c r="P247" s="875"/>
      <c r="Q247" s="875"/>
      <c r="R247" s="876"/>
      <c r="S247" s="92"/>
      <c r="T247" s="92"/>
      <c r="U247" s="92"/>
      <c r="V247" s="92"/>
      <c r="W247" s="92"/>
      <c r="X247" s="92"/>
      <c r="Y247" s="92"/>
      <c r="Z247" s="92"/>
      <c r="AA247" s="92"/>
      <c r="AB247" s="92"/>
      <c r="AC247" s="92"/>
      <c r="AD247" s="92"/>
      <c r="AE247" s="92"/>
    </row>
    <row r="248" spans="1:31" s="30" customFormat="1" x14ac:dyDescent="0.3">
      <c r="A248" s="709">
        <v>238</v>
      </c>
      <c r="B248" s="740"/>
      <c r="C248" s="877"/>
      <c r="D248" s="877"/>
      <c r="E248" s="814" t="s">
        <v>1116</v>
      </c>
      <c r="F248" s="781"/>
      <c r="G248" s="781"/>
      <c r="H248" s="781"/>
      <c r="I248" s="869"/>
      <c r="J248" s="861">
        <f>SUM(K248:R248)</f>
        <v>0</v>
      </c>
      <c r="K248" s="870">
        <f>SUM(K246:K247)</f>
        <v>0</v>
      </c>
      <c r="L248" s="870">
        <f>SUM(L246:L247)</f>
        <v>0</v>
      </c>
      <c r="M248" s="870"/>
      <c r="N248" s="870"/>
      <c r="O248" s="870"/>
      <c r="P248" s="870"/>
      <c r="Q248" s="870"/>
      <c r="R248" s="871"/>
      <c r="S248" s="92"/>
      <c r="T248" s="92"/>
      <c r="U248" s="92"/>
      <c r="V248" s="92"/>
      <c r="W248" s="92"/>
      <c r="X248" s="92"/>
      <c r="Y248" s="92"/>
      <c r="Z248" s="92"/>
      <c r="AA248" s="92"/>
      <c r="AB248" s="92"/>
      <c r="AC248" s="92"/>
      <c r="AD248" s="92"/>
      <c r="AE248" s="92"/>
    </row>
    <row r="249" spans="1:31" s="282" customFormat="1" ht="18" customHeight="1" x14ac:dyDescent="0.3">
      <c r="A249" s="709">
        <v>239</v>
      </c>
      <c r="B249" s="740"/>
      <c r="C249" s="719">
        <v>15</v>
      </c>
      <c r="D249" s="962" t="s">
        <v>539</v>
      </c>
      <c r="E249" s="979"/>
      <c r="F249" s="980"/>
      <c r="G249" s="752"/>
      <c r="H249" s="752"/>
      <c r="I249" s="973">
        <v>1541</v>
      </c>
      <c r="J249" s="861"/>
      <c r="K249" s="974"/>
      <c r="L249" s="974"/>
      <c r="M249" s="974"/>
      <c r="N249" s="974"/>
      <c r="O249" s="974"/>
      <c r="P249" s="974"/>
      <c r="Q249" s="974"/>
      <c r="R249" s="975"/>
      <c r="S249" s="296"/>
      <c r="T249" s="296"/>
      <c r="U249" s="296"/>
      <c r="V249" s="296"/>
      <c r="W249" s="296"/>
      <c r="X249" s="296"/>
      <c r="Y249" s="296"/>
      <c r="Z249" s="296"/>
      <c r="AA249" s="296"/>
      <c r="AB249" s="296"/>
      <c r="AC249" s="296"/>
      <c r="AD249" s="296"/>
      <c r="AE249" s="296"/>
    </row>
    <row r="250" spans="1:31" s="282" customFormat="1" ht="18" customHeight="1" x14ac:dyDescent="0.3">
      <c r="A250" s="709">
        <v>240</v>
      </c>
      <c r="B250" s="740"/>
      <c r="C250" s="799">
        <v>16</v>
      </c>
      <c r="D250" s="2011" t="s">
        <v>540</v>
      </c>
      <c r="E250" s="2012"/>
      <c r="F250" s="980"/>
      <c r="G250" s="752"/>
      <c r="H250" s="752"/>
      <c r="I250" s="973">
        <v>13</v>
      </c>
      <c r="J250" s="861"/>
      <c r="K250" s="974"/>
      <c r="L250" s="974"/>
      <c r="M250" s="974"/>
      <c r="N250" s="974"/>
      <c r="O250" s="974"/>
      <c r="P250" s="974"/>
      <c r="Q250" s="974"/>
      <c r="R250" s="975"/>
      <c r="S250" s="296"/>
      <c r="T250" s="296"/>
      <c r="U250" s="296"/>
      <c r="V250" s="296"/>
      <c r="W250" s="296"/>
      <c r="X250" s="296"/>
      <c r="Y250" s="296"/>
      <c r="Z250" s="296"/>
      <c r="AA250" s="296"/>
      <c r="AB250" s="296"/>
      <c r="AC250" s="296"/>
      <c r="AD250" s="296"/>
      <c r="AE250" s="296"/>
    </row>
    <row r="251" spans="1:31" s="36" customFormat="1" ht="18" customHeight="1" x14ac:dyDescent="0.3">
      <c r="A251" s="709">
        <v>241</v>
      </c>
      <c r="B251" s="724"/>
      <c r="C251" s="725"/>
      <c r="D251" s="863"/>
      <c r="E251" s="963" t="s">
        <v>311</v>
      </c>
      <c r="F251" s="976"/>
      <c r="G251" s="777"/>
      <c r="H251" s="777"/>
      <c r="I251" s="865"/>
      <c r="J251" s="866">
        <f>SUM(K251:R251)</f>
        <v>62</v>
      </c>
      <c r="K251" s="977">
        <v>52</v>
      </c>
      <c r="L251" s="977">
        <v>10</v>
      </c>
      <c r="M251" s="977"/>
      <c r="N251" s="977"/>
      <c r="O251" s="977"/>
      <c r="P251" s="977"/>
      <c r="Q251" s="977"/>
      <c r="R251" s="978"/>
      <c r="S251" s="79"/>
      <c r="T251" s="79"/>
      <c r="U251" s="79"/>
      <c r="V251" s="79"/>
      <c r="W251" s="79"/>
      <c r="X251" s="79"/>
      <c r="Y251" s="79"/>
      <c r="Z251" s="79"/>
      <c r="AA251" s="79"/>
      <c r="AB251" s="79"/>
      <c r="AC251" s="79"/>
      <c r="AD251" s="79"/>
      <c r="AE251" s="79"/>
    </row>
    <row r="252" spans="1:31" s="39" customFormat="1" ht="18" customHeight="1" x14ac:dyDescent="0.3">
      <c r="A252" s="709">
        <v>242</v>
      </c>
      <c r="B252" s="724"/>
      <c r="C252" s="964"/>
      <c r="D252" s="863"/>
      <c r="E252" s="732" t="s">
        <v>1064</v>
      </c>
      <c r="F252" s="976"/>
      <c r="G252" s="777"/>
      <c r="H252" s="777"/>
      <c r="I252" s="865"/>
      <c r="J252" s="861">
        <f>SUM(K252:R252)</f>
        <v>62</v>
      </c>
      <c r="K252" s="974">
        <v>52</v>
      </c>
      <c r="L252" s="974">
        <v>10</v>
      </c>
      <c r="M252" s="977"/>
      <c r="N252" s="977"/>
      <c r="O252" s="977"/>
      <c r="P252" s="977"/>
      <c r="Q252" s="977"/>
      <c r="R252" s="978"/>
      <c r="S252" s="119"/>
      <c r="T252" s="119"/>
      <c r="U252" s="119"/>
      <c r="V252" s="119"/>
      <c r="W252" s="119"/>
      <c r="X252" s="119"/>
      <c r="Y252" s="119"/>
      <c r="Z252" s="119"/>
      <c r="AA252" s="119"/>
      <c r="AB252" s="119"/>
      <c r="AC252" s="119"/>
      <c r="AD252" s="119"/>
      <c r="AE252" s="119"/>
    </row>
    <row r="253" spans="1:31" s="30" customFormat="1" ht="19.5" customHeight="1" x14ac:dyDescent="0.3">
      <c r="A253" s="709">
        <v>243</v>
      </c>
      <c r="B253" s="735"/>
      <c r="C253" s="872"/>
      <c r="D253" s="872"/>
      <c r="E253" s="780" t="s">
        <v>990</v>
      </c>
      <c r="F253" s="753"/>
      <c r="G253" s="753"/>
      <c r="H253" s="753"/>
      <c r="I253" s="873"/>
      <c r="J253" s="874">
        <f>SUM(K253:R253)</f>
        <v>-62</v>
      </c>
      <c r="K253" s="875">
        <v>-52</v>
      </c>
      <c r="L253" s="875">
        <v>-10</v>
      </c>
      <c r="M253" s="875"/>
      <c r="N253" s="875"/>
      <c r="O253" s="875"/>
      <c r="P253" s="875"/>
      <c r="Q253" s="875"/>
      <c r="R253" s="876"/>
      <c r="S253" s="92"/>
      <c r="T253" s="92"/>
      <c r="U253" s="92"/>
      <c r="V253" s="92"/>
      <c r="W253" s="92"/>
      <c r="X253" s="92"/>
      <c r="Y253" s="92"/>
      <c r="Z253" s="92"/>
      <c r="AA253" s="92"/>
      <c r="AB253" s="92"/>
      <c r="AC253" s="92"/>
      <c r="AD253" s="92"/>
      <c r="AE253" s="92"/>
    </row>
    <row r="254" spans="1:31" s="282" customFormat="1" ht="18" customHeight="1" x14ac:dyDescent="0.3">
      <c r="A254" s="709">
        <v>244</v>
      </c>
      <c r="B254" s="740"/>
      <c r="C254" s="877"/>
      <c r="D254" s="877"/>
      <c r="E254" s="814" t="s">
        <v>1116</v>
      </c>
      <c r="F254" s="781"/>
      <c r="G254" s="781"/>
      <c r="H254" s="781"/>
      <c r="I254" s="869"/>
      <c r="J254" s="861">
        <f>SUM(K254:R254)</f>
        <v>0</v>
      </c>
      <c r="K254" s="870">
        <f>SUM(K252:K253)</f>
        <v>0</v>
      </c>
      <c r="L254" s="870">
        <f>SUM(L252:L253)</f>
        <v>0</v>
      </c>
      <c r="M254" s="870"/>
      <c r="N254" s="870"/>
      <c r="O254" s="870"/>
      <c r="P254" s="870"/>
      <c r="Q254" s="870"/>
      <c r="R254" s="871"/>
      <c r="S254" s="296"/>
      <c r="T254" s="296"/>
      <c r="U254" s="296"/>
      <c r="V254" s="296"/>
      <c r="W254" s="296"/>
      <c r="X254" s="296"/>
      <c r="Y254" s="296"/>
      <c r="Z254" s="296"/>
      <c r="AA254" s="296"/>
      <c r="AB254" s="296"/>
      <c r="AC254" s="296"/>
      <c r="AD254" s="296"/>
      <c r="AE254" s="296"/>
    </row>
    <row r="255" spans="1:31" s="282" customFormat="1" ht="18" customHeight="1" x14ac:dyDescent="0.3">
      <c r="A255" s="709">
        <v>245</v>
      </c>
      <c r="B255" s="740"/>
      <c r="C255" s="719">
        <v>17</v>
      </c>
      <c r="D255" s="962" t="s">
        <v>552</v>
      </c>
      <c r="E255" s="979"/>
      <c r="F255" s="980"/>
      <c r="G255" s="752"/>
      <c r="H255" s="752"/>
      <c r="I255" s="973"/>
      <c r="J255" s="861"/>
      <c r="K255" s="974"/>
      <c r="L255" s="974"/>
      <c r="M255" s="974"/>
      <c r="N255" s="974"/>
      <c r="O255" s="974"/>
      <c r="P255" s="974"/>
      <c r="Q255" s="974"/>
      <c r="R255" s="975"/>
      <c r="S255" s="296"/>
      <c r="T255" s="296"/>
      <c r="U255" s="296"/>
      <c r="V255" s="296"/>
      <c r="W255" s="296"/>
      <c r="X255" s="296"/>
      <c r="Y255" s="296"/>
      <c r="Z255" s="296"/>
      <c r="AA255" s="296"/>
      <c r="AB255" s="296"/>
      <c r="AC255" s="296"/>
      <c r="AD255" s="296"/>
      <c r="AE255" s="296"/>
    </row>
    <row r="256" spans="1:31" s="36" customFormat="1" ht="18" customHeight="1" x14ac:dyDescent="0.3">
      <c r="A256" s="709">
        <v>246</v>
      </c>
      <c r="B256" s="724"/>
      <c r="C256" s="725"/>
      <c r="D256" s="863"/>
      <c r="E256" s="963" t="s">
        <v>311</v>
      </c>
      <c r="F256" s="976"/>
      <c r="G256" s="777"/>
      <c r="H256" s="777"/>
      <c r="I256" s="865"/>
      <c r="J256" s="866">
        <f>SUM(K256:R256)</f>
        <v>12000</v>
      </c>
      <c r="K256" s="977">
        <v>10042</v>
      </c>
      <c r="L256" s="977">
        <v>1958</v>
      </c>
      <c r="M256" s="977"/>
      <c r="N256" s="977"/>
      <c r="O256" s="977"/>
      <c r="P256" s="977"/>
      <c r="Q256" s="977"/>
      <c r="R256" s="978"/>
      <c r="S256" s="79"/>
      <c r="T256" s="79"/>
      <c r="U256" s="79"/>
      <c r="V256" s="79"/>
      <c r="W256" s="79"/>
      <c r="X256" s="79"/>
      <c r="Y256" s="79"/>
      <c r="Z256" s="79"/>
      <c r="AA256" s="79"/>
      <c r="AB256" s="79"/>
      <c r="AC256" s="79"/>
      <c r="AD256" s="79"/>
      <c r="AE256" s="79"/>
    </row>
    <row r="257" spans="1:31" s="39" customFormat="1" ht="18" customHeight="1" x14ac:dyDescent="0.3">
      <c r="A257" s="709">
        <v>247</v>
      </c>
      <c r="B257" s="724"/>
      <c r="C257" s="964"/>
      <c r="D257" s="863"/>
      <c r="E257" s="732" t="s">
        <v>1064</v>
      </c>
      <c r="F257" s="976"/>
      <c r="G257" s="777"/>
      <c r="H257" s="777"/>
      <c r="I257" s="865"/>
      <c r="J257" s="861">
        <f>SUM(K257:R257)</f>
        <v>12000</v>
      </c>
      <c r="K257" s="974">
        <v>10042</v>
      </c>
      <c r="L257" s="974">
        <v>1958</v>
      </c>
      <c r="M257" s="977"/>
      <c r="N257" s="977"/>
      <c r="O257" s="977"/>
      <c r="P257" s="977"/>
      <c r="Q257" s="977"/>
      <c r="R257" s="978"/>
      <c r="S257" s="119"/>
      <c r="T257" s="119"/>
      <c r="U257" s="119"/>
      <c r="V257" s="119"/>
      <c r="W257" s="119"/>
      <c r="X257" s="119"/>
      <c r="Y257" s="119"/>
      <c r="Z257" s="119"/>
      <c r="AA257" s="119"/>
      <c r="AB257" s="119"/>
      <c r="AC257" s="119"/>
      <c r="AD257" s="119"/>
      <c r="AE257" s="119"/>
    </row>
    <row r="258" spans="1:31" s="30" customFormat="1" ht="19.5" customHeight="1" x14ac:dyDescent="0.3">
      <c r="A258" s="709">
        <v>248</v>
      </c>
      <c r="B258" s="735"/>
      <c r="C258" s="872"/>
      <c r="D258" s="872"/>
      <c r="E258" s="780" t="s">
        <v>999</v>
      </c>
      <c r="F258" s="753"/>
      <c r="G258" s="753"/>
      <c r="H258" s="753"/>
      <c r="I258" s="873"/>
      <c r="J258" s="874">
        <f>SUM(K258:R258)</f>
        <v>0</v>
      </c>
      <c r="K258" s="875"/>
      <c r="L258" s="875"/>
      <c r="M258" s="875"/>
      <c r="N258" s="875"/>
      <c r="O258" s="875"/>
      <c r="P258" s="875"/>
      <c r="Q258" s="875"/>
      <c r="R258" s="876"/>
      <c r="S258" s="92"/>
      <c r="T258" s="92"/>
      <c r="U258" s="92"/>
      <c r="V258" s="92"/>
      <c r="W258" s="92"/>
      <c r="X258" s="92"/>
      <c r="Y258" s="92"/>
      <c r="Z258" s="92"/>
      <c r="AA258" s="92"/>
      <c r="AB258" s="92"/>
      <c r="AC258" s="92"/>
      <c r="AD258" s="92"/>
      <c r="AE258" s="92"/>
    </row>
    <row r="259" spans="1:31" s="30" customFormat="1" x14ac:dyDescent="0.3">
      <c r="A259" s="709">
        <v>249</v>
      </c>
      <c r="B259" s="740"/>
      <c r="C259" s="877"/>
      <c r="D259" s="877"/>
      <c r="E259" s="814" t="s">
        <v>1116</v>
      </c>
      <c r="F259" s="781"/>
      <c r="G259" s="781"/>
      <c r="H259" s="781"/>
      <c r="I259" s="869"/>
      <c r="J259" s="861">
        <f>SUM(K259:R259)</f>
        <v>12000</v>
      </c>
      <c r="K259" s="870">
        <f>SUM(K257:K258)</f>
        <v>10042</v>
      </c>
      <c r="L259" s="870">
        <f>SUM(L257:L258)</f>
        <v>1958</v>
      </c>
      <c r="M259" s="870"/>
      <c r="N259" s="870"/>
      <c r="O259" s="870"/>
      <c r="P259" s="870"/>
      <c r="Q259" s="870"/>
      <c r="R259" s="871"/>
      <c r="S259" s="92"/>
      <c r="T259" s="92"/>
      <c r="U259" s="92"/>
      <c r="V259" s="92"/>
      <c r="W259" s="92"/>
      <c r="X259" s="92"/>
      <c r="Y259" s="92"/>
      <c r="Z259" s="92"/>
      <c r="AA259" s="92"/>
      <c r="AB259" s="92"/>
      <c r="AC259" s="92"/>
      <c r="AD259" s="92"/>
      <c r="AE259" s="92"/>
    </row>
    <row r="260" spans="1:31" s="282" customFormat="1" ht="18" customHeight="1" x14ac:dyDescent="0.3">
      <c r="A260" s="709">
        <v>250</v>
      </c>
      <c r="B260" s="740"/>
      <c r="C260" s="719">
        <v>18</v>
      </c>
      <c r="D260" s="962" t="s">
        <v>656</v>
      </c>
      <c r="E260" s="979"/>
      <c r="F260" s="980"/>
      <c r="G260" s="752"/>
      <c r="H260" s="752"/>
      <c r="I260" s="973">
        <v>14715</v>
      </c>
      <c r="J260" s="861"/>
      <c r="K260" s="974"/>
      <c r="L260" s="974"/>
      <c r="M260" s="974"/>
      <c r="N260" s="974"/>
      <c r="O260" s="974"/>
      <c r="P260" s="974"/>
      <c r="Q260" s="974"/>
      <c r="R260" s="975"/>
      <c r="S260" s="296"/>
      <c r="T260" s="296"/>
      <c r="U260" s="296"/>
      <c r="V260" s="296"/>
      <c r="W260" s="296"/>
      <c r="X260" s="296"/>
      <c r="Y260" s="296"/>
      <c r="Z260" s="296"/>
      <c r="AA260" s="296"/>
      <c r="AB260" s="296"/>
      <c r="AC260" s="296"/>
      <c r="AD260" s="296"/>
      <c r="AE260" s="296"/>
    </row>
    <row r="261" spans="1:31" s="282" customFormat="1" ht="18" customHeight="1" x14ac:dyDescent="0.3">
      <c r="A261" s="709">
        <v>251</v>
      </c>
      <c r="B261" s="740"/>
      <c r="C261" s="719">
        <v>19</v>
      </c>
      <c r="D261" s="962" t="s">
        <v>650</v>
      </c>
      <c r="E261" s="979"/>
      <c r="F261" s="980"/>
      <c r="G261" s="752"/>
      <c r="H261" s="752"/>
      <c r="I261" s="973">
        <v>16537</v>
      </c>
      <c r="J261" s="861"/>
      <c r="K261" s="974"/>
      <c r="L261" s="974"/>
      <c r="M261" s="974"/>
      <c r="N261" s="974"/>
      <c r="O261" s="974"/>
      <c r="P261" s="974"/>
      <c r="Q261" s="974"/>
      <c r="R261" s="975"/>
      <c r="S261" s="296"/>
      <c r="T261" s="296"/>
      <c r="U261" s="296"/>
      <c r="V261" s="296"/>
      <c r="W261" s="296"/>
      <c r="X261" s="296"/>
      <c r="Y261" s="296"/>
      <c r="Z261" s="296"/>
      <c r="AA261" s="296"/>
      <c r="AB261" s="296"/>
      <c r="AC261" s="296"/>
      <c r="AD261" s="296"/>
      <c r="AE261" s="296"/>
    </row>
    <row r="262" spans="1:31" s="36" customFormat="1" ht="18" customHeight="1" x14ac:dyDescent="0.3">
      <c r="A262" s="709">
        <v>252</v>
      </c>
      <c r="B262" s="724"/>
      <c r="C262" s="725"/>
      <c r="D262" s="863"/>
      <c r="E262" s="963" t="s">
        <v>311</v>
      </c>
      <c r="F262" s="976"/>
      <c r="G262" s="777"/>
      <c r="H262" s="777"/>
      <c r="I262" s="865"/>
      <c r="J262" s="866">
        <f>SUM(K262:R262)</f>
        <v>22278</v>
      </c>
      <c r="K262" s="977">
        <v>18966</v>
      </c>
      <c r="L262" s="977">
        <v>3312</v>
      </c>
      <c r="M262" s="977"/>
      <c r="N262" s="977"/>
      <c r="O262" s="977"/>
      <c r="P262" s="977"/>
      <c r="Q262" s="977"/>
      <c r="R262" s="978"/>
      <c r="S262" s="79"/>
      <c r="T262" s="79"/>
      <c r="U262" s="79"/>
      <c r="V262" s="79"/>
      <c r="W262" s="79"/>
      <c r="X262" s="79"/>
      <c r="Y262" s="79"/>
      <c r="Z262" s="79"/>
      <c r="AA262" s="79"/>
      <c r="AB262" s="79"/>
      <c r="AC262" s="79"/>
      <c r="AD262" s="79"/>
      <c r="AE262" s="79"/>
    </row>
    <row r="263" spans="1:31" s="39" customFormat="1" ht="18" customHeight="1" x14ac:dyDescent="0.3">
      <c r="A263" s="709">
        <v>253</v>
      </c>
      <c r="B263" s="724"/>
      <c r="C263" s="964"/>
      <c r="D263" s="863"/>
      <c r="E263" s="732" t="s">
        <v>1064</v>
      </c>
      <c r="F263" s="976"/>
      <c r="G263" s="777"/>
      <c r="H263" s="777"/>
      <c r="I263" s="865"/>
      <c r="J263" s="861">
        <f>SUM(K263:R263)</f>
        <v>22278</v>
      </c>
      <c r="K263" s="974">
        <v>18966</v>
      </c>
      <c r="L263" s="974">
        <v>3312</v>
      </c>
      <c r="M263" s="977"/>
      <c r="N263" s="977"/>
      <c r="O263" s="977"/>
      <c r="P263" s="977"/>
      <c r="Q263" s="977"/>
      <c r="R263" s="978"/>
      <c r="S263" s="119"/>
      <c r="T263" s="119"/>
      <c r="U263" s="119"/>
      <c r="V263" s="119"/>
      <c r="W263" s="119"/>
      <c r="X263" s="119"/>
      <c r="Y263" s="119"/>
      <c r="Z263" s="119"/>
      <c r="AA263" s="119"/>
      <c r="AB263" s="119"/>
      <c r="AC263" s="119"/>
      <c r="AD263" s="119"/>
      <c r="AE263" s="119"/>
    </row>
    <row r="264" spans="1:31" s="30" customFormat="1" ht="19.5" customHeight="1" x14ac:dyDescent="0.3">
      <c r="A264" s="709">
        <v>254</v>
      </c>
      <c r="B264" s="735"/>
      <c r="C264" s="872"/>
      <c r="D264" s="872"/>
      <c r="E264" s="780" t="s">
        <v>1143</v>
      </c>
      <c r="F264" s="753"/>
      <c r="G264" s="753"/>
      <c r="H264" s="753"/>
      <c r="I264" s="873"/>
      <c r="J264" s="874">
        <f>SUM(K264:R264)</f>
        <v>-22278</v>
      </c>
      <c r="K264" s="875">
        <v>-18966</v>
      </c>
      <c r="L264" s="875">
        <v>-3312</v>
      </c>
      <c r="M264" s="875"/>
      <c r="N264" s="875"/>
      <c r="O264" s="875"/>
      <c r="P264" s="875"/>
      <c r="Q264" s="875"/>
      <c r="R264" s="876"/>
      <c r="S264" s="92"/>
      <c r="T264" s="92"/>
      <c r="U264" s="92"/>
      <c r="V264" s="92"/>
      <c r="W264" s="92"/>
      <c r="X264" s="92"/>
      <c r="Y264" s="92"/>
      <c r="Z264" s="92"/>
      <c r="AA264" s="92"/>
      <c r="AB264" s="92"/>
      <c r="AC264" s="92"/>
      <c r="AD264" s="92"/>
      <c r="AE264" s="92"/>
    </row>
    <row r="265" spans="1:31" s="282" customFormat="1" ht="18" customHeight="1" x14ac:dyDescent="0.3">
      <c r="A265" s="709">
        <v>255</v>
      </c>
      <c r="B265" s="740"/>
      <c r="C265" s="877"/>
      <c r="D265" s="877"/>
      <c r="E265" s="814" t="s">
        <v>1116</v>
      </c>
      <c r="F265" s="781"/>
      <c r="G265" s="781"/>
      <c r="H265" s="781"/>
      <c r="I265" s="869"/>
      <c r="J265" s="861">
        <f>SUM(K265:R265)</f>
        <v>0</v>
      </c>
      <c r="K265" s="870">
        <f>SUM(K263:K264)</f>
        <v>0</v>
      </c>
      <c r="L265" s="870">
        <f>SUM(L263:L264)</f>
        <v>0</v>
      </c>
      <c r="M265" s="870"/>
      <c r="N265" s="870"/>
      <c r="O265" s="870"/>
      <c r="P265" s="870"/>
      <c r="Q265" s="870"/>
      <c r="R265" s="871"/>
      <c r="S265" s="296"/>
      <c r="T265" s="296"/>
      <c r="U265" s="296"/>
      <c r="V265" s="296"/>
      <c r="W265" s="296"/>
      <c r="X265" s="296"/>
      <c r="Y265" s="296"/>
      <c r="Z265" s="296"/>
      <c r="AA265" s="296"/>
      <c r="AB265" s="296"/>
      <c r="AC265" s="296"/>
      <c r="AD265" s="296"/>
      <c r="AE265" s="296"/>
    </row>
    <row r="266" spans="1:31" s="282" customFormat="1" ht="18" customHeight="1" x14ac:dyDescent="0.3">
      <c r="A266" s="709">
        <v>256</v>
      </c>
      <c r="B266" s="740"/>
      <c r="C266" s="719">
        <v>20</v>
      </c>
      <c r="D266" s="962" t="s">
        <v>610</v>
      </c>
      <c r="E266" s="981"/>
      <c r="F266" s="972"/>
      <c r="G266" s="752"/>
      <c r="H266" s="752"/>
      <c r="I266" s="973">
        <v>1684</v>
      </c>
      <c r="J266" s="861"/>
      <c r="K266" s="974"/>
      <c r="L266" s="974"/>
      <c r="M266" s="974"/>
      <c r="N266" s="974"/>
      <c r="O266" s="974"/>
      <c r="P266" s="974"/>
      <c r="Q266" s="974"/>
      <c r="R266" s="975"/>
      <c r="S266" s="296"/>
      <c r="T266" s="296"/>
      <c r="U266" s="296"/>
      <c r="V266" s="296"/>
      <c r="W266" s="296"/>
      <c r="X266" s="296"/>
      <c r="Y266" s="296"/>
      <c r="Z266" s="296"/>
      <c r="AA266" s="296"/>
      <c r="AB266" s="296"/>
      <c r="AC266" s="296"/>
      <c r="AD266" s="296"/>
      <c r="AE266" s="296"/>
    </row>
    <row r="267" spans="1:31" s="36" customFormat="1" ht="18" customHeight="1" x14ac:dyDescent="0.3">
      <c r="A267" s="709">
        <v>257</v>
      </c>
      <c r="B267" s="724"/>
      <c r="C267" s="725"/>
      <c r="D267" s="863"/>
      <c r="E267" s="963" t="s">
        <v>311</v>
      </c>
      <c r="F267" s="976"/>
      <c r="G267" s="777"/>
      <c r="H267" s="777"/>
      <c r="I267" s="865"/>
      <c r="J267" s="866">
        <f>SUM(K267:R267)</f>
        <v>327</v>
      </c>
      <c r="K267" s="977">
        <v>211</v>
      </c>
      <c r="L267" s="977">
        <v>63</v>
      </c>
      <c r="M267" s="977">
        <v>53</v>
      </c>
      <c r="N267" s="977"/>
      <c r="O267" s="977"/>
      <c r="P267" s="977"/>
      <c r="Q267" s="977"/>
      <c r="R267" s="978"/>
      <c r="S267" s="79"/>
      <c r="T267" s="79"/>
      <c r="U267" s="79"/>
      <c r="V267" s="79"/>
      <c r="W267" s="79"/>
      <c r="X267" s="79"/>
      <c r="Y267" s="79"/>
      <c r="Z267" s="79"/>
      <c r="AA267" s="79"/>
      <c r="AB267" s="79"/>
      <c r="AC267" s="79"/>
      <c r="AD267" s="79"/>
      <c r="AE267" s="79"/>
    </row>
    <row r="268" spans="1:31" s="39" customFormat="1" ht="18" customHeight="1" x14ac:dyDescent="0.3">
      <c r="A268" s="709">
        <v>258</v>
      </c>
      <c r="B268" s="724"/>
      <c r="C268" s="964"/>
      <c r="D268" s="863"/>
      <c r="E268" s="732" t="s">
        <v>1064</v>
      </c>
      <c r="F268" s="976"/>
      <c r="G268" s="777"/>
      <c r="H268" s="777"/>
      <c r="I268" s="865"/>
      <c r="J268" s="861">
        <f>SUM(K268:R268)</f>
        <v>2313</v>
      </c>
      <c r="K268" s="974">
        <v>1901</v>
      </c>
      <c r="L268" s="974">
        <v>359</v>
      </c>
      <c r="M268" s="974">
        <v>53</v>
      </c>
      <c r="N268" s="977"/>
      <c r="O268" s="977"/>
      <c r="P268" s="977"/>
      <c r="Q268" s="977"/>
      <c r="R268" s="978"/>
      <c r="S268" s="119"/>
      <c r="T268" s="119"/>
      <c r="U268" s="119"/>
      <c r="V268" s="119"/>
      <c r="W268" s="119"/>
      <c r="X268" s="119"/>
      <c r="Y268" s="119"/>
      <c r="Z268" s="119"/>
      <c r="AA268" s="119"/>
      <c r="AB268" s="119"/>
      <c r="AC268" s="119"/>
      <c r="AD268" s="119"/>
      <c r="AE268" s="119"/>
    </row>
    <row r="269" spans="1:31" s="30" customFormat="1" ht="19.5" customHeight="1" x14ac:dyDescent="0.3">
      <c r="A269" s="709">
        <v>259</v>
      </c>
      <c r="B269" s="735"/>
      <c r="C269" s="872"/>
      <c r="D269" s="872"/>
      <c r="E269" s="780" t="s">
        <v>1012</v>
      </c>
      <c r="F269" s="753"/>
      <c r="G269" s="753"/>
      <c r="H269" s="753"/>
      <c r="I269" s="873"/>
      <c r="J269" s="874">
        <f>SUM(K269:R269)</f>
        <v>0</v>
      </c>
      <c r="K269" s="875"/>
      <c r="L269" s="875"/>
      <c r="M269" s="875"/>
      <c r="N269" s="875"/>
      <c r="O269" s="875"/>
      <c r="P269" s="875"/>
      <c r="Q269" s="875"/>
      <c r="R269" s="876"/>
      <c r="S269" s="92"/>
      <c r="T269" s="92"/>
      <c r="U269" s="92"/>
      <c r="V269" s="92"/>
      <c r="W269" s="92"/>
      <c r="X269" s="92"/>
      <c r="Y269" s="92"/>
      <c r="Z269" s="92"/>
      <c r="AA269" s="92"/>
      <c r="AB269" s="92"/>
      <c r="AC269" s="92"/>
      <c r="AD269" s="92"/>
      <c r="AE269" s="92"/>
    </row>
    <row r="270" spans="1:31" s="30" customFormat="1" ht="19.5" customHeight="1" x14ac:dyDescent="0.3">
      <c r="A270" s="709">
        <v>260</v>
      </c>
      <c r="B270" s="740"/>
      <c r="C270" s="877"/>
      <c r="D270" s="877"/>
      <c r="E270" s="814" t="s">
        <v>1116</v>
      </c>
      <c r="F270" s="781"/>
      <c r="G270" s="781"/>
      <c r="H270" s="781"/>
      <c r="I270" s="869"/>
      <c r="J270" s="861">
        <f>SUM(K270:R270)</f>
        <v>2313</v>
      </c>
      <c r="K270" s="870">
        <f>SUM(K268:K269)</f>
        <v>1901</v>
      </c>
      <c r="L270" s="870">
        <f t="shared" ref="L270:M270" si="41">SUM(L268:L269)</f>
        <v>359</v>
      </c>
      <c r="M270" s="870">
        <f t="shared" si="41"/>
        <v>53</v>
      </c>
      <c r="N270" s="870"/>
      <c r="O270" s="870"/>
      <c r="P270" s="870"/>
      <c r="Q270" s="870"/>
      <c r="R270" s="871"/>
      <c r="S270" s="92"/>
      <c r="T270" s="92"/>
      <c r="U270" s="92"/>
      <c r="V270" s="92"/>
      <c r="W270" s="92"/>
      <c r="X270" s="92"/>
      <c r="Y270" s="92"/>
      <c r="Z270" s="92"/>
      <c r="AA270" s="92"/>
      <c r="AB270" s="92"/>
      <c r="AC270" s="92"/>
      <c r="AD270" s="92"/>
      <c r="AE270" s="92"/>
    </row>
    <row r="271" spans="1:31" s="282" customFormat="1" ht="18" customHeight="1" x14ac:dyDescent="0.3">
      <c r="A271" s="709">
        <v>261</v>
      </c>
      <c r="B271" s="740"/>
      <c r="C271" s="719">
        <v>21</v>
      </c>
      <c r="D271" s="962" t="s">
        <v>668</v>
      </c>
      <c r="E271" s="962"/>
      <c r="F271" s="878"/>
      <c r="G271" s="752"/>
      <c r="H271" s="752"/>
      <c r="I271" s="973">
        <v>329</v>
      </c>
      <c r="J271" s="861"/>
      <c r="K271" s="974"/>
      <c r="L271" s="974"/>
      <c r="M271" s="974"/>
      <c r="N271" s="974"/>
      <c r="O271" s="974"/>
      <c r="P271" s="974"/>
      <c r="Q271" s="974"/>
      <c r="R271" s="975"/>
      <c r="S271" s="296"/>
      <c r="T271" s="296"/>
      <c r="U271" s="296"/>
      <c r="V271" s="296"/>
      <c r="W271" s="296"/>
      <c r="X271" s="296"/>
      <c r="Y271" s="296"/>
      <c r="Z271" s="296"/>
      <c r="AA271" s="296"/>
      <c r="AB271" s="296"/>
      <c r="AC271" s="296"/>
      <c r="AD271" s="296"/>
      <c r="AE271" s="296"/>
    </row>
    <row r="272" spans="1:31" s="282" customFormat="1" ht="18" customHeight="1" x14ac:dyDescent="0.3">
      <c r="A272" s="709">
        <v>262</v>
      </c>
      <c r="B272" s="740"/>
      <c r="C272" s="799">
        <v>22</v>
      </c>
      <c r="D272" s="1977" t="s">
        <v>542</v>
      </c>
      <c r="E272" s="1978"/>
      <c r="F272" s="878"/>
      <c r="G272" s="752"/>
      <c r="H272" s="752"/>
      <c r="I272" s="973">
        <v>11</v>
      </c>
      <c r="J272" s="861"/>
      <c r="K272" s="974"/>
      <c r="L272" s="974"/>
      <c r="M272" s="974"/>
      <c r="N272" s="974"/>
      <c r="O272" s="974"/>
      <c r="P272" s="974"/>
      <c r="Q272" s="974"/>
      <c r="R272" s="975"/>
      <c r="S272" s="296"/>
      <c r="T272" s="296"/>
      <c r="U272" s="296"/>
      <c r="V272" s="296"/>
      <c r="W272" s="296"/>
      <c r="X272" s="296"/>
      <c r="Y272" s="296"/>
      <c r="Z272" s="296"/>
      <c r="AA272" s="296"/>
      <c r="AB272" s="296"/>
      <c r="AC272" s="296"/>
      <c r="AD272" s="296"/>
      <c r="AE272" s="296"/>
    </row>
    <row r="273" spans="1:31" s="36" customFormat="1" ht="18" customHeight="1" x14ac:dyDescent="0.3">
      <c r="A273" s="709">
        <v>263</v>
      </c>
      <c r="B273" s="740"/>
      <c r="C273" s="719">
        <v>23</v>
      </c>
      <c r="D273" s="962" t="s">
        <v>657</v>
      </c>
      <c r="E273" s="962"/>
      <c r="F273" s="878"/>
      <c r="G273" s="752"/>
      <c r="H273" s="752"/>
      <c r="I273" s="973">
        <v>14897</v>
      </c>
      <c r="J273" s="861"/>
      <c r="K273" s="974"/>
      <c r="L273" s="974"/>
      <c r="M273" s="974"/>
      <c r="N273" s="974"/>
      <c r="O273" s="974"/>
      <c r="P273" s="974"/>
      <c r="Q273" s="974"/>
      <c r="R273" s="975"/>
      <c r="S273" s="79"/>
      <c r="T273" s="79"/>
      <c r="U273" s="79"/>
      <c r="V273" s="79"/>
      <c r="W273" s="79"/>
      <c r="X273" s="79"/>
      <c r="Y273" s="79"/>
      <c r="Z273" s="79"/>
      <c r="AA273" s="79"/>
      <c r="AB273" s="79"/>
      <c r="AC273" s="79"/>
      <c r="AD273" s="79"/>
      <c r="AE273" s="79"/>
    </row>
    <row r="274" spans="1:31" s="39" customFormat="1" ht="18" customHeight="1" x14ac:dyDescent="0.3">
      <c r="A274" s="709">
        <v>264</v>
      </c>
      <c r="B274" s="740"/>
      <c r="C274" s="858"/>
      <c r="D274" s="982"/>
      <c r="E274" s="732" t="s">
        <v>1064</v>
      </c>
      <c r="F274" s="878"/>
      <c r="G274" s="752"/>
      <c r="H274" s="752"/>
      <c r="I274" s="973"/>
      <c r="J274" s="861">
        <f>SUM(K274:R274)</f>
        <v>16</v>
      </c>
      <c r="K274" s="974"/>
      <c r="L274" s="974"/>
      <c r="M274" s="974">
        <v>16</v>
      </c>
      <c r="N274" s="974"/>
      <c r="O274" s="974"/>
      <c r="P274" s="974"/>
      <c r="Q274" s="974"/>
      <c r="R274" s="975"/>
      <c r="S274" s="119"/>
      <c r="T274" s="119"/>
      <c r="U274" s="119"/>
      <c r="V274" s="119"/>
      <c r="W274" s="119"/>
      <c r="X274" s="119"/>
      <c r="Y274" s="119"/>
      <c r="Z274" s="119"/>
      <c r="AA274" s="119"/>
      <c r="AB274" s="119"/>
      <c r="AC274" s="119"/>
      <c r="AD274" s="119"/>
      <c r="AE274" s="119"/>
    </row>
    <row r="275" spans="1:31" s="30" customFormat="1" ht="19.5" customHeight="1" x14ac:dyDescent="0.3">
      <c r="A275" s="709">
        <v>265</v>
      </c>
      <c r="B275" s="735"/>
      <c r="C275" s="872"/>
      <c r="D275" s="872"/>
      <c r="E275" s="780" t="s">
        <v>1012</v>
      </c>
      <c r="F275" s="753"/>
      <c r="G275" s="753"/>
      <c r="H275" s="753"/>
      <c r="I275" s="873"/>
      <c r="J275" s="874">
        <f>SUM(K275:R275)</f>
        <v>0</v>
      </c>
      <c r="K275" s="875"/>
      <c r="L275" s="875"/>
      <c r="M275" s="875"/>
      <c r="N275" s="875"/>
      <c r="O275" s="875"/>
      <c r="P275" s="875"/>
      <c r="Q275" s="875"/>
      <c r="R275" s="876"/>
      <c r="S275" s="92"/>
      <c r="T275" s="92"/>
      <c r="U275" s="92"/>
      <c r="V275" s="92"/>
      <c r="W275" s="92"/>
      <c r="X275" s="92"/>
      <c r="Y275" s="92"/>
      <c r="Z275" s="92"/>
      <c r="AA275" s="92"/>
      <c r="AB275" s="92"/>
      <c r="AC275" s="92"/>
      <c r="AD275" s="92"/>
      <c r="AE275" s="92"/>
    </row>
    <row r="276" spans="1:31" s="282" customFormat="1" ht="18" customHeight="1" x14ac:dyDescent="0.3">
      <c r="A276" s="709">
        <v>266</v>
      </c>
      <c r="B276" s="740"/>
      <c r="C276" s="877"/>
      <c r="D276" s="877"/>
      <c r="E276" s="814" t="s">
        <v>1116</v>
      </c>
      <c r="F276" s="781"/>
      <c r="G276" s="781"/>
      <c r="H276" s="781"/>
      <c r="I276" s="869"/>
      <c r="J276" s="861">
        <f>SUM(K276:R276)</f>
        <v>16</v>
      </c>
      <c r="K276" s="870"/>
      <c r="L276" s="870"/>
      <c r="M276" s="870">
        <f>SUM(M274:M275)</f>
        <v>16</v>
      </c>
      <c r="N276" s="870"/>
      <c r="O276" s="870"/>
      <c r="P276" s="870"/>
      <c r="Q276" s="870"/>
      <c r="R276" s="871"/>
      <c r="S276" s="296"/>
      <c r="T276" s="296"/>
      <c r="U276" s="296"/>
      <c r="V276" s="296"/>
      <c r="W276" s="296"/>
      <c r="X276" s="296"/>
      <c r="Y276" s="296"/>
      <c r="Z276" s="296"/>
      <c r="AA276" s="296"/>
      <c r="AB276" s="296"/>
      <c r="AC276" s="296"/>
      <c r="AD276" s="296"/>
      <c r="AE276" s="296"/>
    </row>
    <row r="277" spans="1:31" s="282" customFormat="1" ht="18" customHeight="1" x14ac:dyDescent="0.3">
      <c r="A277" s="709">
        <v>267</v>
      </c>
      <c r="B277" s="740"/>
      <c r="C277" s="983">
        <v>24</v>
      </c>
      <c r="D277" s="962" t="s">
        <v>695</v>
      </c>
      <c r="E277" s="962"/>
      <c r="F277" s="781"/>
      <c r="G277" s="781"/>
      <c r="H277" s="781"/>
      <c r="I277" s="869"/>
      <c r="J277" s="861"/>
      <c r="K277" s="870"/>
      <c r="L277" s="870"/>
      <c r="M277" s="870"/>
      <c r="N277" s="870"/>
      <c r="O277" s="870"/>
      <c r="P277" s="870"/>
      <c r="Q277" s="870"/>
      <c r="R277" s="871"/>
      <c r="S277" s="296"/>
      <c r="T277" s="296"/>
      <c r="U277" s="296"/>
      <c r="V277" s="296"/>
      <c r="W277" s="296"/>
      <c r="X277" s="296"/>
      <c r="Y277" s="296"/>
      <c r="Z277" s="296"/>
      <c r="AA277" s="296"/>
      <c r="AB277" s="296"/>
      <c r="AC277" s="296"/>
      <c r="AD277" s="296"/>
      <c r="AE277" s="296"/>
    </row>
    <row r="278" spans="1:31" s="36" customFormat="1" ht="18" customHeight="1" x14ac:dyDescent="0.3">
      <c r="A278" s="709">
        <v>268</v>
      </c>
      <c r="B278" s="740"/>
      <c r="C278" s="983"/>
      <c r="D278" s="982"/>
      <c r="E278" s="732" t="s">
        <v>1064</v>
      </c>
      <c r="F278" s="781"/>
      <c r="G278" s="781"/>
      <c r="H278" s="781"/>
      <c r="I278" s="869"/>
      <c r="J278" s="861">
        <f>SUM(K278:R278)</f>
        <v>250</v>
      </c>
      <c r="K278" s="870">
        <v>212</v>
      </c>
      <c r="L278" s="870">
        <v>38</v>
      </c>
      <c r="M278" s="870"/>
      <c r="N278" s="870"/>
      <c r="O278" s="870"/>
      <c r="P278" s="870"/>
      <c r="Q278" s="870"/>
      <c r="R278" s="871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  <c r="AC278" s="79"/>
      <c r="AD278" s="79"/>
      <c r="AE278" s="79"/>
    </row>
    <row r="279" spans="1:31" s="39" customFormat="1" ht="18" customHeight="1" x14ac:dyDescent="0.3">
      <c r="A279" s="709">
        <v>269</v>
      </c>
      <c r="B279" s="740"/>
      <c r="C279" s="877"/>
      <c r="D279" s="984"/>
      <c r="E279" s="780" t="s">
        <v>999</v>
      </c>
      <c r="F279" s="781"/>
      <c r="G279" s="781"/>
      <c r="H279" s="781"/>
      <c r="I279" s="869"/>
      <c r="J279" s="874">
        <f>SUM(K279:R279)</f>
        <v>0</v>
      </c>
      <c r="K279" s="875"/>
      <c r="L279" s="875"/>
      <c r="M279" s="870"/>
      <c r="N279" s="870"/>
      <c r="O279" s="870"/>
      <c r="P279" s="870"/>
      <c r="Q279" s="870"/>
      <c r="R279" s="871"/>
      <c r="S279" s="119"/>
      <c r="T279" s="119"/>
      <c r="U279" s="119"/>
      <c r="V279" s="119"/>
      <c r="W279" s="119"/>
      <c r="X279" s="119"/>
      <c r="Y279" s="119"/>
      <c r="Z279" s="119"/>
      <c r="AA279" s="119"/>
      <c r="AB279" s="119"/>
      <c r="AC279" s="119"/>
      <c r="AD279" s="119"/>
      <c r="AE279" s="119"/>
    </row>
    <row r="280" spans="1:31" s="30" customFormat="1" ht="18" customHeight="1" x14ac:dyDescent="0.3">
      <c r="A280" s="709">
        <v>270</v>
      </c>
      <c r="B280" s="740"/>
      <c r="C280" s="877"/>
      <c r="D280" s="984"/>
      <c r="E280" s="814" t="s">
        <v>1116</v>
      </c>
      <c r="F280" s="781"/>
      <c r="G280" s="781"/>
      <c r="H280" s="781"/>
      <c r="I280" s="869"/>
      <c r="J280" s="861">
        <f>SUM(K280:R280)</f>
        <v>250</v>
      </c>
      <c r="K280" s="870">
        <f>SUM(K278:K279)</f>
        <v>212</v>
      </c>
      <c r="L280" s="870">
        <f>SUM(L278:L279)</f>
        <v>38</v>
      </c>
      <c r="M280" s="870"/>
      <c r="N280" s="870"/>
      <c r="O280" s="870"/>
      <c r="P280" s="870"/>
      <c r="Q280" s="870"/>
      <c r="R280" s="871"/>
      <c r="S280" s="92"/>
      <c r="T280" s="92"/>
      <c r="U280" s="92"/>
      <c r="V280" s="92"/>
      <c r="W280" s="92"/>
      <c r="X280" s="92"/>
      <c r="Y280" s="92"/>
      <c r="Z280" s="92"/>
      <c r="AA280" s="92"/>
      <c r="AB280" s="92"/>
      <c r="AC280" s="92"/>
      <c r="AD280" s="92"/>
      <c r="AE280" s="92"/>
    </row>
    <row r="281" spans="1:31" s="30" customFormat="1" ht="30" customHeight="1" x14ac:dyDescent="0.3">
      <c r="A281" s="709">
        <v>271</v>
      </c>
      <c r="B281" s="740"/>
      <c r="C281" s="983">
        <v>25</v>
      </c>
      <c r="D281" s="962" t="s">
        <v>1035</v>
      </c>
      <c r="E281" s="962"/>
      <c r="F281" s="781"/>
      <c r="G281" s="781"/>
      <c r="H281" s="781"/>
      <c r="I281" s="869"/>
      <c r="J281" s="861"/>
      <c r="K281" s="870"/>
      <c r="L281" s="870"/>
      <c r="M281" s="870"/>
      <c r="N281" s="870"/>
      <c r="O281" s="870"/>
      <c r="P281" s="870"/>
      <c r="Q281" s="870"/>
      <c r="R281" s="871"/>
      <c r="S281" s="92"/>
      <c r="T281" s="92"/>
      <c r="U281" s="92"/>
      <c r="V281" s="92"/>
      <c r="W281" s="92"/>
      <c r="X281" s="92"/>
      <c r="Y281" s="92"/>
      <c r="Z281" s="92"/>
      <c r="AA281" s="92"/>
      <c r="AB281" s="92"/>
      <c r="AC281" s="92"/>
      <c r="AD281" s="92"/>
      <c r="AE281" s="92"/>
    </row>
    <row r="282" spans="1:31" s="30" customFormat="1" ht="18" customHeight="1" x14ac:dyDescent="0.3">
      <c r="A282" s="709">
        <v>272</v>
      </c>
      <c r="B282" s="740"/>
      <c r="C282" s="983"/>
      <c r="D282" s="982"/>
      <c r="E282" s="732" t="s">
        <v>1064</v>
      </c>
      <c r="F282" s="781"/>
      <c r="G282" s="781"/>
      <c r="H282" s="781"/>
      <c r="I282" s="869"/>
      <c r="J282" s="861">
        <f>SUM(K282:R282)</f>
        <v>1500</v>
      </c>
      <c r="K282" s="870"/>
      <c r="L282" s="870"/>
      <c r="M282" s="870">
        <v>1470</v>
      </c>
      <c r="N282" s="870"/>
      <c r="O282" s="870"/>
      <c r="P282" s="870">
        <v>30</v>
      </c>
      <c r="Q282" s="870"/>
      <c r="R282" s="871"/>
      <c r="S282" s="92"/>
      <c r="T282" s="92"/>
      <c r="U282" s="92"/>
      <c r="V282" s="92"/>
      <c r="W282" s="92"/>
      <c r="X282" s="92"/>
      <c r="Y282" s="92"/>
      <c r="Z282" s="92"/>
      <c r="AA282" s="92"/>
      <c r="AB282" s="92"/>
      <c r="AC282" s="92"/>
      <c r="AD282" s="92"/>
      <c r="AE282" s="92"/>
    </row>
    <row r="283" spans="1:31" s="30" customFormat="1" ht="18" customHeight="1" x14ac:dyDescent="0.3">
      <c r="A283" s="709">
        <v>273</v>
      </c>
      <c r="B283" s="740"/>
      <c r="C283" s="877"/>
      <c r="D283" s="984"/>
      <c r="E283" s="780" t="s">
        <v>999</v>
      </c>
      <c r="F283" s="781"/>
      <c r="G283" s="781"/>
      <c r="H283" s="781"/>
      <c r="I283" s="869"/>
      <c r="J283" s="874">
        <f>SUM(K283:R283)</f>
        <v>0</v>
      </c>
      <c r="K283" s="870"/>
      <c r="L283" s="870"/>
      <c r="M283" s="875"/>
      <c r="N283" s="875"/>
      <c r="O283" s="875"/>
      <c r="P283" s="875"/>
      <c r="Q283" s="870"/>
      <c r="R283" s="871"/>
      <c r="S283" s="92"/>
      <c r="T283" s="92"/>
      <c r="U283" s="92"/>
      <c r="V283" s="92"/>
      <c r="W283" s="92"/>
      <c r="X283" s="92"/>
      <c r="Y283" s="92"/>
      <c r="Z283" s="92"/>
      <c r="AA283" s="92"/>
      <c r="AB283" s="92"/>
      <c r="AC283" s="92"/>
      <c r="AD283" s="92"/>
      <c r="AE283" s="92"/>
    </row>
    <row r="284" spans="1:31" s="36" customFormat="1" ht="18" customHeight="1" x14ac:dyDescent="0.3">
      <c r="A284" s="709">
        <v>274</v>
      </c>
      <c r="B284" s="740"/>
      <c r="C284" s="877"/>
      <c r="D284" s="984"/>
      <c r="E284" s="814" t="s">
        <v>1116</v>
      </c>
      <c r="F284" s="781"/>
      <c r="G284" s="781"/>
      <c r="H284" s="781"/>
      <c r="I284" s="869"/>
      <c r="J284" s="861">
        <f>SUM(K284:R284)</f>
        <v>1500</v>
      </c>
      <c r="K284" s="870"/>
      <c r="L284" s="870"/>
      <c r="M284" s="870">
        <f>SUM(M282:M283)</f>
        <v>1470</v>
      </c>
      <c r="N284" s="870"/>
      <c r="O284" s="870"/>
      <c r="P284" s="870">
        <f t="shared" ref="P284" si="42">SUM(P282:P283)</f>
        <v>30</v>
      </c>
      <c r="Q284" s="870"/>
      <c r="R284" s="871"/>
      <c r="S284" s="79"/>
      <c r="T284" s="79"/>
      <c r="U284" s="79"/>
      <c r="V284" s="79"/>
      <c r="W284" s="79"/>
      <c r="X284" s="79"/>
      <c r="Y284" s="79"/>
      <c r="Z284" s="79"/>
      <c r="AA284" s="79"/>
      <c r="AB284" s="79"/>
      <c r="AC284" s="79"/>
      <c r="AD284" s="79"/>
      <c r="AE284" s="79"/>
    </row>
    <row r="285" spans="1:31" s="39" customFormat="1" ht="18" customHeight="1" x14ac:dyDescent="0.3">
      <c r="A285" s="709">
        <v>275</v>
      </c>
      <c r="B285" s="740"/>
      <c r="C285" s="983">
        <v>26</v>
      </c>
      <c r="D285" s="962" t="s">
        <v>46</v>
      </c>
      <c r="E285" s="962"/>
      <c r="F285" s="781"/>
      <c r="G285" s="781"/>
      <c r="H285" s="781"/>
      <c r="I285" s="869"/>
      <c r="J285" s="861"/>
      <c r="K285" s="870"/>
      <c r="L285" s="870"/>
      <c r="M285" s="870"/>
      <c r="N285" s="870"/>
      <c r="O285" s="870"/>
      <c r="P285" s="870"/>
      <c r="Q285" s="870"/>
      <c r="R285" s="871"/>
      <c r="S285" s="119"/>
      <c r="T285" s="119"/>
      <c r="U285" s="119"/>
      <c r="V285" s="119"/>
      <c r="W285" s="119"/>
      <c r="X285" s="119"/>
      <c r="Y285" s="119"/>
      <c r="Z285" s="119"/>
      <c r="AA285" s="119"/>
      <c r="AB285" s="119"/>
      <c r="AC285" s="119"/>
      <c r="AD285" s="119"/>
      <c r="AE285" s="119"/>
    </row>
    <row r="286" spans="1:31" s="39" customFormat="1" ht="18" customHeight="1" x14ac:dyDescent="0.3">
      <c r="A286" s="709">
        <v>276</v>
      </c>
      <c r="B286" s="740"/>
      <c r="C286" s="983"/>
      <c r="D286" s="982"/>
      <c r="E286" s="732" t="s">
        <v>1064</v>
      </c>
      <c r="F286" s="781"/>
      <c r="G286" s="781"/>
      <c r="H286" s="781"/>
      <c r="I286" s="869"/>
      <c r="J286" s="861">
        <f>SUM(K286:R286)</f>
        <v>32</v>
      </c>
      <c r="K286" s="870">
        <v>2</v>
      </c>
      <c r="L286" s="870">
        <v>1</v>
      </c>
      <c r="M286" s="870">
        <v>29</v>
      </c>
      <c r="N286" s="870"/>
      <c r="O286" s="870"/>
      <c r="P286" s="870"/>
      <c r="Q286" s="870"/>
      <c r="R286" s="871"/>
      <c r="S286" s="119"/>
      <c r="T286" s="119"/>
      <c r="U286" s="119"/>
      <c r="V286" s="119"/>
      <c r="W286" s="119"/>
      <c r="X286" s="119"/>
      <c r="Y286" s="119"/>
      <c r="Z286" s="119"/>
      <c r="AA286" s="119"/>
      <c r="AB286" s="119"/>
      <c r="AC286" s="119"/>
      <c r="AD286" s="119"/>
      <c r="AE286" s="119"/>
    </row>
    <row r="287" spans="1:31" s="39" customFormat="1" ht="18" customHeight="1" x14ac:dyDescent="0.3">
      <c r="A287" s="709">
        <v>277</v>
      </c>
      <c r="B287" s="740"/>
      <c r="C287" s="877"/>
      <c r="D287" s="984"/>
      <c r="E287" s="780" t="s">
        <v>999</v>
      </c>
      <c r="F287" s="781"/>
      <c r="G287" s="781"/>
      <c r="H287" s="781"/>
      <c r="I287" s="869"/>
      <c r="J287" s="874">
        <f>SUM(K287:R287)</f>
        <v>0</v>
      </c>
      <c r="K287" s="875"/>
      <c r="L287" s="875"/>
      <c r="M287" s="875"/>
      <c r="N287" s="870"/>
      <c r="O287" s="870"/>
      <c r="P287" s="870"/>
      <c r="Q287" s="870"/>
      <c r="R287" s="871"/>
      <c r="S287" s="119"/>
      <c r="T287" s="119"/>
      <c r="U287" s="119"/>
      <c r="V287" s="119"/>
      <c r="W287" s="119"/>
      <c r="X287" s="119"/>
      <c r="Y287" s="119"/>
      <c r="Z287" s="119"/>
      <c r="AA287" s="119"/>
      <c r="AB287" s="119"/>
      <c r="AC287" s="119"/>
      <c r="AD287" s="119"/>
      <c r="AE287" s="119"/>
    </row>
    <row r="288" spans="1:31" s="39" customFormat="1" ht="18" customHeight="1" x14ac:dyDescent="0.3">
      <c r="A288" s="709">
        <v>278</v>
      </c>
      <c r="B288" s="740"/>
      <c r="C288" s="877"/>
      <c r="D288" s="984"/>
      <c r="E288" s="814" t="s">
        <v>1116</v>
      </c>
      <c r="F288" s="781"/>
      <c r="G288" s="781"/>
      <c r="H288" s="781"/>
      <c r="I288" s="869"/>
      <c r="J288" s="861">
        <f>SUM(K288:R288)</f>
        <v>32</v>
      </c>
      <c r="K288" s="870">
        <f>SUM(K286:K287)</f>
        <v>2</v>
      </c>
      <c r="L288" s="870">
        <f t="shared" ref="L288:M288" si="43">SUM(L286:L287)</f>
        <v>1</v>
      </c>
      <c r="M288" s="870">
        <f t="shared" si="43"/>
        <v>29</v>
      </c>
      <c r="N288" s="870"/>
      <c r="O288" s="870"/>
      <c r="P288" s="870"/>
      <c r="Q288" s="870"/>
      <c r="R288" s="871"/>
      <c r="S288" s="119"/>
      <c r="T288" s="119"/>
      <c r="U288" s="119"/>
      <c r="V288" s="119"/>
      <c r="W288" s="119"/>
      <c r="X288" s="119"/>
      <c r="Y288" s="119"/>
      <c r="Z288" s="119"/>
      <c r="AA288" s="119"/>
      <c r="AB288" s="119"/>
      <c r="AC288" s="119"/>
      <c r="AD288" s="119"/>
      <c r="AE288" s="119"/>
    </row>
    <row r="289" spans="1:31" s="39" customFormat="1" ht="18" customHeight="1" x14ac:dyDescent="0.3">
      <c r="A289" s="709">
        <v>279</v>
      </c>
      <c r="B289" s="740"/>
      <c r="C289" s="983">
        <v>27</v>
      </c>
      <c r="D289" s="738" t="s">
        <v>700</v>
      </c>
      <c r="E289" s="1911"/>
      <c r="F289" s="781"/>
      <c r="G289" s="781"/>
      <c r="H289" s="781"/>
      <c r="I289" s="869"/>
      <c r="J289" s="861"/>
      <c r="K289" s="870"/>
      <c r="L289" s="870"/>
      <c r="M289" s="870"/>
      <c r="N289" s="870"/>
      <c r="O289" s="870"/>
      <c r="P289" s="870"/>
      <c r="Q289" s="870"/>
      <c r="R289" s="871"/>
      <c r="S289" s="119"/>
      <c r="T289" s="119"/>
      <c r="U289" s="119"/>
      <c r="V289" s="119"/>
      <c r="W289" s="119"/>
      <c r="X289" s="119"/>
      <c r="Y289" s="119"/>
      <c r="Z289" s="119"/>
      <c r="AA289" s="119"/>
      <c r="AB289" s="119"/>
      <c r="AC289" s="119"/>
      <c r="AD289" s="119"/>
      <c r="AE289" s="119"/>
    </row>
    <row r="290" spans="1:31" s="39" customFormat="1" ht="18" customHeight="1" x14ac:dyDescent="0.3">
      <c r="A290" s="709">
        <v>280</v>
      </c>
      <c r="B290" s="740"/>
      <c r="C290" s="877"/>
      <c r="D290" s="984"/>
      <c r="E290" s="780" t="s">
        <v>999</v>
      </c>
      <c r="F290" s="781"/>
      <c r="G290" s="781"/>
      <c r="H290" s="781"/>
      <c r="I290" s="869"/>
      <c r="J290" s="874">
        <f>SUM(K290:R290)</f>
        <v>3100</v>
      </c>
      <c r="K290" s="875">
        <v>2684</v>
      </c>
      <c r="L290" s="875">
        <v>416</v>
      </c>
      <c r="M290" s="870"/>
      <c r="N290" s="870"/>
      <c r="O290" s="870"/>
      <c r="P290" s="870"/>
      <c r="Q290" s="870"/>
      <c r="R290" s="871"/>
      <c r="S290" s="119"/>
      <c r="T290" s="119"/>
      <c r="U290" s="119"/>
      <c r="V290" s="119"/>
      <c r="W290" s="119"/>
      <c r="X290" s="119"/>
      <c r="Y290" s="119"/>
      <c r="Z290" s="119"/>
      <c r="AA290" s="119"/>
      <c r="AB290" s="119"/>
      <c r="AC290" s="119"/>
      <c r="AD290" s="119"/>
      <c r="AE290" s="119"/>
    </row>
    <row r="291" spans="1:31" s="39" customFormat="1" ht="18" customHeight="1" x14ac:dyDescent="0.3">
      <c r="A291" s="709">
        <v>281</v>
      </c>
      <c r="B291" s="740"/>
      <c r="C291" s="877"/>
      <c r="D291" s="984"/>
      <c r="E291" s="814" t="s">
        <v>1116</v>
      </c>
      <c r="F291" s="781"/>
      <c r="G291" s="781"/>
      <c r="H291" s="781"/>
      <c r="I291" s="869"/>
      <c r="J291" s="861">
        <f>SUM(K291:R291)</f>
        <v>3100</v>
      </c>
      <c r="K291" s="870">
        <f>SUM(K290)</f>
        <v>2684</v>
      </c>
      <c r="L291" s="870">
        <f>SUM(L290)</f>
        <v>416</v>
      </c>
      <c r="M291" s="870"/>
      <c r="N291" s="870"/>
      <c r="O291" s="870"/>
      <c r="P291" s="870"/>
      <c r="Q291" s="870"/>
      <c r="R291" s="871"/>
      <c r="S291" s="119"/>
      <c r="T291" s="119"/>
      <c r="U291" s="119"/>
      <c r="V291" s="119"/>
      <c r="W291" s="119"/>
      <c r="X291" s="119"/>
      <c r="Y291" s="119"/>
      <c r="Z291" s="119"/>
      <c r="AA291" s="119"/>
      <c r="AB291" s="119"/>
      <c r="AC291" s="119"/>
      <c r="AD291" s="119"/>
      <c r="AE291" s="119"/>
    </row>
    <row r="292" spans="1:31" s="39" customFormat="1" ht="18" customHeight="1" x14ac:dyDescent="0.3">
      <c r="A292" s="709">
        <v>282</v>
      </c>
      <c r="B292" s="740"/>
      <c r="C292" s="719">
        <v>28</v>
      </c>
      <c r="D292" s="962" t="s">
        <v>467</v>
      </c>
      <c r="E292" s="962"/>
      <c r="F292" s="878"/>
      <c r="G292" s="752">
        <v>15790</v>
      </c>
      <c r="H292" s="752"/>
      <c r="I292" s="973"/>
      <c r="J292" s="861"/>
      <c r="K292" s="974"/>
      <c r="L292" s="974"/>
      <c r="M292" s="974"/>
      <c r="N292" s="974"/>
      <c r="O292" s="974"/>
      <c r="P292" s="974"/>
      <c r="Q292" s="974"/>
      <c r="R292" s="975"/>
      <c r="S292" s="119"/>
      <c r="T292" s="119"/>
      <c r="U292" s="119"/>
      <c r="V292" s="119"/>
      <c r="W292" s="119"/>
      <c r="X292" s="119"/>
      <c r="Y292" s="119"/>
      <c r="Z292" s="119"/>
      <c r="AA292" s="119"/>
      <c r="AB292" s="119"/>
      <c r="AC292" s="119"/>
      <c r="AD292" s="119"/>
      <c r="AE292" s="119"/>
    </row>
    <row r="293" spans="1:31" s="39" customFormat="1" ht="18" customHeight="1" x14ac:dyDescent="0.3">
      <c r="A293" s="709">
        <v>283</v>
      </c>
      <c r="B293" s="740"/>
      <c r="C293" s="719">
        <v>29</v>
      </c>
      <c r="D293" s="962" t="s">
        <v>537</v>
      </c>
      <c r="E293" s="962"/>
      <c r="F293" s="878"/>
      <c r="G293" s="752">
        <v>956</v>
      </c>
      <c r="H293" s="752"/>
      <c r="I293" s="973"/>
      <c r="J293" s="861"/>
      <c r="K293" s="974"/>
      <c r="L293" s="974"/>
      <c r="M293" s="974"/>
      <c r="N293" s="974"/>
      <c r="O293" s="974"/>
      <c r="P293" s="974"/>
      <c r="Q293" s="974"/>
      <c r="R293" s="975"/>
      <c r="S293" s="119"/>
      <c r="T293" s="119"/>
      <c r="U293" s="119"/>
      <c r="V293" s="119"/>
      <c r="W293" s="119"/>
      <c r="X293" s="119"/>
      <c r="Y293" s="119"/>
      <c r="Z293" s="119"/>
      <c r="AA293" s="119"/>
      <c r="AB293" s="119"/>
      <c r="AC293" s="119"/>
      <c r="AD293" s="119"/>
      <c r="AE293" s="119"/>
    </row>
    <row r="294" spans="1:31" s="39" customFormat="1" ht="18" customHeight="1" x14ac:dyDescent="0.3">
      <c r="A294" s="709">
        <v>284</v>
      </c>
      <c r="B294" s="740"/>
      <c r="C294" s="719">
        <v>30</v>
      </c>
      <c r="D294" s="962" t="s">
        <v>538</v>
      </c>
      <c r="E294" s="962"/>
      <c r="F294" s="878"/>
      <c r="G294" s="752">
        <v>1063</v>
      </c>
      <c r="H294" s="752"/>
      <c r="I294" s="973"/>
      <c r="J294" s="861"/>
      <c r="K294" s="974"/>
      <c r="L294" s="974"/>
      <c r="M294" s="974"/>
      <c r="N294" s="974"/>
      <c r="O294" s="974"/>
      <c r="P294" s="974"/>
      <c r="Q294" s="974"/>
      <c r="R294" s="975"/>
      <c r="S294" s="119"/>
      <c r="T294" s="119"/>
      <c r="U294" s="119"/>
      <c r="V294" s="119"/>
      <c r="W294" s="119"/>
      <c r="X294" s="119"/>
      <c r="Y294" s="119"/>
      <c r="Z294" s="119"/>
      <c r="AA294" s="119"/>
      <c r="AB294" s="119"/>
      <c r="AC294" s="119"/>
      <c r="AD294" s="119"/>
      <c r="AE294" s="119"/>
    </row>
    <row r="295" spans="1:31" s="39" customFormat="1" ht="43.5" customHeight="1" thickBot="1" x14ac:dyDescent="0.35">
      <c r="A295" s="709">
        <v>285</v>
      </c>
      <c r="B295" s="740"/>
      <c r="C295" s="799">
        <v>31</v>
      </c>
      <c r="D295" s="2013" t="s">
        <v>536</v>
      </c>
      <c r="E295" s="2014"/>
      <c r="F295" s="878"/>
      <c r="G295" s="752">
        <v>252</v>
      </c>
      <c r="H295" s="752"/>
      <c r="I295" s="973"/>
      <c r="J295" s="861"/>
      <c r="K295" s="974"/>
      <c r="L295" s="974"/>
      <c r="M295" s="974"/>
      <c r="N295" s="974"/>
      <c r="O295" s="974"/>
      <c r="P295" s="974"/>
      <c r="Q295" s="974"/>
      <c r="R295" s="975"/>
      <c r="S295" s="119"/>
      <c r="T295" s="119"/>
      <c r="U295" s="119"/>
      <c r="V295" s="119"/>
      <c r="W295" s="119"/>
      <c r="X295" s="119"/>
      <c r="Y295" s="119"/>
      <c r="Z295" s="119"/>
      <c r="AA295" s="119"/>
      <c r="AB295" s="119"/>
      <c r="AC295" s="119"/>
      <c r="AD295" s="119"/>
      <c r="AE295" s="119"/>
    </row>
    <row r="296" spans="1:31" s="39" customFormat="1" ht="18" customHeight="1" thickTop="1" x14ac:dyDescent="0.3">
      <c r="A296" s="709">
        <v>286</v>
      </c>
      <c r="B296" s="985"/>
      <c r="C296" s="2015" t="s">
        <v>640</v>
      </c>
      <c r="D296" s="2016"/>
      <c r="E296" s="2017"/>
      <c r="F296" s="986"/>
      <c r="G296" s="764">
        <f>SUM(G188:G295)</f>
        <v>1459238</v>
      </c>
      <c r="H296" s="764">
        <f>SUM(H188:H295)</f>
        <v>1572895</v>
      </c>
      <c r="I296" s="892">
        <f>SUM(I188:I295)</f>
        <v>1582989</v>
      </c>
      <c r="J296" s="893"/>
      <c r="K296" s="913"/>
      <c r="L296" s="913"/>
      <c r="M296" s="913"/>
      <c r="N296" s="913"/>
      <c r="O296" s="913"/>
      <c r="P296" s="913"/>
      <c r="Q296" s="913"/>
      <c r="R296" s="914"/>
      <c r="S296" s="119"/>
      <c r="T296" s="119"/>
      <c r="U296" s="119"/>
      <c r="V296" s="119"/>
      <c r="W296" s="119"/>
      <c r="X296" s="119"/>
      <c r="Y296" s="119"/>
      <c r="Z296" s="119"/>
      <c r="AA296" s="119"/>
      <c r="AB296" s="119"/>
      <c r="AC296" s="119"/>
      <c r="AD296" s="119"/>
      <c r="AE296" s="119"/>
    </row>
    <row r="297" spans="1:31" s="39" customFormat="1" ht="18" customHeight="1" x14ac:dyDescent="0.3">
      <c r="A297" s="709">
        <v>287</v>
      </c>
      <c r="B297" s="724"/>
      <c r="C297" s="756"/>
      <c r="D297" s="885"/>
      <c r="E297" s="987" t="s">
        <v>311</v>
      </c>
      <c r="F297" s="988"/>
      <c r="G297" s="784"/>
      <c r="H297" s="784"/>
      <c r="I297" s="886"/>
      <c r="J297" s="887">
        <f>SUM(K297:R297)</f>
        <v>1675561</v>
      </c>
      <c r="K297" s="989">
        <f t="shared" ref="K297:R297" si="44">SUM(K190,K205,K210,K215,K222,K227,K232,K240,K245,K251,K256,K262,K267)</f>
        <v>1137523</v>
      </c>
      <c r="L297" s="989">
        <f t="shared" si="44"/>
        <v>205853</v>
      </c>
      <c r="M297" s="989">
        <f t="shared" si="44"/>
        <v>297820</v>
      </c>
      <c r="N297" s="989">
        <f t="shared" si="44"/>
        <v>0</v>
      </c>
      <c r="O297" s="989">
        <f t="shared" si="44"/>
        <v>0</v>
      </c>
      <c r="P297" s="989">
        <f t="shared" si="44"/>
        <v>34365</v>
      </c>
      <c r="Q297" s="989">
        <f t="shared" si="44"/>
        <v>0</v>
      </c>
      <c r="R297" s="990">
        <f t="shared" si="44"/>
        <v>0</v>
      </c>
      <c r="S297" s="119"/>
      <c r="T297" s="119"/>
      <c r="U297" s="119"/>
      <c r="V297" s="119"/>
      <c r="W297" s="119"/>
      <c r="X297" s="119"/>
      <c r="Y297" s="119"/>
      <c r="Z297" s="119"/>
      <c r="AA297" s="119"/>
      <c r="AB297" s="119"/>
      <c r="AC297" s="119"/>
      <c r="AD297" s="119"/>
      <c r="AE297" s="119"/>
    </row>
    <row r="298" spans="1:31" s="30" customFormat="1" ht="18" customHeight="1" x14ac:dyDescent="0.3">
      <c r="A298" s="709">
        <v>288</v>
      </c>
      <c r="B298" s="724"/>
      <c r="C298" s="756"/>
      <c r="D298" s="885"/>
      <c r="E298" s="732" t="s">
        <v>1064</v>
      </c>
      <c r="F298" s="988"/>
      <c r="G298" s="784"/>
      <c r="H298" s="784"/>
      <c r="I298" s="886"/>
      <c r="J298" s="861">
        <f>SUM(K298:R298)</f>
        <v>1906374</v>
      </c>
      <c r="K298" s="991">
        <f t="shared" ref="K298:R298" si="45">SUM(K191,K206,K211,K216,K223,K228,K233,K241,K246,K252,K257,K263,K268)+K274+K278+K282+K286</f>
        <v>1196036</v>
      </c>
      <c r="L298" s="991">
        <f t="shared" si="45"/>
        <v>238273</v>
      </c>
      <c r="M298" s="991">
        <f t="shared" si="45"/>
        <v>439478</v>
      </c>
      <c r="N298" s="991">
        <f t="shared" si="45"/>
        <v>0</v>
      </c>
      <c r="O298" s="991">
        <f t="shared" si="45"/>
        <v>0</v>
      </c>
      <c r="P298" s="991">
        <f t="shared" si="45"/>
        <v>32587</v>
      </c>
      <c r="Q298" s="991">
        <f t="shared" si="45"/>
        <v>0</v>
      </c>
      <c r="R298" s="992">
        <f t="shared" si="45"/>
        <v>0</v>
      </c>
      <c r="S298" s="92"/>
      <c r="T298" s="92"/>
      <c r="U298" s="92"/>
      <c r="V298" s="92"/>
      <c r="W298" s="92"/>
      <c r="X298" s="92"/>
      <c r="Y298" s="92"/>
      <c r="Z298" s="92"/>
      <c r="AA298" s="92"/>
      <c r="AB298" s="92"/>
      <c r="AC298" s="92"/>
      <c r="AD298" s="92"/>
      <c r="AE298" s="92"/>
    </row>
    <row r="299" spans="1:31" s="30" customFormat="1" ht="18" customHeight="1" x14ac:dyDescent="0.3">
      <c r="A299" s="709">
        <v>289</v>
      </c>
      <c r="B299" s="735"/>
      <c r="C299" s="897"/>
      <c r="D299" s="872"/>
      <c r="E299" s="780" t="s">
        <v>999</v>
      </c>
      <c r="F299" s="753"/>
      <c r="G299" s="753"/>
      <c r="H299" s="753"/>
      <c r="I299" s="873"/>
      <c r="J299" s="993">
        <f>SUM(K299:R299)</f>
        <v>-19026</v>
      </c>
      <c r="K299" s="875">
        <f t="shared" ref="K299:R299" si="46">SUM(K192:K192,K207:K207,K212:K212,K217:K217,K224:K224,K229:K229,K234:K234,K242:K242,K247:K247,K253:K253,K258:K258,K264:K264,K269:K269,K275:K275,)+K279+K283+K287+K290</f>
        <v>-16149</v>
      </c>
      <c r="L299" s="875">
        <f t="shared" si="46"/>
        <v>-2877</v>
      </c>
      <c r="M299" s="875">
        <f t="shared" si="46"/>
        <v>0</v>
      </c>
      <c r="N299" s="875">
        <f t="shared" si="46"/>
        <v>0</v>
      </c>
      <c r="O299" s="875">
        <f t="shared" si="46"/>
        <v>0</v>
      </c>
      <c r="P299" s="875">
        <f t="shared" si="46"/>
        <v>0</v>
      </c>
      <c r="Q299" s="875">
        <f t="shared" si="46"/>
        <v>0</v>
      </c>
      <c r="R299" s="876">
        <f t="shared" si="46"/>
        <v>0</v>
      </c>
      <c r="S299" s="92"/>
      <c r="T299" s="92"/>
      <c r="U299" s="92"/>
      <c r="V299" s="92"/>
      <c r="W299" s="92"/>
      <c r="X299" s="92"/>
      <c r="Y299" s="92"/>
      <c r="Z299" s="92"/>
      <c r="AA299" s="92"/>
      <c r="AB299" s="92"/>
      <c r="AC299" s="92"/>
      <c r="AD299" s="92"/>
      <c r="AE299" s="92"/>
    </row>
    <row r="300" spans="1:31" s="30" customFormat="1" ht="18" customHeight="1" thickBot="1" x14ac:dyDescent="0.35">
      <c r="A300" s="709">
        <v>290</v>
      </c>
      <c r="B300" s="804"/>
      <c r="C300" s="949"/>
      <c r="D300" s="950"/>
      <c r="E300" s="815" t="s">
        <v>1116</v>
      </c>
      <c r="F300" s="951"/>
      <c r="G300" s="951"/>
      <c r="H300" s="951"/>
      <c r="I300" s="952"/>
      <c r="J300" s="953">
        <f>SUM(K300:R300)</f>
        <v>1887348</v>
      </c>
      <c r="K300" s="954">
        <f>SUM(K298:K299)</f>
        <v>1179887</v>
      </c>
      <c r="L300" s="954">
        <f t="shared" ref="L300:R300" si="47">SUM(L298:L299)</f>
        <v>235396</v>
      </c>
      <c r="M300" s="954">
        <f t="shared" si="47"/>
        <v>439478</v>
      </c>
      <c r="N300" s="954">
        <f t="shared" si="47"/>
        <v>0</v>
      </c>
      <c r="O300" s="954">
        <f t="shared" si="47"/>
        <v>0</v>
      </c>
      <c r="P300" s="954">
        <f t="shared" si="47"/>
        <v>32587</v>
      </c>
      <c r="Q300" s="954">
        <f t="shared" si="47"/>
        <v>0</v>
      </c>
      <c r="R300" s="955">
        <f t="shared" si="47"/>
        <v>0</v>
      </c>
      <c r="S300" s="92"/>
      <c r="T300" s="92"/>
      <c r="U300" s="92"/>
      <c r="V300" s="92"/>
      <c r="W300" s="92"/>
      <c r="X300" s="92"/>
      <c r="Y300" s="92"/>
      <c r="Z300" s="92"/>
      <c r="AA300" s="92"/>
      <c r="AB300" s="92"/>
      <c r="AC300" s="92"/>
      <c r="AD300" s="92"/>
      <c r="AE300" s="92"/>
    </row>
    <row r="301" spans="1:31" s="30" customFormat="1" ht="30" customHeight="1" x14ac:dyDescent="0.2">
      <c r="A301" s="709">
        <v>291</v>
      </c>
      <c r="B301" s="1979" t="s">
        <v>13</v>
      </c>
      <c r="C301" s="1980"/>
      <c r="D301" s="1980"/>
      <c r="E301" s="1981"/>
      <c r="F301" s="994"/>
      <c r="G301" s="817">
        <f>SUM(G296,G183)</f>
        <v>7353582</v>
      </c>
      <c r="H301" s="817">
        <f>SUM(H296,H183)</f>
        <v>7596089</v>
      </c>
      <c r="I301" s="995">
        <f>SUM(I296,I183)</f>
        <v>8054296</v>
      </c>
      <c r="J301" s="996"/>
      <c r="K301" s="817"/>
      <c r="L301" s="817"/>
      <c r="M301" s="817"/>
      <c r="N301" s="817"/>
      <c r="O301" s="817"/>
      <c r="P301" s="817"/>
      <c r="Q301" s="817"/>
      <c r="R301" s="997"/>
      <c r="S301" s="92"/>
      <c r="T301" s="92"/>
      <c r="U301" s="92"/>
      <c r="V301" s="92"/>
      <c r="W301" s="92"/>
      <c r="X301" s="92"/>
      <c r="Y301" s="92"/>
      <c r="Z301" s="92"/>
      <c r="AA301" s="92"/>
      <c r="AB301" s="92"/>
      <c r="AC301" s="92"/>
      <c r="AD301" s="92"/>
      <c r="AE301" s="92"/>
    </row>
    <row r="302" spans="1:31" s="38" customFormat="1" ht="22.5" customHeight="1" x14ac:dyDescent="0.3">
      <c r="A302" s="709">
        <v>292</v>
      </c>
      <c r="B302" s="800"/>
      <c r="C302" s="756"/>
      <c r="D302" s="885"/>
      <c r="E302" s="987" t="s">
        <v>311</v>
      </c>
      <c r="F302" s="988"/>
      <c r="G302" s="784"/>
      <c r="H302" s="784"/>
      <c r="I302" s="886"/>
      <c r="J302" s="887">
        <f>SUM(K302:R302)</f>
        <v>8038573</v>
      </c>
      <c r="K302" s="989">
        <f t="shared" ref="K302:R302" si="48">SUM(K297,K184)</f>
        <v>4439418</v>
      </c>
      <c r="L302" s="989">
        <f t="shared" si="48"/>
        <v>851687</v>
      </c>
      <c r="M302" s="989">
        <f t="shared" si="48"/>
        <v>2680254</v>
      </c>
      <c r="N302" s="989">
        <f t="shared" si="48"/>
        <v>0</v>
      </c>
      <c r="O302" s="989">
        <f t="shared" si="48"/>
        <v>178</v>
      </c>
      <c r="P302" s="989">
        <f t="shared" si="48"/>
        <v>67036</v>
      </c>
      <c r="Q302" s="989">
        <f t="shared" si="48"/>
        <v>0</v>
      </c>
      <c r="R302" s="990">
        <f t="shared" si="48"/>
        <v>0</v>
      </c>
      <c r="S302" s="115"/>
      <c r="T302" s="115"/>
      <c r="U302" s="115"/>
      <c r="V302" s="115"/>
      <c r="W302" s="115"/>
      <c r="X302" s="115"/>
      <c r="Y302" s="115"/>
      <c r="Z302" s="115"/>
      <c r="AA302" s="115"/>
      <c r="AB302" s="115"/>
      <c r="AC302" s="115"/>
      <c r="AD302" s="115"/>
      <c r="AE302" s="115"/>
    </row>
    <row r="303" spans="1:31" s="282" customFormat="1" ht="18" customHeight="1" x14ac:dyDescent="0.3">
      <c r="A303" s="709">
        <v>293</v>
      </c>
      <c r="B303" s="800"/>
      <c r="C303" s="756"/>
      <c r="D303" s="885"/>
      <c r="E303" s="732" t="s">
        <v>1064</v>
      </c>
      <c r="F303" s="988"/>
      <c r="G303" s="784"/>
      <c r="H303" s="784"/>
      <c r="I303" s="886"/>
      <c r="J303" s="998">
        <f>SUM(K303:R303)</f>
        <v>8928975</v>
      </c>
      <c r="K303" s="991">
        <f>SUM(K298,K185)</f>
        <v>4639925</v>
      </c>
      <c r="L303" s="991">
        <f>SUM(L298,L185)</f>
        <v>909548</v>
      </c>
      <c r="M303" s="991">
        <f>SUM(M298,M185)</f>
        <v>3230887</v>
      </c>
      <c r="N303" s="991"/>
      <c r="O303" s="991">
        <f>SUM(O298,O185)</f>
        <v>357</v>
      </c>
      <c r="P303" s="991">
        <f>SUM(P298,P185)</f>
        <v>145103</v>
      </c>
      <c r="Q303" s="991">
        <f>SUM(Q298,Q185)</f>
        <v>3155</v>
      </c>
      <c r="R303" s="992">
        <f>SUM(R298,R185)</f>
        <v>0</v>
      </c>
      <c r="S303" s="296"/>
      <c r="T303" s="296"/>
      <c r="U303" s="296"/>
      <c r="V303" s="296"/>
      <c r="W303" s="296"/>
      <c r="X303" s="296"/>
      <c r="Y303" s="296"/>
      <c r="Z303" s="296"/>
      <c r="AA303" s="296"/>
      <c r="AB303" s="296"/>
      <c r="AC303" s="296"/>
      <c r="AD303" s="296"/>
      <c r="AE303" s="296"/>
    </row>
    <row r="304" spans="1:31" s="282" customFormat="1" ht="18" customHeight="1" x14ac:dyDescent="0.3">
      <c r="A304" s="709">
        <v>294</v>
      </c>
      <c r="B304" s="735"/>
      <c r="C304" s="897"/>
      <c r="D304" s="872"/>
      <c r="E304" s="780" t="s">
        <v>999</v>
      </c>
      <c r="F304" s="753"/>
      <c r="G304" s="753"/>
      <c r="H304" s="753"/>
      <c r="I304" s="873"/>
      <c r="J304" s="874">
        <f>SUM(K304:R304)</f>
        <v>56546</v>
      </c>
      <c r="K304" s="875">
        <f t="shared" ref="K304:R304" si="49">SUM(K186,K299)</f>
        <v>38300</v>
      </c>
      <c r="L304" s="875">
        <f t="shared" si="49"/>
        <v>4246</v>
      </c>
      <c r="M304" s="875">
        <f t="shared" si="49"/>
        <v>-9597</v>
      </c>
      <c r="N304" s="875">
        <f t="shared" si="49"/>
        <v>0</v>
      </c>
      <c r="O304" s="875">
        <f t="shared" si="49"/>
        <v>0</v>
      </c>
      <c r="P304" s="875">
        <f t="shared" si="49"/>
        <v>23597</v>
      </c>
      <c r="Q304" s="875">
        <f t="shared" si="49"/>
        <v>0</v>
      </c>
      <c r="R304" s="876">
        <f t="shared" si="49"/>
        <v>0</v>
      </c>
      <c r="S304" s="296"/>
      <c r="T304" s="296"/>
      <c r="U304" s="296"/>
      <c r="V304" s="296"/>
      <c r="W304" s="296"/>
      <c r="X304" s="296"/>
      <c r="Y304" s="296"/>
      <c r="Z304" s="296"/>
      <c r="AA304" s="296"/>
      <c r="AB304" s="296"/>
      <c r="AC304" s="296"/>
      <c r="AD304" s="296"/>
      <c r="AE304" s="296"/>
    </row>
    <row r="305" spans="1:31" s="36" customFormat="1" ht="18" customHeight="1" thickBot="1" x14ac:dyDescent="0.35">
      <c r="A305" s="709">
        <v>295</v>
      </c>
      <c r="B305" s="804"/>
      <c r="C305" s="949"/>
      <c r="D305" s="950"/>
      <c r="E305" s="815" t="s">
        <v>1116</v>
      </c>
      <c r="F305" s="951"/>
      <c r="G305" s="951"/>
      <c r="H305" s="951"/>
      <c r="I305" s="952"/>
      <c r="J305" s="953">
        <f>SUM(K305:R305)</f>
        <v>8985521</v>
      </c>
      <c r="K305" s="954">
        <f>SUM(K303:K304)</f>
        <v>4678225</v>
      </c>
      <c r="L305" s="954">
        <f t="shared" ref="L305:R305" si="50">SUM(L303:L304)</f>
        <v>913794</v>
      </c>
      <c r="M305" s="954">
        <f t="shared" si="50"/>
        <v>3221290</v>
      </c>
      <c r="N305" s="954">
        <f t="shared" si="50"/>
        <v>0</v>
      </c>
      <c r="O305" s="954">
        <f t="shared" si="50"/>
        <v>357</v>
      </c>
      <c r="P305" s="954">
        <f t="shared" si="50"/>
        <v>168700</v>
      </c>
      <c r="Q305" s="954">
        <f t="shared" si="50"/>
        <v>3155</v>
      </c>
      <c r="R305" s="955">
        <f t="shared" si="50"/>
        <v>0</v>
      </c>
      <c r="S305" s="79"/>
      <c r="T305" s="79"/>
      <c r="U305" s="79"/>
      <c r="V305" s="79"/>
      <c r="W305" s="79"/>
      <c r="X305" s="79"/>
      <c r="Y305" s="79"/>
      <c r="Z305" s="79"/>
      <c r="AA305" s="79"/>
      <c r="AB305" s="79"/>
      <c r="AC305" s="79"/>
      <c r="AD305" s="79"/>
      <c r="AE305" s="79"/>
    </row>
    <row r="306" spans="1:31" s="39" customFormat="1" ht="18" customHeight="1" x14ac:dyDescent="0.2">
      <c r="A306" s="709">
        <v>296</v>
      </c>
      <c r="B306" s="2024" t="s">
        <v>168</v>
      </c>
      <c r="C306" s="2025"/>
      <c r="D306" s="2025"/>
      <c r="E306" s="2026"/>
      <c r="F306" s="999"/>
      <c r="G306" s="947"/>
      <c r="H306" s="947"/>
      <c r="I306" s="1000"/>
      <c r="J306" s="1001"/>
      <c r="K306" s="947"/>
      <c r="L306" s="947"/>
      <c r="M306" s="947"/>
      <c r="N306" s="947"/>
      <c r="O306" s="947"/>
      <c r="P306" s="947"/>
      <c r="Q306" s="947"/>
      <c r="R306" s="948"/>
      <c r="S306" s="119"/>
      <c r="T306" s="119"/>
      <c r="U306" s="119"/>
      <c r="V306" s="119"/>
      <c r="W306" s="119"/>
      <c r="X306" s="119"/>
      <c r="Y306" s="119"/>
      <c r="Z306" s="119"/>
      <c r="AA306" s="119"/>
      <c r="AB306" s="119"/>
      <c r="AC306" s="119"/>
      <c r="AD306" s="119"/>
      <c r="AE306" s="119"/>
    </row>
    <row r="307" spans="1:31" s="38" customFormat="1" ht="36" customHeight="1" x14ac:dyDescent="0.2">
      <c r="A307" s="709">
        <v>297</v>
      </c>
      <c r="B307" s="2021" t="s">
        <v>169</v>
      </c>
      <c r="C307" s="2022"/>
      <c r="D307" s="2022"/>
      <c r="E307" s="2023"/>
      <c r="F307" s="2023"/>
      <c r="G307" s="882">
        <f>SUM(G92:G150,G87,G54,G178)</f>
        <v>4832764</v>
      </c>
      <c r="H307" s="882">
        <f>SUM(H92:H150,H87,H54,H178)</f>
        <v>5148329</v>
      </c>
      <c r="I307" s="1002">
        <f>SUM(I92:I150,I87,I54,I178)</f>
        <v>5457000</v>
      </c>
      <c r="J307" s="1003"/>
      <c r="K307" s="752"/>
      <c r="L307" s="752"/>
      <c r="M307" s="752"/>
      <c r="N307" s="752"/>
      <c r="O307" s="752"/>
      <c r="P307" s="752"/>
      <c r="Q307" s="752"/>
      <c r="R307" s="825"/>
      <c r="S307" s="115"/>
      <c r="T307" s="115"/>
      <c r="U307" s="115"/>
      <c r="V307" s="115"/>
      <c r="W307" s="115"/>
      <c r="X307" s="115"/>
      <c r="Y307" s="115"/>
      <c r="Z307" s="115"/>
      <c r="AA307" s="115"/>
      <c r="AB307" s="115"/>
      <c r="AC307" s="115"/>
      <c r="AD307" s="115"/>
      <c r="AE307" s="115"/>
    </row>
    <row r="308" spans="1:31" s="282" customFormat="1" ht="18" customHeight="1" x14ac:dyDescent="0.3">
      <c r="A308" s="709">
        <v>298</v>
      </c>
      <c r="B308" s="1004"/>
      <c r="C308" s="1005"/>
      <c r="D308" s="1005"/>
      <c r="E308" s="864" t="s">
        <v>311</v>
      </c>
      <c r="F308" s="1006"/>
      <c r="G308" s="1007"/>
      <c r="H308" s="1007"/>
      <c r="I308" s="1008"/>
      <c r="J308" s="977">
        <f>SUM(K308:R308)</f>
        <v>5482717</v>
      </c>
      <c r="K308" s="977">
        <f t="shared" ref="K308:R309" si="51">SUM(K55,K88,K93,K103,K108,K120,K133,K138,K150,K179,)</f>
        <v>2882682</v>
      </c>
      <c r="L308" s="977">
        <f t="shared" si="51"/>
        <v>565818</v>
      </c>
      <c r="M308" s="977">
        <f t="shared" si="51"/>
        <v>2006199</v>
      </c>
      <c r="N308" s="977">
        <f t="shared" si="51"/>
        <v>0</v>
      </c>
      <c r="O308" s="977">
        <f t="shared" si="51"/>
        <v>178</v>
      </c>
      <c r="P308" s="977">
        <f t="shared" si="51"/>
        <v>27840</v>
      </c>
      <c r="Q308" s="977">
        <f t="shared" si="51"/>
        <v>0</v>
      </c>
      <c r="R308" s="978">
        <f t="shared" si="51"/>
        <v>0</v>
      </c>
      <c r="S308" s="296"/>
      <c r="T308" s="296"/>
      <c r="U308" s="296"/>
      <c r="V308" s="296"/>
      <c r="W308" s="296"/>
      <c r="X308" s="296"/>
      <c r="Y308" s="296"/>
      <c r="Z308" s="296"/>
      <c r="AA308" s="296"/>
      <c r="AB308" s="296"/>
      <c r="AC308" s="296"/>
      <c r="AD308" s="296"/>
      <c r="AE308" s="296"/>
    </row>
    <row r="309" spans="1:31" s="282" customFormat="1" ht="18" customHeight="1" x14ac:dyDescent="0.3">
      <c r="A309" s="709">
        <v>299</v>
      </c>
      <c r="B309" s="1004"/>
      <c r="C309" s="1005"/>
      <c r="D309" s="1005"/>
      <c r="E309" s="732" t="s">
        <v>1064</v>
      </c>
      <c r="F309" s="1006"/>
      <c r="G309" s="1007"/>
      <c r="H309" s="1007"/>
      <c r="I309" s="1009"/>
      <c r="J309" s="1003">
        <f>SUM(K309:R309)</f>
        <v>5947786</v>
      </c>
      <c r="K309" s="974">
        <f t="shared" si="51"/>
        <v>2987573</v>
      </c>
      <c r="L309" s="974">
        <f t="shared" si="51"/>
        <v>587491</v>
      </c>
      <c r="M309" s="974">
        <f t="shared" si="51"/>
        <v>2275493</v>
      </c>
      <c r="N309" s="974">
        <f t="shared" si="51"/>
        <v>0</v>
      </c>
      <c r="O309" s="974">
        <f t="shared" si="51"/>
        <v>357</v>
      </c>
      <c r="P309" s="974">
        <f t="shared" si="51"/>
        <v>93717</v>
      </c>
      <c r="Q309" s="974">
        <f t="shared" si="51"/>
        <v>3155</v>
      </c>
      <c r="R309" s="975">
        <f t="shared" si="51"/>
        <v>0</v>
      </c>
      <c r="S309" s="296"/>
      <c r="T309" s="296"/>
      <c r="U309" s="296"/>
      <c r="V309" s="296"/>
      <c r="W309" s="296"/>
      <c r="X309" s="296"/>
      <c r="Y309" s="296"/>
      <c r="Z309" s="296"/>
      <c r="AA309" s="296"/>
      <c r="AB309" s="296"/>
      <c r="AC309" s="296"/>
      <c r="AD309" s="296"/>
      <c r="AE309" s="296"/>
    </row>
    <row r="310" spans="1:31" s="36" customFormat="1" ht="18" customHeight="1" x14ac:dyDescent="0.3">
      <c r="A310" s="709">
        <v>300</v>
      </c>
      <c r="B310" s="735"/>
      <c r="C310" s="897"/>
      <c r="D310" s="872"/>
      <c r="E310" s="780" t="s">
        <v>999</v>
      </c>
      <c r="F310" s="753"/>
      <c r="G310" s="753"/>
      <c r="H310" s="753"/>
      <c r="I310" s="873"/>
      <c r="J310" s="874">
        <f>SUM(K310:R310)</f>
        <v>69595</v>
      </c>
      <c r="K310" s="875">
        <f>SUM(K57,K90,K95:K95,K105,K110:K112,K122:K124,K135,K140:K140,)+K181+K141+K142</f>
        <v>49174</v>
      </c>
      <c r="L310" s="875">
        <f t="shared" ref="L310:R310" si="52">SUM(L57,L90,L95:L95,L105,L110:L112,L122:L124,L135,L140:L140,)+L181+L141+L142</f>
        <v>6421</v>
      </c>
      <c r="M310" s="875">
        <f t="shared" si="52"/>
        <v>-3151</v>
      </c>
      <c r="N310" s="875">
        <f t="shared" si="52"/>
        <v>0</v>
      </c>
      <c r="O310" s="875">
        <f t="shared" si="52"/>
        <v>0</v>
      </c>
      <c r="P310" s="875">
        <f t="shared" si="52"/>
        <v>17151</v>
      </c>
      <c r="Q310" s="875">
        <f t="shared" si="52"/>
        <v>0</v>
      </c>
      <c r="R310" s="876">
        <f t="shared" si="52"/>
        <v>0</v>
      </c>
      <c r="S310" s="79"/>
      <c r="T310" s="79"/>
      <c r="U310" s="79"/>
      <c r="V310" s="79"/>
      <c r="W310" s="79"/>
      <c r="X310" s="79"/>
      <c r="Y310" s="79"/>
      <c r="Z310" s="79"/>
      <c r="AA310" s="79"/>
      <c r="AB310" s="79"/>
      <c r="AC310" s="79"/>
      <c r="AD310" s="79"/>
      <c r="AE310" s="79"/>
    </row>
    <row r="311" spans="1:31" s="39" customFormat="1" ht="18" customHeight="1" x14ac:dyDescent="0.3">
      <c r="A311" s="709">
        <v>301</v>
      </c>
      <c r="B311" s="1010"/>
      <c r="C311" s="1011"/>
      <c r="D311" s="1012"/>
      <c r="E311" s="1013" t="s">
        <v>1116</v>
      </c>
      <c r="F311" s="787"/>
      <c r="G311" s="787"/>
      <c r="H311" s="787"/>
      <c r="I311" s="1014"/>
      <c r="J311" s="998">
        <f>SUM(K311:R311)</f>
        <v>6017381</v>
      </c>
      <c r="K311" s="890">
        <f>SUM(K309:K310)</f>
        <v>3036747</v>
      </c>
      <c r="L311" s="890">
        <f t="shared" ref="L311:R311" si="53">SUM(L309:L310)</f>
        <v>593912</v>
      </c>
      <c r="M311" s="890">
        <f t="shared" si="53"/>
        <v>2272342</v>
      </c>
      <c r="N311" s="890">
        <f t="shared" si="53"/>
        <v>0</v>
      </c>
      <c r="O311" s="890">
        <f t="shared" si="53"/>
        <v>357</v>
      </c>
      <c r="P311" s="890">
        <f t="shared" si="53"/>
        <v>110868</v>
      </c>
      <c r="Q311" s="890">
        <f t="shared" si="53"/>
        <v>3155</v>
      </c>
      <c r="R311" s="896">
        <f t="shared" si="53"/>
        <v>0</v>
      </c>
      <c r="S311" s="119"/>
      <c r="T311" s="119"/>
      <c r="U311" s="119"/>
      <c r="V311" s="119"/>
      <c r="W311" s="119"/>
      <c r="X311" s="119"/>
      <c r="Y311" s="119"/>
      <c r="Z311" s="119"/>
      <c r="AA311" s="119"/>
      <c r="AB311" s="119"/>
      <c r="AC311" s="119"/>
      <c r="AD311" s="119"/>
      <c r="AE311" s="119"/>
    </row>
    <row r="312" spans="1:31" s="36" customFormat="1" ht="15" customHeight="1" x14ac:dyDescent="0.3">
      <c r="A312" s="709">
        <v>302</v>
      </c>
      <c r="B312" s="2021" t="s">
        <v>168</v>
      </c>
      <c r="C312" s="2022"/>
      <c r="D312" s="2022"/>
      <c r="E312" s="2023"/>
      <c r="F312" s="1015"/>
      <c r="G312" s="882"/>
      <c r="H312" s="882"/>
      <c r="I312" s="1002"/>
      <c r="J312" s="1016"/>
      <c r="K312" s="882"/>
      <c r="L312" s="882"/>
      <c r="M312" s="882"/>
      <c r="N312" s="882"/>
      <c r="O312" s="882"/>
      <c r="P312" s="882"/>
      <c r="Q312" s="882"/>
      <c r="R312" s="1017"/>
      <c r="S312" s="121"/>
      <c r="T312" s="79"/>
      <c r="U312" s="79"/>
      <c r="V312" s="79"/>
      <c r="W312" s="79"/>
      <c r="X312" s="79"/>
      <c r="Y312" s="79"/>
      <c r="Z312" s="79"/>
      <c r="AA312" s="79"/>
      <c r="AB312" s="79"/>
      <c r="AC312" s="79"/>
      <c r="AD312" s="79"/>
      <c r="AE312" s="79"/>
    </row>
    <row r="313" spans="1:31" s="36" customFormat="1" ht="15" customHeight="1" x14ac:dyDescent="0.3">
      <c r="A313" s="709">
        <v>303</v>
      </c>
      <c r="B313" s="2021" t="s">
        <v>170</v>
      </c>
      <c r="C313" s="2022"/>
      <c r="D313" s="2022"/>
      <c r="E313" s="2023"/>
      <c r="F313" s="2023"/>
      <c r="G313" s="882">
        <f>SUM(G151:G168)</f>
        <v>1061580</v>
      </c>
      <c r="H313" s="882">
        <f>SUM(H151:H168)</f>
        <v>874865</v>
      </c>
      <c r="I313" s="1002">
        <f>SUM(I151:I168)</f>
        <v>1014307</v>
      </c>
      <c r="J313" s="1016"/>
      <c r="K313" s="882"/>
      <c r="L313" s="882"/>
      <c r="M313" s="882"/>
      <c r="N313" s="882"/>
      <c r="O313" s="882"/>
      <c r="P313" s="882"/>
      <c r="Q313" s="882"/>
      <c r="R313" s="1017"/>
      <c r="S313" s="121"/>
      <c r="T313" s="79"/>
      <c r="U313" s="79"/>
      <c r="V313" s="79"/>
      <c r="W313" s="79"/>
      <c r="X313" s="79"/>
      <c r="Y313" s="79"/>
      <c r="Z313" s="79"/>
      <c r="AA313" s="79"/>
      <c r="AB313" s="79"/>
      <c r="AC313" s="79"/>
      <c r="AD313" s="79"/>
      <c r="AE313" s="79"/>
    </row>
    <row r="314" spans="1:31" s="290" customFormat="1" ht="15" customHeight="1" x14ac:dyDescent="0.3">
      <c r="A314" s="709">
        <v>304</v>
      </c>
      <c r="B314" s="1004"/>
      <c r="C314" s="1005"/>
      <c r="D314" s="1005"/>
      <c r="E314" s="864" t="s">
        <v>311</v>
      </c>
      <c r="F314" s="1006"/>
      <c r="G314" s="1007"/>
      <c r="H314" s="1007"/>
      <c r="I314" s="1009"/>
      <c r="J314" s="1018">
        <f>SUM(K314:R314)</f>
        <v>880295</v>
      </c>
      <c r="K314" s="977">
        <f t="shared" ref="K314:R315" si="54">SUM(K152,K158,K168)+K163</f>
        <v>419213</v>
      </c>
      <c r="L314" s="977">
        <f t="shared" si="54"/>
        <v>80016</v>
      </c>
      <c r="M314" s="977">
        <f t="shared" si="54"/>
        <v>376235</v>
      </c>
      <c r="N314" s="977">
        <f t="shared" si="54"/>
        <v>0</v>
      </c>
      <c r="O314" s="977">
        <f t="shared" si="54"/>
        <v>0</v>
      </c>
      <c r="P314" s="977">
        <f t="shared" si="54"/>
        <v>4831</v>
      </c>
      <c r="Q314" s="977">
        <f t="shared" si="54"/>
        <v>0</v>
      </c>
      <c r="R314" s="978">
        <f t="shared" si="54"/>
        <v>0</v>
      </c>
      <c r="S314" s="291"/>
      <c r="T314" s="289"/>
      <c r="U314" s="289"/>
      <c r="V314" s="289"/>
      <c r="W314" s="289"/>
      <c r="X314" s="289"/>
      <c r="Y314" s="289"/>
      <c r="Z314" s="289"/>
      <c r="AA314" s="289"/>
      <c r="AB314" s="289"/>
      <c r="AC314" s="289"/>
      <c r="AD314" s="289"/>
      <c r="AE314" s="289"/>
    </row>
    <row r="315" spans="1:31" s="290" customFormat="1" ht="15" customHeight="1" x14ac:dyDescent="0.3">
      <c r="A315" s="709">
        <v>305</v>
      </c>
      <c r="B315" s="1004"/>
      <c r="C315" s="1005"/>
      <c r="D315" s="1005"/>
      <c r="E315" s="732" t="s">
        <v>1064</v>
      </c>
      <c r="F315" s="1006"/>
      <c r="G315" s="1007"/>
      <c r="H315" s="1007"/>
      <c r="I315" s="1009"/>
      <c r="J315" s="1003">
        <f>SUM(K315:R315)</f>
        <v>1074815</v>
      </c>
      <c r="K315" s="974">
        <f t="shared" si="54"/>
        <v>456316</v>
      </c>
      <c r="L315" s="974">
        <f t="shared" si="54"/>
        <v>83784</v>
      </c>
      <c r="M315" s="974">
        <f t="shared" si="54"/>
        <v>515916</v>
      </c>
      <c r="N315" s="974">
        <f t="shared" si="54"/>
        <v>0</v>
      </c>
      <c r="O315" s="974">
        <f t="shared" si="54"/>
        <v>0</v>
      </c>
      <c r="P315" s="974">
        <f t="shared" si="54"/>
        <v>18799</v>
      </c>
      <c r="Q315" s="974">
        <f t="shared" si="54"/>
        <v>0</v>
      </c>
      <c r="R315" s="975">
        <f t="shared" si="54"/>
        <v>0</v>
      </c>
      <c r="S315" s="291"/>
      <c r="T315" s="289"/>
      <c r="U315" s="289"/>
      <c r="V315" s="289"/>
      <c r="W315" s="289"/>
      <c r="X315" s="289"/>
      <c r="Y315" s="289"/>
      <c r="Z315" s="289"/>
      <c r="AA315" s="289"/>
      <c r="AB315" s="289"/>
      <c r="AC315" s="289"/>
      <c r="AD315" s="289"/>
      <c r="AE315" s="289"/>
    </row>
    <row r="316" spans="1:31" s="36" customFormat="1" ht="18" customHeight="1" x14ac:dyDescent="0.3">
      <c r="A316" s="709">
        <v>306</v>
      </c>
      <c r="B316" s="735"/>
      <c r="C316" s="897"/>
      <c r="D316" s="872"/>
      <c r="E316" s="780" t="s">
        <v>999</v>
      </c>
      <c r="F316" s="753"/>
      <c r="G316" s="753"/>
      <c r="H316" s="753"/>
      <c r="I316" s="873"/>
      <c r="J316" s="874">
        <f>SUM(K316:R316)</f>
        <v>5977</v>
      </c>
      <c r="K316" s="875">
        <f>SUM(K154:K155,K160,K165,K170:K171)</f>
        <v>5275</v>
      </c>
      <c r="L316" s="875">
        <f t="shared" ref="L316:R316" si="55">SUM(L154:L155,L160,L165,L170:L171)</f>
        <v>702</v>
      </c>
      <c r="M316" s="875">
        <f t="shared" si="55"/>
        <v>-6446</v>
      </c>
      <c r="N316" s="875">
        <f t="shared" si="55"/>
        <v>0</v>
      </c>
      <c r="O316" s="875">
        <f t="shared" si="55"/>
        <v>0</v>
      </c>
      <c r="P316" s="875">
        <f t="shared" si="55"/>
        <v>6446</v>
      </c>
      <c r="Q316" s="875">
        <f t="shared" si="55"/>
        <v>0</v>
      </c>
      <c r="R316" s="876">
        <f t="shared" si="55"/>
        <v>0</v>
      </c>
      <c r="S316" s="79"/>
      <c r="T316" s="79"/>
      <c r="U316" s="79"/>
      <c r="V316" s="79"/>
      <c r="W316" s="79"/>
      <c r="X316" s="79"/>
      <c r="Y316" s="79"/>
      <c r="Z316" s="79"/>
      <c r="AA316" s="79"/>
      <c r="AB316" s="79"/>
      <c r="AC316" s="79"/>
      <c r="AD316" s="79"/>
      <c r="AE316" s="79"/>
    </row>
    <row r="317" spans="1:31" s="39" customFormat="1" ht="18" customHeight="1" x14ac:dyDescent="0.3">
      <c r="A317" s="709">
        <v>307</v>
      </c>
      <c r="B317" s="1010"/>
      <c r="C317" s="1011"/>
      <c r="D317" s="1012"/>
      <c r="E317" s="1013" t="s">
        <v>1116</v>
      </c>
      <c r="F317" s="787"/>
      <c r="G317" s="787"/>
      <c r="H317" s="787"/>
      <c r="I317" s="1014"/>
      <c r="J317" s="998">
        <f>SUM(K317:R317)</f>
        <v>1080792</v>
      </c>
      <c r="K317" s="890">
        <f>SUM(K315:K316)</f>
        <v>461591</v>
      </c>
      <c r="L317" s="890">
        <f t="shared" ref="L317:R317" si="56">SUM(L315:L316)</f>
        <v>84486</v>
      </c>
      <c r="M317" s="890">
        <f t="shared" si="56"/>
        <v>509470</v>
      </c>
      <c r="N317" s="890">
        <f t="shared" si="56"/>
        <v>0</v>
      </c>
      <c r="O317" s="890">
        <f t="shared" si="56"/>
        <v>0</v>
      </c>
      <c r="P317" s="890">
        <f t="shared" si="56"/>
        <v>25245</v>
      </c>
      <c r="Q317" s="890">
        <f t="shared" si="56"/>
        <v>0</v>
      </c>
      <c r="R317" s="896">
        <f t="shared" si="56"/>
        <v>0</v>
      </c>
      <c r="S317" s="119"/>
      <c r="T317" s="119"/>
      <c r="U317" s="119"/>
      <c r="V317" s="119"/>
      <c r="W317" s="119"/>
      <c r="X317" s="119"/>
      <c r="Y317" s="119"/>
      <c r="Z317" s="119"/>
      <c r="AA317" s="119"/>
      <c r="AB317" s="119"/>
      <c r="AC317" s="119"/>
      <c r="AD317" s="119"/>
      <c r="AE317" s="119"/>
    </row>
    <row r="318" spans="1:31" s="36" customFormat="1" ht="15" customHeight="1" x14ac:dyDescent="0.3">
      <c r="A318" s="709">
        <v>308</v>
      </c>
      <c r="B318" s="2021" t="s">
        <v>168</v>
      </c>
      <c r="C318" s="2022"/>
      <c r="D318" s="2022"/>
      <c r="E318" s="2023"/>
      <c r="F318" s="1015"/>
      <c r="G318" s="882"/>
      <c r="H318" s="882"/>
      <c r="I318" s="1002"/>
      <c r="J318" s="1016"/>
      <c r="K318" s="974"/>
      <c r="L318" s="974"/>
      <c r="M318" s="974"/>
      <c r="N318" s="974"/>
      <c r="O318" s="974"/>
      <c r="P318" s="974"/>
      <c r="Q318" s="974"/>
      <c r="R318" s="975"/>
      <c r="S318" s="121"/>
      <c r="T318" s="79"/>
      <c r="U318" s="79"/>
      <c r="V318" s="79"/>
      <c r="W318" s="79"/>
      <c r="X318" s="79"/>
      <c r="Y318" s="79"/>
      <c r="Z318" s="79"/>
      <c r="AA318" s="79"/>
      <c r="AB318" s="79"/>
      <c r="AC318" s="79"/>
      <c r="AD318" s="79"/>
      <c r="AE318" s="79"/>
    </row>
    <row r="319" spans="1:31" s="36" customFormat="1" ht="15" customHeight="1" x14ac:dyDescent="0.3">
      <c r="A319" s="709">
        <v>309</v>
      </c>
      <c r="B319" s="2018" t="s">
        <v>171</v>
      </c>
      <c r="C319" s="2019"/>
      <c r="D319" s="2019"/>
      <c r="E319" s="2020"/>
      <c r="F319" s="2020"/>
      <c r="G319" s="883">
        <f>SUM(G296)</f>
        <v>1459238</v>
      </c>
      <c r="H319" s="883">
        <f>SUM(H296)</f>
        <v>1572895</v>
      </c>
      <c r="I319" s="1019">
        <f>SUM(I296)</f>
        <v>1582989</v>
      </c>
      <c r="J319" s="1016"/>
      <c r="K319" s="882"/>
      <c r="L319" s="882"/>
      <c r="M319" s="882"/>
      <c r="N319" s="882"/>
      <c r="O319" s="882"/>
      <c r="P319" s="882"/>
      <c r="Q319" s="882"/>
      <c r="R319" s="1017"/>
      <c r="S319" s="121"/>
      <c r="T319" s="79"/>
      <c r="U319" s="79"/>
      <c r="V319" s="79"/>
      <c r="W319" s="79"/>
      <c r="X319" s="79"/>
      <c r="Y319" s="79"/>
      <c r="Z319" s="79"/>
      <c r="AA319" s="79"/>
      <c r="AB319" s="79"/>
      <c r="AC319" s="79"/>
      <c r="AD319" s="79"/>
      <c r="AE319" s="79"/>
    </row>
    <row r="320" spans="1:31" s="290" customFormat="1" ht="15" customHeight="1" x14ac:dyDescent="0.3">
      <c r="A320" s="709">
        <v>310</v>
      </c>
      <c r="B320" s="1020"/>
      <c r="C320" s="1021"/>
      <c r="D320" s="1021"/>
      <c r="E320" s="813" t="s">
        <v>311</v>
      </c>
      <c r="F320" s="1022"/>
      <c r="G320" s="1023"/>
      <c r="H320" s="1023"/>
      <c r="I320" s="1024"/>
      <c r="J320" s="1025">
        <f>SUM(K320:R320)</f>
        <v>1675561</v>
      </c>
      <c r="K320" s="989">
        <f>K297</f>
        <v>1137523</v>
      </c>
      <c r="L320" s="989">
        <f t="shared" ref="L320:R321" si="57">L297</f>
        <v>205853</v>
      </c>
      <c r="M320" s="989">
        <f t="shared" si="57"/>
        <v>297820</v>
      </c>
      <c r="N320" s="989">
        <f t="shared" si="57"/>
        <v>0</v>
      </c>
      <c r="O320" s="989">
        <f t="shared" si="57"/>
        <v>0</v>
      </c>
      <c r="P320" s="989">
        <f t="shared" si="57"/>
        <v>34365</v>
      </c>
      <c r="Q320" s="989">
        <f t="shared" si="57"/>
        <v>0</v>
      </c>
      <c r="R320" s="990">
        <f t="shared" si="57"/>
        <v>0</v>
      </c>
      <c r="S320" s="291"/>
      <c r="T320" s="289"/>
      <c r="U320" s="289"/>
      <c r="V320" s="289"/>
      <c r="W320" s="289"/>
      <c r="X320" s="289"/>
      <c r="Y320" s="289"/>
      <c r="Z320" s="289"/>
      <c r="AA320" s="289"/>
      <c r="AB320" s="289"/>
      <c r="AC320" s="289"/>
      <c r="AD320" s="289"/>
      <c r="AE320" s="289"/>
    </row>
    <row r="321" spans="1:31" s="290" customFormat="1" ht="15" customHeight="1" x14ac:dyDescent="0.3">
      <c r="A321" s="709">
        <v>311</v>
      </c>
      <c r="B321" s="1020"/>
      <c r="C321" s="1021"/>
      <c r="D321" s="1021"/>
      <c r="E321" s="732" t="s">
        <v>1064</v>
      </c>
      <c r="F321" s="1022"/>
      <c r="G321" s="1023"/>
      <c r="H321" s="1023"/>
      <c r="I321" s="1024"/>
      <c r="J321" s="1026">
        <f>SUM(K321:R321)</f>
        <v>1906374</v>
      </c>
      <c r="K321" s="991">
        <f>K298</f>
        <v>1196036</v>
      </c>
      <c r="L321" s="991">
        <f t="shared" si="57"/>
        <v>238273</v>
      </c>
      <c r="M321" s="991">
        <f t="shared" si="57"/>
        <v>439478</v>
      </c>
      <c r="N321" s="991">
        <f t="shared" si="57"/>
        <v>0</v>
      </c>
      <c r="O321" s="991">
        <f t="shared" si="57"/>
        <v>0</v>
      </c>
      <c r="P321" s="991">
        <f t="shared" si="57"/>
        <v>32587</v>
      </c>
      <c r="Q321" s="991">
        <f t="shared" si="57"/>
        <v>0</v>
      </c>
      <c r="R321" s="992">
        <f t="shared" si="57"/>
        <v>0</v>
      </c>
      <c r="S321" s="291"/>
      <c r="T321" s="289"/>
      <c r="U321" s="289"/>
      <c r="V321" s="289"/>
      <c r="W321" s="289"/>
      <c r="X321" s="289"/>
      <c r="Y321" s="289"/>
      <c r="Z321" s="289"/>
      <c r="AA321" s="289"/>
      <c r="AB321" s="289"/>
      <c r="AC321" s="289"/>
      <c r="AD321" s="289"/>
      <c r="AE321" s="289"/>
    </row>
    <row r="322" spans="1:31" s="36" customFormat="1" ht="18" customHeight="1" x14ac:dyDescent="0.3">
      <c r="A322" s="709">
        <v>312</v>
      </c>
      <c r="B322" s="735"/>
      <c r="C322" s="897"/>
      <c r="D322" s="872"/>
      <c r="E322" s="780" t="s">
        <v>999</v>
      </c>
      <c r="F322" s="753"/>
      <c r="G322" s="753"/>
      <c r="H322" s="753"/>
      <c r="I322" s="873"/>
      <c r="J322" s="874">
        <f>SUM(K322:R322)</f>
        <v>-19026</v>
      </c>
      <c r="K322" s="875">
        <f>SUM(K299)</f>
        <v>-16149</v>
      </c>
      <c r="L322" s="875">
        <f t="shared" ref="L322:R322" si="58">SUM(L299)</f>
        <v>-2877</v>
      </c>
      <c r="M322" s="875">
        <f t="shared" si="58"/>
        <v>0</v>
      </c>
      <c r="N322" s="875">
        <f t="shared" si="58"/>
        <v>0</v>
      </c>
      <c r="O322" s="875">
        <f t="shared" si="58"/>
        <v>0</v>
      </c>
      <c r="P322" s="875">
        <f t="shared" si="58"/>
        <v>0</v>
      </c>
      <c r="Q322" s="875">
        <f t="shared" si="58"/>
        <v>0</v>
      </c>
      <c r="R322" s="876">
        <f t="shared" si="58"/>
        <v>0</v>
      </c>
      <c r="S322" s="79"/>
      <c r="T322" s="79"/>
      <c r="U322" s="79"/>
      <c r="V322" s="79"/>
      <c r="W322" s="79"/>
      <c r="X322" s="79"/>
      <c r="Y322" s="79"/>
      <c r="Z322" s="79"/>
      <c r="AA322" s="79"/>
      <c r="AB322" s="79"/>
      <c r="AC322" s="79"/>
      <c r="AD322" s="79"/>
      <c r="AE322" s="79"/>
    </row>
    <row r="323" spans="1:31" s="39" customFormat="1" ht="18" customHeight="1" thickBot="1" x14ac:dyDescent="0.35">
      <c r="A323" s="709">
        <v>313</v>
      </c>
      <c r="B323" s="804"/>
      <c r="C323" s="949"/>
      <c r="D323" s="950"/>
      <c r="E323" s="815" t="s">
        <v>1116</v>
      </c>
      <c r="F323" s="951"/>
      <c r="G323" s="951"/>
      <c r="H323" s="951"/>
      <c r="I323" s="952"/>
      <c r="J323" s="953">
        <f>SUM(K323:R323)</f>
        <v>1887348</v>
      </c>
      <c r="K323" s="954">
        <f>SUM(K321:K322)</f>
        <v>1179887</v>
      </c>
      <c r="L323" s="954">
        <f t="shared" ref="L323:R323" si="59">SUM(L321:L322)</f>
        <v>235396</v>
      </c>
      <c r="M323" s="954">
        <f t="shared" si="59"/>
        <v>439478</v>
      </c>
      <c r="N323" s="954">
        <f t="shared" si="59"/>
        <v>0</v>
      </c>
      <c r="O323" s="954">
        <f t="shared" si="59"/>
        <v>0</v>
      </c>
      <c r="P323" s="954">
        <f t="shared" si="59"/>
        <v>32587</v>
      </c>
      <c r="Q323" s="954">
        <f t="shared" si="59"/>
        <v>0</v>
      </c>
      <c r="R323" s="955">
        <f t="shared" si="59"/>
        <v>0</v>
      </c>
      <c r="S323" s="119"/>
      <c r="T323" s="119"/>
      <c r="U323" s="119"/>
      <c r="V323" s="119"/>
      <c r="W323" s="119"/>
      <c r="X323" s="119"/>
      <c r="Y323" s="119"/>
      <c r="Z323" s="119"/>
      <c r="AA323" s="119"/>
      <c r="AB323" s="119"/>
      <c r="AC323" s="119"/>
      <c r="AD323" s="119"/>
      <c r="AE323" s="119"/>
    </row>
  </sheetData>
  <mergeCells count="39">
    <mergeCell ref="C296:E296"/>
    <mergeCell ref="B301:E301"/>
    <mergeCell ref="B319:F319"/>
    <mergeCell ref="B312:E312"/>
    <mergeCell ref="B313:F313"/>
    <mergeCell ref="B318:E318"/>
    <mergeCell ref="B306:E306"/>
    <mergeCell ref="B307:F307"/>
    <mergeCell ref="D44:E44"/>
    <mergeCell ref="D49:E49"/>
    <mergeCell ref="D250:E250"/>
    <mergeCell ref="D272:E272"/>
    <mergeCell ref="D295:E295"/>
    <mergeCell ref="C87:E87"/>
    <mergeCell ref="D150:E150"/>
    <mergeCell ref="D162:E162"/>
    <mergeCell ref="C173:E173"/>
    <mergeCell ref="B183:E183"/>
    <mergeCell ref="D219:E219"/>
    <mergeCell ref="D221:E221"/>
    <mergeCell ref="D226:E226"/>
    <mergeCell ref="D237:E237"/>
    <mergeCell ref="D239:E239"/>
    <mergeCell ref="C54:E54"/>
    <mergeCell ref="B1:G1"/>
    <mergeCell ref="B5:R5"/>
    <mergeCell ref="B6:R6"/>
    <mergeCell ref="K9:O9"/>
    <mergeCell ref="P9:R9"/>
    <mergeCell ref="H9:H10"/>
    <mergeCell ref="I9:I10"/>
    <mergeCell ref="J9:J10"/>
    <mergeCell ref="Q7:R7"/>
    <mergeCell ref="D8:E8"/>
    <mergeCell ref="F9:F10"/>
    <mergeCell ref="G9:G10"/>
    <mergeCell ref="B9:B10"/>
    <mergeCell ref="C9:C10"/>
    <mergeCell ref="D9:E10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58" fitToHeight="0" orientation="landscape" r:id="rId1"/>
  <headerFooter alignWithMargins="0">
    <oddFooter>&amp;C - &amp;P -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P126"/>
  <sheetViews>
    <sheetView view="pageBreakPreview" zoomScaleNormal="100" zoomScaleSheetLayoutView="100" workbookViewId="0">
      <selection activeCell="C11" sqref="C11:D11"/>
    </sheetView>
  </sheetViews>
  <sheetFormatPr defaultColWidth="9.140625" defaultRowHeight="15" x14ac:dyDescent="0.3"/>
  <cols>
    <col min="1" max="1" width="3.7109375" style="312" customWidth="1"/>
    <col min="2" max="2" width="5.7109375" style="304" customWidth="1"/>
    <col min="3" max="3" width="5.7109375" style="305" customWidth="1"/>
    <col min="4" max="4" width="59.7109375" style="306" customWidth="1"/>
    <col min="5" max="5" width="6.7109375" style="307" customWidth="1"/>
    <col min="6" max="7" width="13.7109375" style="326" customWidth="1"/>
    <col min="8" max="8" width="13.7109375" style="308" customWidth="1"/>
    <col min="9" max="9" width="15.7109375" style="308" customWidth="1"/>
    <col min="10" max="10" width="9.140625" style="309"/>
    <col min="11" max="11" width="14.140625" style="309" customWidth="1"/>
    <col min="12" max="16384" width="9.140625" style="309"/>
  </cols>
  <sheetData>
    <row r="1" spans="1:250" s="302" customFormat="1" ht="18" customHeight="1" x14ac:dyDescent="0.3">
      <c r="A1" s="356"/>
      <c r="B1" s="2028" t="s">
        <v>972</v>
      </c>
      <c r="C1" s="2028"/>
      <c r="D1" s="2028"/>
      <c r="E1" s="357"/>
      <c r="F1" s="358"/>
      <c r="G1" s="358"/>
      <c r="H1" s="359"/>
      <c r="I1" s="301"/>
      <c r="J1" s="360"/>
      <c r="K1" s="360"/>
      <c r="L1" s="360"/>
      <c r="M1" s="360"/>
      <c r="N1" s="360"/>
      <c r="O1" s="360"/>
      <c r="P1" s="360"/>
      <c r="Q1" s="360"/>
      <c r="R1" s="360"/>
      <c r="S1" s="360"/>
      <c r="T1" s="360"/>
      <c r="U1" s="360"/>
      <c r="V1" s="360"/>
      <c r="W1" s="360"/>
      <c r="X1" s="360"/>
      <c r="Y1" s="360"/>
      <c r="Z1" s="360"/>
      <c r="AA1" s="360"/>
      <c r="AB1" s="360"/>
      <c r="AC1" s="360"/>
      <c r="AD1" s="360"/>
      <c r="AE1" s="360"/>
      <c r="AF1" s="360"/>
      <c r="AG1" s="360"/>
      <c r="AH1" s="360"/>
      <c r="AI1" s="360"/>
      <c r="AJ1" s="360"/>
      <c r="AK1" s="360"/>
      <c r="AL1" s="360"/>
      <c r="AM1" s="360"/>
      <c r="AN1" s="360"/>
      <c r="AO1" s="360"/>
      <c r="AP1" s="360"/>
      <c r="AQ1" s="360"/>
      <c r="AR1" s="360"/>
      <c r="AS1" s="360"/>
      <c r="AT1" s="360"/>
      <c r="AU1" s="360"/>
      <c r="AV1" s="360"/>
      <c r="AW1" s="360"/>
      <c r="AX1" s="360"/>
      <c r="AY1" s="360"/>
      <c r="AZ1" s="360"/>
      <c r="BA1" s="360"/>
      <c r="BB1" s="360"/>
      <c r="BC1" s="360"/>
      <c r="BD1" s="360"/>
      <c r="BE1" s="360"/>
      <c r="BF1" s="360"/>
      <c r="BG1" s="360"/>
      <c r="BH1" s="360"/>
      <c r="BI1" s="360"/>
      <c r="BJ1" s="360"/>
      <c r="BK1" s="360"/>
      <c r="BL1" s="360"/>
      <c r="BM1" s="360"/>
      <c r="BN1" s="360"/>
      <c r="BO1" s="360"/>
      <c r="BP1" s="360"/>
      <c r="BQ1" s="360"/>
      <c r="BR1" s="360"/>
      <c r="BS1" s="360"/>
      <c r="BT1" s="360"/>
      <c r="BU1" s="360"/>
      <c r="BV1" s="360"/>
      <c r="BW1" s="360"/>
      <c r="BX1" s="360"/>
      <c r="BY1" s="360"/>
      <c r="BZ1" s="360"/>
      <c r="CA1" s="360"/>
      <c r="CB1" s="360"/>
      <c r="CC1" s="360"/>
      <c r="CD1" s="360"/>
      <c r="CE1" s="360"/>
      <c r="CF1" s="360"/>
      <c r="CG1" s="360"/>
      <c r="CH1" s="360"/>
      <c r="CI1" s="360"/>
      <c r="CJ1" s="360"/>
      <c r="CK1" s="360"/>
      <c r="CL1" s="360"/>
      <c r="CM1" s="360"/>
      <c r="CN1" s="360"/>
      <c r="CO1" s="360"/>
      <c r="CP1" s="360"/>
      <c r="CQ1" s="360"/>
      <c r="CR1" s="360"/>
      <c r="CS1" s="360"/>
      <c r="CT1" s="360"/>
      <c r="CU1" s="360"/>
      <c r="CV1" s="360"/>
      <c r="CW1" s="360"/>
      <c r="CX1" s="360"/>
      <c r="CY1" s="360"/>
      <c r="CZ1" s="360"/>
      <c r="DA1" s="360"/>
      <c r="DB1" s="360"/>
      <c r="DC1" s="360"/>
      <c r="DD1" s="360"/>
      <c r="DE1" s="360"/>
      <c r="DF1" s="360"/>
      <c r="DG1" s="360"/>
      <c r="DH1" s="360"/>
      <c r="DI1" s="360"/>
      <c r="DJ1" s="360"/>
      <c r="DK1" s="360"/>
      <c r="DL1" s="360"/>
      <c r="DM1" s="360"/>
      <c r="DN1" s="360"/>
      <c r="DO1" s="360"/>
      <c r="DP1" s="360"/>
      <c r="DQ1" s="360"/>
      <c r="DR1" s="360"/>
      <c r="DS1" s="360"/>
      <c r="DT1" s="360"/>
      <c r="DU1" s="360"/>
      <c r="DV1" s="360"/>
      <c r="DW1" s="360"/>
      <c r="DX1" s="360"/>
      <c r="DY1" s="360"/>
      <c r="DZ1" s="360"/>
      <c r="EA1" s="360"/>
      <c r="EB1" s="360"/>
      <c r="EC1" s="360"/>
      <c r="ED1" s="360"/>
      <c r="EE1" s="360"/>
      <c r="EF1" s="360"/>
      <c r="EG1" s="360"/>
      <c r="EH1" s="360"/>
      <c r="EI1" s="360"/>
      <c r="EJ1" s="360"/>
      <c r="EK1" s="360"/>
      <c r="EL1" s="360"/>
      <c r="EM1" s="360"/>
      <c r="EN1" s="360"/>
      <c r="EO1" s="360"/>
      <c r="EP1" s="360"/>
      <c r="EQ1" s="360"/>
      <c r="ER1" s="360"/>
      <c r="ES1" s="360"/>
      <c r="ET1" s="360"/>
      <c r="EU1" s="360"/>
      <c r="EV1" s="360"/>
      <c r="EW1" s="360"/>
      <c r="EX1" s="360"/>
      <c r="EY1" s="360"/>
      <c r="EZ1" s="360"/>
      <c r="FA1" s="360"/>
      <c r="FB1" s="360"/>
      <c r="FC1" s="360"/>
      <c r="FD1" s="360"/>
      <c r="FE1" s="360"/>
      <c r="FF1" s="360"/>
      <c r="FG1" s="360"/>
      <c r="FH1" s="360"/>
      <c r="FI1" s="360"/>
      <c r="FJ1" s="360"/>
      <c r="FK1" s="360"/>
      <c r="FL1" s="360"/>
      <c r="FM1" s="360"/>
      <c r="FN1" s="360"/>
      <c r="FO1" s="360"/>
      <c r="FP1" s="360"/>
      <c r="FQ1" s="360"/>
      <c r="FR1" s="360"/>
      <c r="FS1" s="360"/>
      <c r="FT1" s="360"/>
      <c r="FU1" s="360"/>
      <c r="FV1" s="360"/>
      <c r="FW1" s="360"/>
      <c r="FX1" s="360"/>
      <c r="FY1" s="360"/>
      <c r="FZ1" s="360"/>
      <c r="GA1" s="360"/>
      <c r="GB1" s="360"/>
      <c r="GC1" s="360"/>
      <c r="GD1" s="360"/>
      <c r="GE1" s="360"/>
      <c r="GF1" s="360"/>
      <c r="GG1" s="360"/>
      <c r="GH1" s="360"/>
      <c r="GI1" s="360"/>
      <c r="GJ1" s="360"/>
      <c r="GK1" s="360"/>
      <c r="GL1" s="360"/>
      <c r="GM1" s="360"/>
      <c r="GN1" s="360"/>
      <c r="GO1" s="360"/>
      <c r="GP1" s="360"/>
      <c r="GQ1" s="360"/>
      <c r="GR1" s="360"/>
      <c r="GS1" s="360"/>
      <c r="GT1" s="360"/>
      <c r="GU1" s="360"/>
      <c r="GV1" s="360"/>
      <c r="GW1" s="360"/>
      <c r="GX1" s="360"/>
      <c r="GY1" s="360"/>
      <c r="GZ1" s="360"/>
      <c r="HA1" s="360"/>
      <c r="HB1" s="360"/>
      <c r="HC1" s="360"/>
      <c r="HD1" s="360"/>
      <c r="HE1" s="360"/>
      <c r="HF1" s="360"/>
      <c r="HG1" s="360"/>
      <c r="HH1" s="360"/>
      <c r="HI1" s="360"/>
      <c r="HJ1" s="360"/>
      <c r="HK1" s="360"/>
      <c r="HL1" s="360"/>
      <c r="HM1" s="360"/>
      <c r="HN1" s="360"/>
      <c r="HO1" s="360"/>
      <c r="HP1" s="360"/>
      <c r="HQ1" s="360"/>
      <c r="HR1" s="360"/>
      <c r="HS1" s="360"/>
      <c r="HT1" s="360"/>
      <c r="HU1" s="360"/>
      <c r="HV1" s="360"/>
      <c r="HW1" s="360"/>
      <c r="HX1" s="360"/>
      <c r="HY1" s="360"/>
      <c r="HZ1" s="360"/>
      <c r="IA1" s="360"/>
      <c r="IB1" s="360"/>
      <c r="IC1" s="360"/>
      <c r="ID1" s="360"/>
      <c r="IE1" s="360"/>
      <c r="IF1" s="360"/>
      <c r="IG1" s="360"/>
      <c r="IH1" s="360"/>
      <c r="II1" s="360"/>
      <c r="IJ1" s="360"/>
      <c r="IK1" s="360"/>
      <c r="IL1" s="360"/>
      <c r="IM1" s="360"/>
    </row>
    <row r="2" spans="1:250" s="302" customFormat="1" ht="18" customHeight="1" x14ac:dyDescent="0.3">
      <c r="A2" s="356"/>
      <c r="B2" s="1936" t="s">
        <v>1044</v>
      </c>
      <c r="C2" s="1936"/>
      <c r="D2" s="1936"/>
      <c r="E2" s="1936"/>
      <c r="F2" s="1936"/>
      <c r="G2" s="358"/>
      <c r="H2" s="359"/>
      <c r="I2" s="301"/>
      <c r="J2" s="360"/>
      <c r="K2" s="360"/>
      <c r="L2" s="360"/>
      <c r="M2" s="360"/>
      <c r="N2" s="360"/>
      <c r="O2" s="360"/>
      <c r="P2" s="360"/>
      <c r="Q2" s="360"/>
      <c r="R2" s="360"/>
      <c r="S2" s="360"/>
      <c r="T2" s="360"/>
      <c r="U2" s="360"/>
      <c r="V2" s="360"/>
      <c r="W2" s="360"/>
      <c r="X2" s="360"/>
      <c r="Y2" s="360"/>
      <c r="Z2" s="360"/>
      <c r="AA2" s="360"/>
      <c r="AB2" s="360"/>
      <c r="AC2" s="360"/>
      <c r="AD2" s="360"/>
      <c r="AE2" s="360"/>
      <c r="AF2" s="360"/>
      <c r="AG2" s="360"/>
      <c r="AH2" s="360"/>
      <c r="AI2" s="360"/>
      <c r="AJ2" s="360"/>
      <c r="AK2" s="360"/>
      <c r="AL2" s="360"/>
      <c r="AM2" s="360"/>
      <c r="AN2" s="360"/>
      <c r="AO2" s="360"/>
      <c r="AP2" s="360"/>
      <c r="AQ2" s="360"/>
      <c r="AR2" s="360"/>
      <c r="AS2" s="360"/>
      <c r="AT2" s="360"/>
      <c r="AU2" s="360"/>
      <c r="AV2" s="360"/>
      <c r="AW2" s="360"/>
      <c r="AX2" s="360"/>
      <c r="AY2" s="360"/>
      <c r="AZ2" s="360"/>
      <c r="BA2" s="360"/>
      <c r="BB2" s="360"/>
      <c r="BC2" s="360"/>
      <c r="BD2" s="360"/>
      <c r="BE2" s="360"/>
      <c r="BF2" s="360"/>
      <c r="BG2" s="360"/>
      <c r="BH2" s="360"/>
      <c r="BI2" s="360"/>
      <c r="BJ2" s="360"/>
      <c r="BK2" s="360"/>
      <c r="BL2" s="360"/>
      <c r="BM2" s="360"/>
      <c r="BN2" s="360"/>
      <c r="BO2" s="360"/>
      <c r="BP2" s="360"/>
      <c r="BQ2" s="360"/>
      <c r="BR2" s="360"/>
      <c r="BS2" s="360"/>
      <c r="BT2" s="360"/>
      <c r="BU2" s="360"/>
      <c r="BV2" s="360"/>
      <c r="BW2" s="360"/>
      <c r="BX2" s="360"/>
      <c r="BY2" s="360"/>
      <c r="BZ2" s="360"/>
      <c r="CA2" s="360"/>
      <c r="CB2" s="360"/>
      <c r="CC2" s="360"/>
      <c r="CD2" s="360"/>
      <c r="CE2" s="360"/>
      <c r="CF2" s="360"/>
      <c r="CG2" s="360"/>
      <c r="CH2" s="360"/>
      <c r="CI2" s="360"/>
      <c r="CJ2" s="360"/>
      <c r="CK2" s="360"/>
      <c r="CL2" s="360"/>
      <c r="CM2" s="360"/>
      <c r="CN2" s="360"/>
      <c r="CO2" s="360"/>
      <c r="CP2" s="360"/>
      <c r="CQ2" s="360"/>
      <c r="CR2" s="360"/>
      <c r="CS2" s="360"/>
      <c r="CT2" s="360"/>
      <c r="CU2" s="360"/>
      <c r="CV2" s="360"/>
      <c r="CW2" s="360"/>
      <c r="CX2" s="360"/>
      <c r="CY2" s="360"/>
      <c r="CZ2" s="360"/>
      <c r="DA2" s="360"/>
      <c r="DB2" s="360"/>
      <c r="DC2" s="360"/>
      <c r="DD2" s="360"/>
      <c r="DE2" s="360"/>
      <c r="DF2" s="360"/>
      <c r="DG2" s="360"/>
      <c r="DH2" s="360"/>
      <c r="DI2" s="360"/>
      <c r="DJ2" s="360"/>
      <c r="DK2" s="360"/>
      <c r="DL2" s="360"/>
      <c r="DM2" s="360"/>
      <c r="DN2" s="360"/>
      <c r="DO2" s="360"/>
      <c r="DP2" s="360"/>
      <c r="DQ2" s="360"/>
      <c r="DR2" s="360"/>
      <c r="DS2" s="360"/>
      <c r="DT2" s="360"/>
      <c r="DU2" s="360"/>
      <c r="DV2" s="360"/>
      <c r="DW2" s="360"/>
      <c r="DX2" s="360"/>
      <c r="DY2" s="360"/>
      <c r="DZ2" s="360"/>
      <c r="EA2" s="360"/>
      <c r="EB2" s="360"/>
      <c r="EC2" s="360"/>
      <c r="ED2" s="360"/>
      <c r="EE2" s="360"/>
      <c r="EF2" s="360"/>
      <c r="EG2" s="360"/>
      <c r="EH2" s="360"/>
      <c r="EI2" s="360"/>
      <c r="EJ2" s="360"/>
      <c r="EK2" s="360"/>
      <c r="EL2" s="360"/>
      <c r="EM2" s="360"/>
      <c r="EN2" s="360"/>
      <c r="EO2" s="360"/>
      <c r="EP2" s="360"/>
      <c r="EQ2" s="360"/>
      <c r="ER2" s="360"/>
      <c r="ES2" s="360"/>
      <c r="ET2" s="360"/>
      <c r="EU2" s="360"/>
      <c r="EV2" s="360"/>
      <c r="EW2" s="360"/>
      <c r="EX2" s="360"/>
      <c r="EY2" s="360"/>
      <c r="EZ2" s="360"/>
      <c r="FA2" s="360"/>
      <c r="FB2" s="360"/>
      <c r="FC2" s="360"/>
      <c r="FD2" s="360"/>
      <c r="FE2" s="360"/>
      <c r="FF2" s="360"/>
      <c r="FG2" s="360"/>
      <c r="FH2" s="360"/>
      <c r="FI2" s="360"/>
      <c r="FJ2" s="360"/>
      <c r="FK2" s="360"/>
      <c r="FL2" s="360"/>
      <c r="FM2" s="360"/>
      <c r="FN2" s="360"/>
      <c r="FO2" s="360"/>
      <c r="FP2" s="360"/>
      <c r="FQ2" s="360"/>
      <c r="FR2" s="360"/>
      <c r="FS2" s="360"/>
      <c r="FT2" s="360"/>
      <c r="FU2" s="360"/>
      <c r="FV2" s="360"/>
      <c r="FW2" s="360"/>
      <c r="FX2" s="360"/>
      <c r="FY2" s="360"/>
      <c r="FZ2" s="360"/>
      <c r="GA2" s="360"/>
      <c r="GB2" s="360"/>
      <c r="GC2" s="360"/>
      <c r="GD2" s="360"/>
      <c r="GE2" s="360"/>
      <c r="GF2" s="360"/>
      <c r="GG2" s="360"/>
      <c r="GH2" s="360"/>
      <c r="GI2" s="360"/>
      <c r="GJ2" s="360"/>
      <c r="GK2" s="360"/>
      <c r="GL2" s="360"/>
      <c r="GM2" s="360"/>
      <c r="GN2" s="360"/>
      <c r="GO2" s="360"/>
      <c r="GP2" s="360"/>
      <c r="GQ2" s="360"/>
      <c r="GR2" s="360"/>
      <c r="GS2" s="360"/>
      <c r="GT2" s="360"/>
      <c r="GU2" s="360"/>
      <c r="GV2" s="360"/>
      <c r="GW2" s="360"/>
      <c r="GX2" s="360"/>
      <c r="GY2" s="360"/>
      <c r="GZ2" s="360"/>
      <c r="HA2" s="360"/>
      <c r="HB2" s="360"/>
      <c r="HC2" s="360"/>
      <c r="HD2" s="360"/>
      <c r="HE2" s="360"/>
      <c r="HF2" s="360"/>
      <c r="HG2" s="360"/>
      <c r="HH2" s="360"/>
      <c r="HI2" s="360"/>
      <c r="HJ2" s="360"/>
      <c r="HK2" s="360"/>
      <c r="HL2" s="360"/>
      <c r="HM2" s="360"/>
      <c r="HN2" s="360"/>
      <c r="HO2" s="360"/>
      <c r="HP2" s="360"/>
      <c r="HQ2" s="360"/>
      <c r="HR2" s="360"/>
      <c r="HS2" s="360"/>
      <c r="HT2" s="360"/>
      <c r="HU2" s="360"/>
      <c r="HV2" s="360"/>
      <c r="HW2" s="360"/>
      <c r="HX2" s="360"/>
      <c r="HY2" s="360"/>
      <c r="HZ2" s="360"/>
      <c r="IA2" s="360"/>
      <c r="IB2" s="360"/>
      <c r="IC2" s="360"/>
      <c r="ID2" s="360"/>
      <c r="IE2" s="360"/>
      <c r="IF2" s="360"/>
      <c r="IG2" s="360"/>
      <c r="IH2" s="360"/>
      <c r="II2" s="360"/>
      <c r="IJ2" s="360"/>
      <c r="IK2" s="360"/>
      <c r="IL2" s="360"/>
      <c r="IM2" s="360"/>
    </row>
    <row r="3" spans="1:250" s="302" customFormat="1" ht="18" customHeight="1" x14ac:dyDescent="0.3">
      <c r="A3" s="356"/>
      <c r="B3" s="500" t="s">
        <v>1068</v>
      </c>
      <c r="C3" s="500"/>
      <c r="D3" s="500"/>
      <c r="E3" s="500"/>
      <c r="F3" s="500"/>
      <c r="G3" s="358"/>
      <c r="H3" s="359"/>
      <c r="I3" s="301"/>
      <c r="J3" s="360"/>
      <c r="K3" s="360"/>
      <c r="L3" s="360"/>
      <c r="M3" s="360"/>
      <c r="N3" s="360"/>
      <c r="O3" s="360"/>
      <c r="P3" s="360"/>
      <c r="Q3" s="360"/>
      <c r="R3" s="360"/>
      <c r="S3" s="360"/>
      <c r="T3" s="360"/>
      <c r="U3" s="360"/>
      <c r="V3" s="360"/>
      <c r="W3" s="360"/>
      <c r="X3" s="360"/>
      <c r="Y3" s="360"/>
      <c r="Z3" s="360"/>
      <c r="AA3" s="360"/>
      <c r="AB3" s="360"/>
      <c r="AC3" s="360"/>
      <c r="AD3" s="360"/>
      <c r="AE3" s="360"/>
      <c r="AF3" s="360"/>
      <c r="AG3" s="360"/>
      <c r="AH3" s="360"/>
      <c r="AI3" s="360"/>
      <c r="AJ3" s="360"/>
      <c r="AK3" s="360"/>
      <c r="AL3" s="360"/>
      <c r="AM3" s="360"/>
      <c r="AN3" s="360"/>
      <c r="AO3" s="360"/>
      <c r="AP3" s="360"/>
      <c r="AQ3" s="360"/>
      <c r="AR3" s="360"/>
      <c r="AS3" s="360"/>
      <c r="AT3" s="360"/>
      <c r="AU3" s="360"/>
      <c r="AV3" s="360"/>
      <c r="AW3" s="360"/>
      <c r="AX3" s="360"/>
      <c r="AY3" s="360"/>
      <c r="AZ3" s="360"/>
      <c r="BA3" s="360"/>
      <c r="BB3" s="360"/>
      <c r="BC3" s="360"/>
      <c r="BD3" s="360"/>
      <c r="BE3" s="360"/>
      <c r="BF3" s="360"/>
      <c r="BG3" s="360"/>
      <c r="BH3" s="360"/>
      <c r="BI3" s="360"/>
      <c r="BJ3" s="360"/>
      <c r="BK3" s="360"/>
      <c r="BL3" s="360"/>
      <c r="BM3" s="360"/>
      <c r="BN3" s="360"/>
      <c r="BO3" s="360"/>
      <c r="BP3" s="360"/>
      <c r="BQ3" s="360"/>
      <c r="BR3" s="360"/>
      <c r="BS3" s="360"/>
      <c r="BT3" s="360"/>
      <c r="BU3" s="360"/>
      <c r="BV3" s="360"/>
      <c r="BW3" s="360"/>
      <c r="BX3" s="360"/>
      <c r="BY3" s="360"/>
      <c r="BZ3" s="360"/>
      <c r="CA3" s="360"/>
      <c r="CB3" s="360"/>
      <c r="CC3" s="360"/>
      <c r="CD3" s="360"/>
      <c r="CE3" s="360"/>
      <c r="CF3" s="360"/>
      <c r="CG3" s="360"/>
      <c r="CH3" s="360"/>
      <c r="CI3" s="360"/>
      <c r="CJ3" s="360"/>
      <c r="CK3" s="360"/>
      <c r="CL3" s="360"/>
      <c r="CM3" s="360"/>
      <c r="CN3" s="360"/>
      <c r="CO3" s="360"/>
      <c r="CP3" s="360"/>
      <c r="CQ3" s="360"/>
      <c r="CR3" s="360"/>
      <c r="CS3" s="360"/>
      <c r="CT3" s="360"/>
      <c r="CU3" s="360"/>
      <c r="CV3" s="360"/>
      <c r="CW3" s="360"/>
      <c r="CX3" s="360"/>
      <c r="CY3" s="360"/>
      <c r="CZ3" s="360"/>
      <c r="DA3" s="360"/>
      <c r="DB3" s="360"/>
      <c r="DC3" s="360"/>
      <c r="DD3" s="360"/>
      <c r="DE3" s="360"/>
      <c r="DF3" s="360"/>
      <c r="DG3" s="360"/>
      <c r="DH3" s="360"/>
      <c r="DI3" s="360"/>
      <c r="DJ3" s="360"/>
      <c r="DK3" s="360"/>
      <c r="DL3" s="360"/>
      <c r="DM3" s="360"/>
      <c r="DN3" s="360"/>
      <c r="DO3" s="360"/>
      <c r="DP3" s="360"/>
      <c r="DQ3" s="360"/>
      <c r="DR3" s="360"/>
      <c r="DS3" s="360"/>
      <c r="DT3" s="360"/>
      <c r="DU3" s="360"/>
      <c r="DV3" s="360"/>
      <c r="DW3" s="360"/>
      <c r="DX3" s="360"/>
      <c r="DY3" s="360"/>
      <c r="DZ3" s="360"/>
      <c r="EA3" s="360"/>
      <c r="EB3" s="360"/>
      <c r="EC3" s="360"/>
      <c r="ED3" s="360"/>
      <c r="EE3" s="360"/>
      <c r="EF3" s="360"/>
      <c r="EG3" s="360"/>
      <c r="EH3" s="360"/>
      <c r="EI3" s="360"/>
      <c r="EJ3" s="360"/>
      <c r="EK3" s="360"/>
      <c r="EL3" s="360"/>
      <c r="EM3" s="360"/>
      <c r="EN3" s="360"/>
      <c r="EO3" s="360"/>
      <c r="EP3" s="360"/>
      <c r="EQ3" s="360"/>
      <c r="ER3" s="360"/>
      <c r="ES3" s="360"/>
      <c r="ET3" s="360"/>
      <c r="EU3" s="360"/>
      <c r="EV3" s="360"/>
      <c r="EW3" s="360"/>
      <c r="EX3" s="360"/>
      <c r="EY3" s="360"/>
      <c r="EZ3" s="360"/>
      <c r="FA3" s="360"/>
      <c r="FB3" s="360"/>
      <c r="FC3" s="360"/>
      <c r="FD3" s="360"/>
      <c r="FE3" s="360"/>
      <c r="FF3" s="360"/>
      <c r="FG3" s="360"/>
      <c r="FH3" s="360"/>
      <c r="FI3" s="360"/>
      <c r="FJ3" s="360"/>
      <c r="FK3" s="360"/>
      <c r="FL3" s="360"/>
      <c r="FM3" s="360"/>
      <c r="FN3" s="360"/>
      <c r="FO3" s="360"/>
      <c r="FP3" s="360"/>
      <c r="FQ3" s="360"/>
      <c r="FR3" s="360"/>
      <c r="FS3" s="360"/>
      <c r="FT3" s="360"/>
      <c r="FU3" s="360"/>
      <c r="FV3" s="360"/>
      <c r="FW3" s="360"/>
      <c r="FX3" s="360"/>
      <c r="FY3" s="360"/>
      <c r="FZ3" s="360"/>
      <c r="GA3" s="360"/>
      <c r="GB3" s="360"/>
      <c r="GC3" s="360"/>
      <c r="GD3" s="360"/>
      <c r="GE3" s="360"/>
      <c r="GF3" s="360"/>
      <c r="GG3" s="360"/>
      <c r="GH3" s="360"/>
      <c r="GI3" s="360"/>
      <c r="GJ3" s="360"/>
      <c r="GK3" s="360"/>
      <c r="GL3" s="360"/>
      <c r="GM3" s="360"/>
      <c r="GN3" s="360"/>
      <c r="GO3" s="360"/>
      <c r="GP3" s="360"/>
      <c r="GQ3" s="360"/>
      <c r="GR3" s="360"/>
      <c r="GS3" s="360"/>
      <c r="GT3" s="360"/>
      <c r="GU3" s="360"/>
      <c r="GV3" s="360"/>
      <c r="GW3" s="360"/>
      <c r="GX3" s="360"/>
      <c r="GY3" s="360"/>
      <c r="GZ3" s="360"/>
      <c r="HA3" s="360"/>
      <c r="HB3" s="360"/>
      <c r="HC3" s="360"/>
      <c r="HD3" s="360"/>
      <c r="HE3" s="360"/>
      <c r="HF3" s="360"/>
      <c r="HG3" s="360"/>
      <c r="HH3" s="360"/>
      <c r="HI3" s="360"/>
      <c r="HJ3" s="360"/>
      <c r="HK3" s="360"/>
      <c r="HL3" s="360"/>
      <c r="HM3" s="360"/>
      <c r="HN3" s="360"/>
      <c r="HO3" s="360"/>
      <c r="HP3" s="360"/>
      <c r="HQ3" s="360"/>
      <c r="HR3" s="360"/>
      <c r="HS3" s="360"/>
      <c r="HT3" s="360"/>
      <c r="HU3" s="360"/>
      <c r="HV3" s="360"/>
      <c r="HW3" s="360"/>
      <c r="HX3" s="360"/>
      <c r="HY3" s="360"/>
      <c r="HZ3" s="360"/>
      <c r="IA3" s="360"/>
      <c r="IB3" s="360"/>
      <c r="IC3" s="360"/>
      <c r="ID3" s="360"/>
      <c r="IE3" s="360"/>
      <c r="IF3" s="360"/>
      <c r="IG3" s="360"/>
      <c r="IH3" s="360"/>
      <c r="II3" s="360"/>
      <c r="IJ3" s="360"/>
      <c r="IK3" s="360"/>
      <c r="IL3" s="360"/>
      <c r="IM3" s="360"/>
    </row>
    <row r="4" spans="1:250" s="302" customFormat="1" ht="18" customHeight="1" x14ac:dyDescent="0.3">
      <c r="A4" s="356"/>
      <c r="B4" s="1905" t="s">
        <v>1234</v>
      </c>
      <c r="C4" s="1886"/>
      <c r="D4" s="1886"/>
      <c r="E4" s="1886"/>
      <c r="F4" s="1886"/>
      <c r="G4" s="358"/>
      <c r="H4" s="359"/>
      <c r="I4" s="301"/>
      <c r="J4" s="360"/>
      <c r="K4" s="360"/>
      <c r="L4" s="360"/>
      <c r="M4" s="360"/>
      <c r="N4" s="360"/>
      <c r="O4" s="360"/>
      <c r="P4" s="360"/>
      <c r="Q4" s="360"/>
      <c r="R4" s="360"/>
      <c r="S4" s="360"/>
      <c r="T4" s="360"/>
      <c r="U4" s="360"/>
      <c r="V4" s="360"/>
      <c r="W4" s="360"/>
      <c r="X4" s="360"/>
      <c r="Y4" s="360"/>
      <c r="Z4" s="360"/>
      <c r="AA4" s="360"/>
      <c r="AB4" s="360"/>
      <c r="AC4" s="360"/>
      <c r="AD4" s="360"/>
      <c r="AE4" s="360"/>
      <c r="AF4" s="360"/>
      <c r="AG4" s="360"/>
      <c r="AH4" s="360"/>
      <c r="AI4" s="360"/>
      <c r="AJ4" s="360"/>
      <c r="AK4" s="360"/>
      <c r="AL4" s="360"/>
      <c r="AM4" s="360"/>
      <c r="AN4" s="360"/>
      <c r="AO4" s="360"/>
      <c r="AP4" s="360"/>
      <c r="AQ4" s="360"/>
      <c r="AR4" s="360"/>
      <c r="AS4" s="360"/>
      <c r="AT4" s="360"/>
      <c r="AU4" s="360"/>
      <c r="AV4" s="360"/>
      <c r="AW4" s="360"/>
      <c r="AX4" s="360"/>
      <c r="AY4" s="360"/>
      <c r="AZ4" s="360"/>
      <c r="BA4" s="360"/>
      <c r="BB4" s="360"/>
      <c r="BC4" s="360"/>
      <c r="BD4" s="360"/>
      <c r="BE4" s="360"/>
      <c r="BF4" s="360"/>
      <c r="BG4" s="360"/>
      <c r="BH4" s="360"/>
      <c r="BI4" s="360"/>
      <c r="BJ4" s="360"/>
      <c r="BK4" s="360"/>
      <c r="BL4" s="360"/>
      <c r="BM4" s="360"/>
      <c r="BN4" s="360"/>
      <c r="BO4" s="360"/>
      <c r="BP4" s="360"/>
      <c r="BQ4" s="360"/>
      <c r="BR4" s="360"/>
      <c r="BS4" s="360"/>
      <c r="BT4" s="360"/>
      <c r="BU4" s="360"/>
      <c r="BV4" s="360"/>
      <c r="BW4" s="360"/>
      <c r="BX4" s="360"/>
      <c r="BY4" s="360"/>
      <c r="BZ4" s="360"/>
      <c r="CA4" s="360"/>
      <c r="CB4" s="360"/>
      <c r="CC4" s="360"/>
      <c r="CD4" s="360"/>
      <c r="CE4" s="360"/>
      <c r="CF4" s="360"/>
      <c r="CG4" s="360"/>
      <c r="CH4" s="360"/>
      <c r="CI4" s="360"/>
      <c r="CJ4" s="360"/>
      <c r="CK4" s="360"/>
      <c r="CL4" s="360"/>
      <c r="CM4" s="360"/>
      <c r="CN4" s="360"/>
      <c r="CO4" s="360"/>
      <c r="CP4" s="360"/>
      <c r="CQ4" s="360"/>
      <c r="CR4" s="360"/>
      <c r="CS4" s="360"/>
      <c r="CT4" s="360"/>
      <c r="CU4" s="360"/>
      <c r="CV4" s="360"/>
      <c r="CW4" s="360"/>
      <c r="CX4" s="360"/>
      <c r="CY4" s="360"/>
      <c r="CZ4" s="360"/>
      <c r="DA4" s="360"/>
      <c r="DB4" s="360"/>
      <c r="DC4" s="360"/>
      <c r="DD4" s="360"/>
      <c r="DE4" s="360"/>
      <c r="DF4" s="360"/>
      <c r="DG4" s="360"/>
      <c r="DH4" s="360"/>
      <c r="DI4" s="360"/>
      <c r="DJ4" s="360"/>
      <c r="DK4" s="360"/>
      <c r="DL4" s="360"/>
      <c r="DM4" s="360"/>
      <c r="DN4" s="360"/>
      <c r="DO4" s="360"/>
      <c r="DP4" s="360"/>
      <c r="DQ4" s="360"/>
      <c r="DR4" s="360"/>
      <c r="DS4" s="360"/>
      <c r="DT4" s="360"/>
      <c r="DU4" s="360"/>
      <c r="DV4" s="360"/>
      <c r="DW4" s="360"/>
      <c r="DX4" s="360"/>
      <c r="DY4" s="360"/>
      <c r="DZ4" s="360"/>
      <c r="EA4" s="360"/>
      <c r="EB4" s="360"/>
      <c r="EC4" s="360"/>
      <c r="ED4" s="360"/>
      <c r="EE4" s="360"/>
      <c r="EF4" s="360"/>
      <c r="EG4" s="360"/>
      <c r="EH4" s="360"/>
      <c r="EI4" s="360"/>
      <c r="EJ4" s="360"/>
      <c r="EK4" s="360"/>
      <c r="EL4" s="360"/>
      <c r="EM4" s="360"/>
      <c r="EN4" s="360"/>
      <c r="EO4" s="360"/>
      <c r="EP4" s="360"/>
      <c r="EQ4" s="360"/>
      <c r="ER4" s="360"/>
      <c r="ES4" s="360"/>
      <c r="ET4" s="360"/>
      <c r="EU4" s="360"/>
      <c r="EV4" s="360"/>
      <c r="EW4" s="360"/>
      <c r="EX4" s="360"/>
      <c r="EY4" s="360"/>
      <c r="EZ4" s="360"/>
      <c r="FA4" s="360"/>
      <c r="FB4" s="360"/>
      <c r="FC4" s="360"/>
      <c r="FD4" s="360"/>
      <c r="FE4" s="360"/>
      <c r="FF4" s="360"/>
      <c r="FG4" s="360"/>
      <c r="FH4" s="360"/>
      <c r="FI4" s="360"/>
      <c r="FJ4" s="360"/>
      <c r="FK4" s="360"/>
      <c r="FL4" s="360"/>
      <c r="FM4" s="360"/>
      <c r="FN4" s="360"/>
      <c r="FO4" s="360"/>
      <c r="FP4" s="360"/>
      <c r="FQ4" s="360"/>
      <c r="FR4" s="360"/>
      <c r="FS4" s="360"/>
      <c r="FT4" s="360"/>
      <c r="FU4" s="360"/>
      <c r="FV4" s="360"/>
      <c r="FW4" s="360"/>
      <c r="FX4" s="360"/>
      <c r="FY4" s="360"/>
      <c r="FZ4" s="360"/>
      <c r="GA4" s="360"/>
      <c r="GB4" s="360"/>
      <c r="GC4" s="360"/>
      <c r="GD4" s="360"/>
      <c r="GE4" s="360"/>
      <c r="GF4" s="360"/>
      <c r="GG4" s="360"/>
      <c r="GH4" s="360"/>
      <c r="GI4" s="360"/>
      <c r="GJ4" s="360"/>
      <c r="GK4" s="360"/>
      <c r="GL4" s="360"/>
      <c r="GM4" s="360"/>
      <c r="GN4" s="360"/>
      <c r="GO4" s="360"/>
      <c r="GP4" s="360"/>
      <c r="GQ4" s="360"/>
      <c r="GR4" s="360"/>
      <c r="GS4" s="360"/>
      <c r="GT4" s="360"/>
      <c r="GU4" s="360"/>
      <c r="GV4" s="360"/>
      <c r="GW4" s="360"/>
      <c r="GX4" s="360"/>
      <c r="GY4" s="360"/>
      <c r="GZ4" s="360"/>
      <c r="HA4" s="360"/>
      <c r="HB4" s="360"/>
      <c r="HC4" s="360"/>
      <c r="HD4" s="360"/>
      <c r="HE4" s="360"/>
      <c r="HF4" s="360"/>
      <c r="HG4" s="360"/>
      <c r="HH4" s="360"/>
      <c r="HI4" s="360"/>
      <c r="HJ4" s="360"/>
      <c r="HK4" s="360"/>
      <c r="HL4" s="360"/>
      <c r="HM4" s="360"/>
      <c r="HN4" s="360"/>
      <c r="HO4" s="360"/>
      <c r="HP4" s="360"/>
      <c r="HQ4" s="360"/>
      <c r="HR4" s="360"/>
      <c r="HS4" s="360"/>
      <c r="HT4" s="360"/>
      <c r="HU4" s="360"/>
      <c r="HV4" s="360"/>
      <c r="HW4" s="360"/>
      <c r="HX4" s="360"/>
      <c r="HY4" s="360"/>
      <c r="HZ4" s="360"/>
      <c r="IA4" s="360"/>
      <c r="IB4" s="360"/>
      <c r="IC4" s="360"/>
      <c r="ID4" s="360"/>
      <c r="IE4" s="360"/>
      <c r="IF4" s="360"/>
      <c r="IG4" s="360"/>
      <c r="IH4" s="360"/>
      <c r="II4" s="360"/>
      <c r="IJ4" s="360"/>
      <c r="IK4" s="360"/>
      <c r="IL4" s="360"/>
      <c r="IM4" s="360"/>
    </row>
    <row r="5" spans="1:250" s="302" customFormat="1" ht="24.75" customHeight="1" x14ac:dyDescent="0.35">
      <c r="A5" s="303"/>
      <c r="B5" s="2029" t="s">
        <v>142</v>
      </c>
      <c r="C5" s="2029"/>
      <c r="D5" s="2029"/>
      <c r="E5" s="2029"/>
      <c r="F5" s="2029"/>
      <c r="G5" s="2029"/>
      <c r="H5" s="2029"/>
      <c r="I5" s="2029"/>
    </row>
    <row r="6" spans="1:250" s="302" customFormat="1" ht="24.75" customHeight="1" x14ac:dyDescent="0.3">
      <c r="A6" s="303"/>
      <c r="B6" s="2030" t="s">
        <v>641</v>
      </c>
      <c r="C6" s="2030"/>
      <c r="D6" s="2030"/>
      <c r="E6" s="2030"/>
      <c r="F6" s="2030"/>
      <c r="G6" s="2030"/>
      <c r="H6" s="2030"/>
      <c r="I6" s="2030"/>
    </row>
    <row r="7" spans="1:250" ht="18" customHeight="1" x14ac:dyDescent="0.3">
      <c r="A7" s="304"/>
      <c r="J7" s="1027"/>
      <c r="K7" s="1028"/>
      <c r="L7" s="1027" t="s">
        <v>0</v>
      </c>
    </row>
    <row r="8" spans="1:250" s="311" customFormat="1" ht="18" customHeight="1" thickBot="1" x14ac:dyDescent="0.35">
      <c r="A8" s="310"/>
      <c r="B8" s="1029" t="s">
        <v>1</v>
      </c>
      <c r="C8" s="1030" t="s">
        <v>3</v>
      </c>
      <c r="D8" s="1030" t="s">
        <v>2</v>
      </c>
      <c r="E8" s="1030" t="s">
        <v>4</v>
      </c>
      <c r="F8" s="1030" t="s">
        <v>5</v>
      </c>
      <c r="G8" s="1030" t="s">
        <v>15</v>
      </c>
      <c r="H8" s="1030" t="s">
        <v>16</v>
      </c>
      <c r="I8" s="1030" t="s">
        <v>17</v>
      </c>
      <c r="J8" s="1030" t="s">
        <v>36</v>
      </c>
      <c r="K8" s="1030" t="s">
        <v>30</v>
      </c>
      <c r="L8" s="1030" t="s">
        <v>23</v>
      </c>
      <c r="M8" s="310"/>
      <c r="N8" s="310"/>
      <c r="O8" s="310"/>
      <c r="P8" s="310"/>
      <c r="Q8" s="310"/>
      <c r="R8" s="310"/>
      <c r="S8" s="310"/>
      <c r="T8" s="310"/>
      <c r="U8" s="310"/>
      <c r="V8" s="310"/>
      <c r="W8" s="310"/>
      <c r="X8" s="310"/>
      <c r="Y8" s="310"/>
      <c r="Z8" s="310"/>
      <c r="AA8" s="310"/>
      <c r="AB8" s="310"/>
      <c r="AC8" s="310"/>
      <c r="AD8" s="310"/>
      <c r="AE8" s="310"/>
      <c r="AF8" s="310"/>
      <c r="AG8" s="310"/>
      <c r="AH8" s="310"/>
      <c r="AI8" s="310"/>
      <c r="AJ8" s="310"/>
      <c r="AK8" s="310"/>
      <c r="AL8" s="310"/>
      <c r="AM8" s="310"/>
      <c r="AN8" s="310"/>
      <c r="AO8" s="310"/>
      <c r="AP8" s="310"/>
      <c r="AQ8" s="310"/>
      <c r="AR8" s="310"/>
      <c r="AS8" s="310"/>
      <c r="AT8" s="310"/>
      <c r="AU8" s="310"/>
      <c r="AV8" s="310"/>
      <c r="AW8" s="310"/>
      <c r="AX8" s="310"/>
      <c r="AY8" s="310"/>
      <c r="AZ8" s="310"/>
      <c r="BA8" s="310"/>
      <c r="BB8" s="310"/>
      <c r="BC8" s="310"/>
      <c r="BD8" s="310"/>
      <c r="BE8" s="310"/>
      <c r="BF8" s="310"/>
      <c r="BG8" s="310"/>
      <c r="BH8" s="310"/>
      <c r="BI8" s="310"/>
      <c r="BJ8" s="310"/>
      <c r="BK8" s="310"/>
      <c r="BL8" s="310"/>
      <c r="BM8" s="310"/>
      <c r="BN8" s="310"/>
      <c r="BO8" s="310"/>
      <c r="BP8" s="310"/>
      <c r="BQ8" s="310"/>
      <c r="BR8" s="310"/>
      <c r="BS8" s="310"/>
      <c r="BT8" s="310"/>
      <c r="BU8" s="310"/>
      <c r="BV8" s="310"/>
      <c r="BW8" s="310"/>
      <c r="BX8" s="310"/>
      <c r="BY8" s="310"/>
      <c r="BZ8" s="310"/>
      <c r="CA8" s="310"/>
      <c r="CB8" s="310"/>
      <c r="CC8" s="310"/>
      <c r="CD8" s="310"/>
      <c r="CE8" s="310"/>
      <c r="CF8" s="310"/>
      <c r="CG8" s="310"/>
      <c r="CH8" s="310"/>
      <c r="CI8" s="310"/>
      <c r="CJ8" s="310"/>
      <c r="CK8" s="310"/>
      <c r="CL8" s="310"/>
      <c r="CM8" s="310"/>
      <c r="CN8" s="310"/>
      <c r="CO8" s="310"/>
      <c r="CP8" s="310"/>
      <c r="CQ8" s="310"/>
      <c r="CR8" s="310"/>
      <c r="CS8" s="310"/>
      <c r="CT8" s="310"/>
      <c r="CU8" s="310"/>
      <c r="CV8" s="310"/>
      <c r="CW8" s="310"/>
      <c r="CX8" s="310"/>
      <c r="CY8" s="310"/>
      <c r="CZ8" s="310"/>
      <c r="DA8" s="310"/>
      <c r="DB8" s="310"/>
      <c r="DC8" s="310"/>
      <c r="DD8" s="310"/>
      <c r="DE8" s="310"/>
      <c r="DF8" s="310"/>
      <c r="DG8" s="310"/>
      <c r="DH8" s="310"/>
      <c r="DI8" s="310"/>
      <c r="DJ8" s="310"/>
      <c r="DK8" s="310"/>
      <c r="DL8" s="310"/>
      <c r="DM8" s="310"/>
      <c r="DN8" s="310"/>
      <c r="DO8" s="310"/>
      <c r="DP8" s="310"/>
      <c r="DQ8" s="310"/>
      <c r="DR8" s="310"/>
      <c r="DS8" s="310"/>
      <c r="DT8" s="310"/>
      <c r="DU8" s="310"/>
      <c r="DV8" s="310"/>
      <c r="DW8" s="310"/>
      <c r="DX8" s="310"/>
      <c r="DY8" s="310"/>
      <c r="DZ8" s="310"/>
      <c r="EA8" s="310"/>
      <c r="EB8" s="310"/>
      <c r="EC8" s="310"/>
      <c r="ED8" s="310"/>
      <c r="EE8" s="310"/>
      <c r="EF8" s="310"/>
      <c r="EG8" s="310"/>
      <c r="EH8" s="310"/>
      <c r="EI8" s="310"/>
      <c r="EJ8" s="310"/>
      <c r="EK8" s="310"/>
      <c r="EL8" s="310"/>
      <c r="EM8" s="310"/>
      <c r="EN8" s="310"/>
      <c r="EO8" s="310"/>
      <c r="EP8" s="310"/>
      <c r="EQ8" s="310"/>
      <c r="ER8" s="310"/>
      <c r="ES8" s="310"/>
      <c r="ET8" s="310"/>
      <c r="EU8" s="310"/>
      <c r="EV8" s="310"/>
      <c r="EW8" s="310"/>
      <c r="EX8" s="310"/>
      <c r="EY8" s="310"/>
      <c r="EZ8" s="310"/>
      <c r="FA8" s="310"/>
      <c r="FB8" s="310"/>
      <c r="FC8" s="310"/>
      <c r="FD8" s="310"/>
      <c r="FE8" s="310"/>
      <c r="FF8" s="310"/>
      <c r="FG8" s="310"/>
      <c r="FH8" s="310"/>
      <c r="FI8" s="310"/>
      <c r="FJ8" s="310"/>
      <c r="FK8" s="310"/>
      <c r="FL8" s="310"/>
      <c r="FM8" s="310"/>
      <c r="FN8" s="310"/>
      <c r="FO8" s="310"/>
      <c r="FP8" s="310"/>
      <c r="FQ8" s="310"/>
      <c r="FR8" s="310"/>
      <c r="FS8" s="310"/>
      <c r="FT8" s="310"/>
      <c r="FU8" s="310"/>
      <c r="FV8" s="310"/>
      <c r="FW8" s="310"/>
      <c r="FX8" s="310"/>
      <c r="FY8" s="310"/>
      <c r="FZ8" s="310"/>
      <c r="GA8" s="310"/>
      <c r="GB8" s="310"/>
      <c r="GC8" s="310"/>
      <c r="GD8" s="310"/>
      <c r="GE8" s="310"/>
      <c r="GF8" s="310"/>
      <c r="GG8" s="310"/>
      <c r="GH8" s="310"/>
      <c r="GI8" s="310"/>
      <c r="GJ8" s="310"/>
      <c r="GK8" s="310"/>
      <c r="GL8" s="310"/>
      <c r="GM8" s="310"/>
      <c r="GN8" s="310"/>
      <c r="GO8" s="310"/>
      <c r="GP8" s="310"/>
      <c r="GQ8" s="310"/>
      <c r="GR8" s="310"/>
      <c r="GS8" s="310"/>
      <c r="GT8" s="310"/>
      <c r="GU8" s="310"/>
      <c r="GV8" s="310"/>
      <c r="GW8" s="310"/>
      <c r="GX8" s="310"/>
      <c r="GY8" s="310"/>
      <c r="GZ8" s="310"/>
      <c r="HA8" s="310"/>
      <c r="HB8" s="310"/>
      <c r="HC8" s="310"/>
      <c r="HD8" s="310"/>
      <c r="HE8" s="310"/>
      <c r="HF8" s="310"/>
      <c r="HG8" s="310"/>
      <c r="HH8" s="310"/>
      <c r="HI8" s="310"/>
      <c r="HJ8" s="310"/>
      <c r="HK8" s="310"/>
      <c r="HL8" s="310"/>
      <c r="HM8" s="310"/>
      <c r="HN8" s="310"/>
      <c r="HO8" s="310"/>
      <c r="HP8" s="310"/>
      <c r="HQ8" s="310"/>
      <c r="HR8" s="310"/>
      <c r="HS8" s="310"/>
      <c r="HT8" s="310"/>
      <c r="HU8" s="310"/>
      <c r="HV8" s="310"/>
      <c r="HW8" s="310"/>
      <c r="HX8" s="310"/>
      <c r="HY8" s="310"/>
      <c r="HZ8" s="310"/>
      <c r="IA8" s="310"/>
      <c r="IB8" s="310"/>
      <c r="IC8" s="310"/>
      <c r="ID8" s="310"/>
      <c r="IE8" s="310"/>
      <c r="IF8" s="310"/>
      <c r="IG8" s="310"/>
      <c r="IH8" s="310"/>
      <c r="II8" s="310"/>
      <c r="IJ8" s="310"/>
      <c r="IK8" s="310"/>
      <c r="IL8" s="310"/>
      <c r="IM8" s="310"/>
      <c r="IN8" s="310"/>
      <c r="IO8" s="310"/>
      <c r="IP8" s="310"/>
    </row>
    <row r="9" spans="1:250" ht="30" customHeight="1" x14ac:dyDescent="0.3">
      <c r="B9" s="2031" t="s">
        <v>18</v>
      </c>
      <c r="C9" s="2033" t="s">
        <v>19</v>
      </c>
      <c r="D9" s="2035" t="s">
        <v>6</v>
      </c>
      <c r="E9" s="2037" t="s">
        <v>302</v>
      </c>
      <c r="F9" s="2039" t="s">
        <v>632</v>
      </c>
      <c r="G9" s="2039" t="s">
        <v>633</v>
      </c>
      <c r="H9" s="2053" t="s">
        <v>900</v>
      </c>
      <c r="I9" s="2051" t="s">
        <v>1069</v>
      </c>
      <c r="J9" s="2043" t="s">
        <v>1144</v>
      </c>
      <c r="K9" s="2045" t="s">
        <v>123</v>
      </c>
      <c r="L9" s="2041" t="s">
        <v>1110</v>
      </c>
    </row>
    <row r="10" spans="1:250" ht="60.75" customHeight="1" thickBot="1" x14ac:dyDescent="0.35">
      <c r="B10" s="2032"/>
      <c r="C10" s="2034"/>
      <c r="D10" s="2036"/>
      <c r="E10" s="2038"/>
      <c r="F10" s="2040"/>
      <c r="G10" s="2040"/>
      <c r="H10" s="2054"/>
      <c r="I10" s="2052"/>
      <c r="J10" s="2044"/>
      <c r="K10" s="2046"/>
      <c r="L10" s="2042"/>
    </row>
    <row r="11" spans="1:250" ht="20.100000000000001" customHeight="1" x14ac:dyDescent="0.3">
      <c r="A11" s="312">
        <v>1</v>
      </c>
      <c r="B11" s="1031"/>
      <c r="C11" s="2047" t="s">
        <v>231</v>
      </c>
      <c r="D11" s="2048"/>
      <c r="E11" s="1032"/>
      <c r="F11" s="1033"/>
      <c r="G11" s="1033"/>
      <c r="H11" s="1034"/>
      <c r="I11" s="1035"/>
      <c r="J11" s="1036"/>
      <c r="K11" s="1037"/>
      <c r="L11" s="1038"/>
    </row>
    <row r="12" spans="1:250" s="313" customFormat="1" ht="22.5" customHeight="1" x14ac:dyDescent="0.3">
      <c r="A12" s="1039">
        <v>2</v>
      </c>
      <c r="B12" s="1040">
        <v>1</v>
      </c>
      <c r="C12" s="1041" t="s">
        <v>314</v>
      </c>
      <c r="D12" s="1042"/>
      <c r="E12" s="1043" t="s">
        <v>23</v>
      </c>
      <c r="F12" s="1044">
        <v>1695</v>
      </c>
      <c r="G12" s="1045">
        <v>1800</v>
      </c>
      <c r="H12" s="1046">
        <v>3100</v>
      </c>
      <c r="I12" s="1047"/>
      <c r="J12" s="1048"/>
      <c r="K12" s="1049"/>
      <c r="L12" s="1050"/>
    </row>
    <row r="13" spans="1:250" s="314" customFormat="1" ht="18" customHeight="1" x14ac:dyDescent="0.3">
      <c r="A13" s="304">
        <v>3</v>
      </c>
      <c r="B13" s="1040"/>
      <c r="C13" s="1051">
        <v>1</v>
      </c>
      <c r="D13" s="1052" t="s">
        <v>813</v>
      </c>
      <c r="E13" s="1043"/>
      <c r="F13" s="1053"/>
      <c r="G13" s="1054"/>
      <c r="H13" s="1055"/>
      <c r="I13" s="1056">
        <v>510</v>
      </c>
      <c r="J13" s="1057">
        <v>502</v>
      </c>
      <c r="K13" s="1058"/>
      <c r="L13" s="1059">
        <f>SUM(J13:K13)</f>
        <v>502</v>
      </c>
    </row>
    <row r="14" spans="1:250" s="314" customFormat="1" ht="18" customHeight="1" x14ac:dyDescent="0.3">
      <c r="A14" s="312">
        <v>4</v>
      </c>
      <c r="B14" s="1040"/>
      <c r="C14" s="1043">
        <v>2</v>
      </c>
      <c r="D14" s="1062" t="s">
        <v>1016</v>
      </c>
      <c r="E14" s="1043"/>
      <c r="F14" s="1053"/>
      <c r="G14" s="1054"/>
      <c r="H14" s="1055"/>
      <c r="I14" s="1056"/>
      <c r="J14" s="1057">
        <v>20</v>
      </c>
      <c r="K14" s="1058"/>
      <c r="L14" s="1059">
        <f>SUM(J14:K14)</f>
        <v>20</v>
      </c>
    </row>
    <row r="15" spans="1:250" s="314" customFormat="1" ht="18" customHeight="1" x14ac:dyDescent="0.3">
      <c r="A15" s="1039">
        <v>5</v>
      </c>
      <c r="B15" s="1040"/>
      <c r="C15" s="1060" t="s">
        <v>469</v>
      </c>
      <c r="D15" s="1061"/>
      <c r="E15" s="1043"/>
      <c r="F15" s="1053">
        <v>217</v>
      </c>
      <c r="G15" s="1054">
        <v>900</v>
      </c>
      <c r="H15" s="1055">
        <v>1294</v>
      </c>
      <c r="I15" s="1056"/>
      <c r="J15" s="1057"/>
      <c r="K15" s="1058"/>
      <c r="L15" s="1059"/>
    </row>
    <row r="16" spans="1:250" s="314" customFormat="1" ht="18" customHeight="1" x14ac:dyDescent="0.3">
      <c r="A16" s="304">
        <v>6</v>
      </c>
      <c r="B16" s="1040"/>
      <c r="C16" s="1043">
        <v>3</v>
      </c>
      <c r="D16" s="1052" t="s">
        <v>814</v>
      </c>
      <c r="E16" s="1043"/>
      <c r="F16" s="1053"/>
      <c r="G16" s="1054"/>
      <c r="H16" s="1055"/>
      <c r="I16" s="1056">
        <v>200</v>
      </c>
      <c r="J16" s="1057">
        <v>0</v>
      </c>
      <c r="K16" s="1058"/>
      <c r="L16" s="1059">
        <f>SUM(J16:K16)</f>
        <v>0</v>
      </c>
    </row>
    <row r="17" spans="1:12" s="313" customFormat="1" ht="22.5" customHeight="1" x14ac:dyDescent="0.3">
      <c r="A17" s="312">
        <v>7</v>
      </c>
      <c r="B17" s="1040">
        <v>2</v>
      </c>
      <c r="C17" s="1063" t="s">
        <v>313</v>
      </c>
      <c r="D17" s="1042"/>
      <c r="E17" s="1043" t="s">
        <v>23</v>
      </c>
      <c r="F17" s="1044">
        <v>2509</v>
      </c>
      <c r="G17" s="1045">
        <v>3300</v>
      </c>
      <c r="H17" s="1046">
        <v>3496</v>
      </c>
      <c r="I17" s="1047"/>
      <c r="J17" s="1048"/>
      <c r="K17" s="1049"/>
      <c r="L17" s="1050"/>
    </row>
    <row r="18" spans="1:12" s="314" customFormat="1" ht="18" customHeight="1" x14ac:dyDescent="0.3">
      <c r="A18" s="1039">
        <v>8</v>
      </c>
      <c r="B18" s="1040"/>
      <c r="C18" s="1051">
        <v>1</v>
      </c>
      <c r="D18" s="1052" t="s">
        <v>1017</v>
      </c>
      <c r="E18" s="1043"/>
      <c r="F18" s="1053"/>
      <c r="G18" s="1054"/>
      <c r="H18" s="1055"/>
      <c r="I18" s="1056">
        <v>700</v>
      </c>
      <c r="J18" s="1057">
        <v>700</v>
      </c>
      <c r="K18" s="1058"/>
      <c r="L18" s="1059">
        <f>SUM(J18:K18)</f>
        <v>700</v>
      </c>
    </row>
    <row r="19" spans="1:12" s="314" customFormat="1" ht="18" customHeight="1" x14ac:dyDescent="0.3">
      <c r="A19" s="304">
        <v>9</v>
      </c>
      <c r="B19" s="1040"/>
      <c r="C19" s="1064">
        <v>2</v>
      </c>
      <c r="D19" s="1062" t="s">
        <v>1018</v>
      </c>
      <c r="E19" s="1043"/>
      <c r="F19" s="1053"/>
      <c r="G19" s="1054"/>
      <c r="H19" s="1055"/>
      <c r="I19" s="1056"/>
      <c r="J19" s="1057">
        <v>4137</v>
      </c>
      <c r="K19" s="1058"/>
      <c r="L19" s="1059">
        <f>SUM(J19:K19)</f>
        <v>4137</v>
      </c>
    </row>
    <row r="20" spans="1:12" s="314" customFormat="1" ht="45" x14ac:dyDescent="0.3">
      <c r="A20" s="312">
        <v>10</v>
      </c>
      <c r="B20" s="1040"/>
      <c r="C20" s="1087">
        <v>3</v>
      </c>
      <c r="D20" s="1062" t="s">
        <v>1145</v>
      </c>
      <c r="E20" s="1043"/>
      <c r="F20" s="1053"/>
      <c r="G20" s="1054"/>
      <c r="H20" s="1055"/>
      <c r="I20" s="1056"/>
      <c r="J20" s="1057">
        <v>1100</v>
      </c>
      <c r="K20" s="1058">
        <f>450+500+100+250+150</f>
        <v>1450</v>
      </c>
      <c r="L20" s="1059">
        <f>SUM(J20:K20)</f>
        <v>2550</v>
      </c>
    </row>
    <row r="21" spans="1:12" s="314" customFormat="1" ht="18" customHeight="1" x14ac:dyDescent="0.3">
      <c r="A21" s="1039">
        <v>11</v>
      </c>
      <c r="B21" s="1040"/>
      <c r="C21" s="2049" t="s">
        <v>470</v>
      </c>
      <c r="D21" s="2050"/>
      <c r="E21" s="1043"/>
      <c r="F21" s="1053">
        <v>1162</v>
      </c>
      <c r="G21" s="1054"/>
      <c r="H21" s="1055">
        <v>1094</v>
      </c>
      <c r="I21" s="1056"/>
      <c r="J21" s="1057"/>
      <c r="K21" s="1058"/>
      <c r="L21" s="1059"/>
    </row>
    <row r="22" spans="1:12" s="314" customFormat="1" ht="18" customHeight="1" x14ac:dyDescent="0.3">
      <c r="A22" s="304">
        <v>12</v>
      </c>
      <c r="B22" s="1040"/>
      <c r="C22" s="1064">
        <v>4</v>
      </c>
      <c r="D22" s="1062" t="s">
        <v>1019</v>
      </c>
      <c r="E22" s="1043"/>
      <c r="F22" s="1053"/>
      <c r="G22" s="1054"/>
      <c r="H22" s="1055"/>
      <c r="I22" s="1056"/>
      <c r="J22" s="1057">
        <v>2817</v>
      </c>
      <c r="K22" s="1058"/>
      <c r="L22" s="1059">
        <f>SUM(J22:K22)</f>
        <v>2817</v>
      </c>
    </row>
    <row r="23" spans="1:12" s="314" customFormat="1" ht="30" x14ac:dyDescent="0.3">
      <c r="A23" s="312">
        <v>13</v>
      </c>
      <c r="B23" s="1040"/>
      <c r="C23" s="1087">
        <v>5</v>
      </c>
      <c r="D23" s="1062" t="s">
        <v>1146</v>
      </c>
      <c r="E23" s="1043"/>
      <c r="F23" s="1053"/>
      <c r="G23" s="1054"/>
      <c r="H23" s="1055"/>
      <c r="I23" s="1056"/>
      <c r="J23" s="1057">
        <v>700</v>
      </c>
      <c r="K23" s="1058">
        <f>225+50+250+15</f>
        <v>540</v>
      </c>
      <c r="L23" s="1059">
        <f>SUM(J23:K23)</f>
        <v>1240</v>
      </c>
    </row>
    <row r="24" spans="1:12" s="313" customFormat="1" ht="22.5" customHeight="1" x14ac:dyDescent="0.3">
      <c r="A24" s="1039">
        <v>14</v>
      </c>
      <c r="B24" s="1040"/>
      <c r="C24" s="1064">
        <v>6</v>
      </c>
      <c r="D24" s="1062" t="s">
        <v>1147</v>
      </c>
      <c r="E24" s="1043"/>
      <c r="F24" s="1053"/>
      <c r="G24" s="1054"/>
      <c r="H24" s="1055"/>
      <c r="I24" s="1056"/>
      <c r="J24" s="1057"/>
      <c r="K24" s="1058">
        <v>200</v>
      </c>
      <c r="L24" s="1059">
        <f>SUM(J24:K24)</f>
        <v>200</v>
      </c>
    </row>
    <row r="25" spans="1:12" s="314" customFormat="1" x14ac:dyDescent="0.3">
      <c r="A25" s="304">
        <v>15</v>
      </c>
      <c r="B25" s="1040">
        <v>3</v>
      </c>
      <c r="C25" s="1063" t="s">
        <v>267</v>
      </c>
      <c r="D25" s="1042"/>
      <c r="E25" s="1043" t="s">
        <v>23</v>
      </c>
      <c r="F25" s="1044">
        <v>5920</v>
      </c>
      <c r="G25" s="1045">
        <v>1500</v>
      </c>
      <c r="H25" s="1046">
        <v>6208</v>
      </c>
      <c r="I25" s="1047"/>
      <c r="J25" s="1057"/>
      <c r="K25" s="1049"/>
      <c r="L25" s="1059"/>
    </row>
    <row r="26" spans="1:12" s="314" customFormat="1" ht="30" x14ac:dyDescent="0.3">
      <c r="A26" s="312">
        <v>16</v>
      </c>
      <c r="B26" s="1040"/>
      <c r="C26" s="1073">
        <v>1</v>
      </c>
      <c r="D26" s="1052" t="s">
        <v>1148</v>
      </c>
      <c r="E26" s="1043"/>
      <c r="F26" s="1053"/>
      <c r="G26" s="1054"/>
      <c r="H26" s="1055"/>
      <c r="I26" s="1056"/>
      <c r="J26" s="1057">
        <v>400</v>
      </c>
      <c r="K26" s="1058">
        <f>180+200</f>
        <v>380</v>
      </c>
      <c r="L26" s="1059">
        <f t="shared" ref="L26:L42" si="0">SUM(J26:K26)</f>
        <v>780</v>
      </c>
    </row>
    <row r="27" spans="1:12" s="314" customFormat="1" ht="18" customHeight="1" x14ac:dyDescent="0.3">
      <c r="A27" s="1039">
        <v>17</v>
      </c>
      <c r="B27" s="1040"/>
      <c r="C27" s="1051">
        <v>2</v>
      </c>
      <c r="D27" s="1062" t="s">
        <v>1149</v>
      </c>
      <c r="E27" s="1043"/>
      <c r="F27" s="1053"/>
      <c r="G27" s="1054"/>
      <c r="H27" s="1055"/>
      <c r="I27" s="1056"/>
      <c r="J27" s="1057"/>
      <c r="K27" s="1058">
        <v>220</v>
      </c>
      <c r="L27" s="1059">
        <f t="shared" si="0"/>
        <v>220</v>
      </c>
    </row>
    <row r="28" spans="1:12" s="313" customFormat="1" ht="22.5" customHeight="1" x14ac:dyDescent="0.3">
      <c r="A28" s="304">
        <v>18</v>
      </c>
      <c r="B28" s="1040"/>
      <c r="C28" s="1060" t="s">
        <v>672</v>
      </c>
      <c r="D28" s="1061"/>
      <c r="E28" s="1043"/>
      <c r="F28" s="1053">
        <v>7972</v>
      </c>
      <c r="G28" s="1054">
        <v>1500</v>
      </c>
      <c r="H28" s="1055">
        <v>3386</v>
      </c>
      <c r="I28" s="1056"/>
      <c r="J28" s="1057"/>
      <c r="K28" s="1058"/>
      <c r="L28" s="1059">
        <f t="shared" si="0"/>
        <v>0</v>
      </c>
    </row>
    <row r="29" spans="1:12" s="314" customFormat="1" ht="18" customHeight="1" x14ac:dyDescent="0.3">
      <c r="A29" s="312">
        <v>19</v>
      </c>
      <c r="B29" s="1040"/>
      <c r="C29" s="1912">
        <v>3</v>
      </c>
      <c r="D29" s="1913" t="s">
        <v>1150</v>
      </c>
      <c r="E29" s="1043"/>
      <c r="F29" s="1053"/>
      <c r="G29" s="1054"/>
      <c r="H29" s="1055"/>
      <c r="I29" s="1056"/>
      <c r="J29" s="1057">
        <v>260</v>
      </c>
      <c r="K29" s="1058">
        <v>60</v>
      </c>
      <c r="L29" s="1059">
        <f t="shared" si="0"/>
        <v>320</v>
      </c>
    </row>
    <row r="30" spans="1:12" s="314" customFormat="1" ht="18" customHeight="1" x14ac:dyDescent="0.3">
      <c r="A30" s="1039">
        <v>20</v>
      </c>
      <c r="B30" s="1040">
        <v>4</v>
      </c>
      <c r="C30" s="1063" t="s">
        <v>268</v>
      </c>
      <c r="D30" s="1042"/>
      <c r="E30" s="1043" t="s">
        <v>23</v>
      </c>
      <c r="F30" s="1044">
        <v>3926</v>
      </c>
      <c r="G30" s="1045">
        <v>1000</v>
      </c>
      <c r="H30" s="1046">
        <v>1347</v>
      </c>
      <c r="I30" s="1047"/>
      <c r="J30" s="1057"/>
      <c r="K30" s="1049"/>
      <c r="L30" s="1059">
        <f t="shared" si="0"/>
        <v>0</v>
      </c>
    </row>
    <row r="31" spans="1:12" s="314" customFormat="1" ht="18" customHeight="1" x14ac:dyDescent="0.3">
      <c r="A31" s="304">
        <v>21</v>
      </c>
      <c r="B31" s="1040"/>
      <c r="C31" s="1051">
        <v>1</v>
      </c>
      <c r="D31" s="1052" t="s">
        <v>474</v>
      </c>
      <c r="E31" s="1043"/>
      <c r="F31" s="1053"/>
      <c r="G31" s="1054"/>
      <c r="H31" s="1055"/>
      <c r="I31" s="1056"/>
      <c r="J31" s="1057"/>
      <c r="K31" s="1058"/>
      <c r="L31" s="1059">
        <f t="shared" si="0"/>
        <v>0</v>
      </c>
    </row>
    <row r="32" spans="1:12" s="313" customFormat="1" ht="22.5" customHeight="1" x14ac:dyDescent="0.3">
      <c r="A32" s="312">
        <v>22</v>
      </c>
      <c r="B32" s="1040"/>
      <c r="C32" s="1065" t="s">
        <v>471</v>
      </c>
      <c r="D32" s="1052"/>
      <c r="E32" s="1043"/>
      <c r="F32" s="1053">
        <v>2560</v>
      </c>
      <c r="G32" s="1054">
        <v>900</v>
      </c>
      <c r="H32" s="1055">
        <v>2216</v>
      </c>
      <c r="I32" s="1056"/>
      <c r="J32" s="1057"/>
      <c r="K32" s="1058"/>
      <c r="L32" s="1059">
        <f t="shared" si="0"/>
        <v>0</v>
      </c>
    </row>
    <row r="33" spans="1:12" s="314" customFormat="1" ht="18" customHeight="1" x14ac:dyDescent="0.3">
      <c r="A33" s="1039">
        <v>23</v>
      </c>
      <c r="B33" s="1040"/>
      <c r="C33" s="1051">
        <v>2</v>
      </c>
      <c r="D33" s="1052" t="s">
        <v>474</v>
      </c>
      <c r="E33" s="1043"/>
      <c r="F33" s="1053"/>
      <c r="G33" s="1054"/>
      <c r="H33" s="1055"/>
      <c r="I33" s="1056"/>
      <c r="J33" s="1057"/>
      <c r="K33" s="1058"/>
      <c r="L33" s="1059">
        <f t="shared" si="0"/>
        <v>0</v>
      </c>
    </row>
    <row r="34" spans="1:12" s="314" customFormat="1" ht="18" customHeight="1" x14ac:dyDescent="0.3">
      <c r="A34" s="304">
        <v>24</v>
      </c>
      <c r="B34" s="1040">
        <v>5</v>
      </c>
      <c r="C34" s="1063" t="s">
        <v>269</v>
      </c>
      <c r="D34" s="1042"/>
      <c r="E34" s="1043" t="s">
        <v>23</v>
      </c>
      <c r="F34" s="1044">
        <v>4964</v>
      </c>
      <c r="G34" s="1045">
        <v>2400</v>
      </c>
      <c r="H34" s="1046">
        <v>6273</v>
      </c>
      <c r="I34" s="1047"/>
      <c r="J34" s="1057"/>
      <c r="K34" s="1049"/>
      <c r="L34" s="1059">
        <f t="shared" si="0"/>
        <v>0</v>
      </c>
    </row>
    <row r="35" spans="1:12" s="314" customFormat="1" ht="18" customHeight="1" x14ac:dyDescent="0.3">
      <c r="A35" s="312">
        <v>25</v>
      </c>
      <c r="B35" s="1040"/>
      <c r="C35" s="1051">
        <v>1</v>
      </c>
      <c r="D35" s="1052" t="s">
        <v>1020</v>
      </c>
      <c r="E35" s="1043"/>
      <c r="F35" s="1053"/>
      <c r="G35" s="1054"/>
      <c r="H35" s="1055"/>
      <c r="I35" s="1056"/>
      <c r="J35" s="1057">
        <v>200</v>
      </c>
      <c r="K35" s="1058"/>
      <c r="L35" s="1059">
        <f t="shared" si="0"/>
        <v>200</v>
      </c>
    </row>
    <row r="36" spans="1:12" s="313" customFormat="1" ht="22.5" customHeight="1" x14ac:dyDescent="0.3">
      <c r="A36" s="1039">
        <v>26</v>
      </c>
      <c r="B36" s="1040"/>
      <c r="C36" s="1065" t="s">
        <v>472</v>
      </c>
      <c r="D36" s="1052"/>
      <c r="E36" s="1043"/>
      <c r="F36" s="1053">
        <v>4686</v>
      </c>
      <c r="G36" s="1054">
        <v>2900</v>
      </c>
      <c r="H36" s="1055">
        <v>6233</v>
      </c>
      <c r="I36" s="1056"/>
      <c r="J36" s="1057"/>
      <c r="K36" s="1058"/>
      <c r="L36" s="1059">
        <f t="shared" si="0"/>
        <v>0</v>
      </c>
    </row>
    <row r="37" spans="1:12" s="314" customFormat="1" x14ac:dyDescent="0.3">
      <c r="A37" s="304">
        <v>27</v>
      </c>
      <c r="B37" s="1040"/>
      <c r="C37" s="1051">
        <v>2</v>
      </c>
      <c r="D37" s="1052" t="s">
        <v>1020</v>
      </c>
      <c r="E37" s="1043"/>
      <c r="F37" s="1053"/>
      <c r="G37" s="1054"/>
      <c r="H37" s="1055"/>
      <c r="I37" s="1056"/>
      <c r="J37" s="1057">
        <v>200</v>
      </c>
      <c r="K37" s="1058"/>
      <c r="L37" s="1059">
        <f t="shared" si="0"/>
        <v>200</v>
      </c>
    </row>
    <row r="38" spans="1:12" s="314" customFormat="1" ht="18" customHeight="1" x14ac:dyDescent="0.3">
      <c r="A38" s="312">
        <v>28</v>
      </c>
      <c r="B38" s="1040">
        <v>6</v>
      </c>
      <c r="C38" s="1063" t="s">
        <v>270</v>
      </c>
      <c r="D38" s="1042"/>
      <c r="E38" s="1043" t="s">
        <v>23</v>
      </c>
      <c r="F38" s="1044">
        <v>527</v>
      </c>
      <c r="G38" s="1045">
        <v>500</v>
      </c>
      <c r="H38" s="1046">
        <v>6174</v>
      </c>
      <c r="I38" s="1047"/>
      <c r="J38" s="1057"/>
      <c r="K38" s="1049"/>
      <c r="L38" s="1059">
        <f t="shared" si="0"/>
        <v>0</v>
      </c>
    </row>
    <row r="39" spans="1:12" s="314" customFormat="1" ht="75" x14ac:dyDescent="0.3">
      <c r="A39" s="1039">
        <v>29</v>
      </c>
      <c r="B39" s="1040"/>
      <c r="C39" s="1073">
        <v>1</v>
      </c>
      <c r="D39" s="1052" t="s">
        <v>1151</v>
      </c>
      <c r="E39" s="1043"/>
      <c r="F39" s="1053"/>
      <c r="G39" s="1054"/>
      <c r="H39" s="1055"/>
      <c r="I39" s="1056"/>
      <c r="J39" s="1057">
        <v>964</v>
      </c>
      <c r="K39" s="1058">
        <v>496</v>
      </c>
      <c r="L39" s="1059">
        <f t="shared" si="0"/>
        <v>1460</v>
      </c>
    </row>
    <row r="40" spans="1:12" s="313" customFormat="1" x14ac:dyDescent="0.3">
      <c r="A40" s="304">
        <v>30</v>
      </c>
      <c r="B40" s="1040"/>
      <c r="C40" s="1051">
        <v>2</v>
      </c>
      <c r="D40" s="1052" t="s">
        <v>1152</v>
      </c>
      <c r="E40" s="1043"/>
      <c r="F40" s="1053"/>
      <c r="G40" s="1054"/>
      <c r="H40" s="1055"/>
      <c r="I40" s="1056"/>
      <c r="J40" s="1057"/>
      <c r="K40" s="1058">
        <v>200</v>
      </c>
      <c r="L40" s="1059">
        <f t="shared" si="0"/>
        <v>200</v>
      </c>
    </row>
    <row r="41" spans="1:12" s="314" customFormat="1" ht="18" customHeight="1" x14ac:dyDescent="0.3">
      <c r="A41" s="312">
        <v>31</v>
      </c>
      <c r="B41" s="1040"/>
      <c r="C41" s="1065" t="s">
        <v>473</v>
      </c>
      <c r="D41" s="1052"/>
      <c r="E41" s="1043"/>
      <c r="F41" s="1053">
        <v>15</v>
      </c>
      <c r="G41" s="1054">
        <v>600</v>
      </c>
      <c r="H41" s="1055">
        <v>324</v>
      </c>
      <c r="I41" s="1056"/>
      <c r="J41" s="1057"/>
      <c r="K41" s="1058"/>
      <c r="L41" s="1059">
        <f t="shared" si="0"/>
        <v>0</v>
      </c>
    </row>
    <row r="42" spans="1:12" s="314" customFormat="1" ht="30" x14ac:dyDescent="0.3">
      <c r="A42" s="1039">
        <v>32</v>
      </c>
      <c r="B42" s="1040"/>
      <c r="C42" s="1051">
        <v>3</v>
      </c>
      <c r="D42" s="1052" t="s">
        <v>1153</v>
      </c>
      <c r="E42" s="1043"/>
      <c r="F42" s="1053"/>
      <c r="G42" s="1054"/>
      <c r="H42" s="1055"/>
      <c r="I42" s="1056"/>
      <c r="J42" s="1057">
        <v>251</v>
      </c>
      <c r="K42" s="1058">
        <v>150</v>
      </c>
      <c r="L42" s="1059">
        <f t="shared" si="0"/>
        <v>401</v>
      </c>
    </row>
    <row r="43" spans="1:12" s="314" customFormat="1" ht="18" customHeight="1" x14ac:dyDescent="0.3">
      <c r="A43" s="304">
        <v>33</v>
      </c>
      <c r="B43" s="1040">
        <v>7</v>
      </c>
      <c r="C43" s="1041" t="s">
        <v>389</v>
      </c>
      <c r="D43" s="1042"/>
      <c r="E43" s="1043" t="s">
        <v>23</v>
      </c>
      <c r="F43" s="1066"/>
      <c r="G43" s="1045"/>
      <c r="H43" s="1067"/>
      <c r="I43" s="1068"/>
      <c r="J43" s="1048"/>
      <c r="K43" s="1049"/>
      <c r="L43" s="1050"/>
    </row>
    <row r="44" spans="1:12" s="314" customFormat="1" ht="18" customHeight="1" x14ac:dyDescent="0.3">
      <c r="A44" s="312">
        <v>34</v>
      </c>
      <c r="B44" s="1040"/>
      <c r="C44" s="1065" t="s">
        <v>551</v>
      </c>
      <c r="D44" s="1069"/>
      <c r="E44" s="1043"/>
      <c r="F44" s="1053">
        <v>1083</v>
      </c>
      <c r="G44" s="1054">
        <v>300</v>
      </c>
      <c r="H44" s="1055">
        <v>1129</v>
      </c>
      <c r="I44" s="1056"/>
      <c r="J44" s="1057"/>
      <c r="K44" s="1058"/>
      <c r="L44" s="1059"/>
    </row>
    <row r="45" spans="1:12" s="314" customFormat="1" ht="18" customHeight="1" x14ac:dyDescent="0.3">
      <c r="A45" s="1039">
        <v>35</v>
      </c>
      <c r="B45" s="1040"/>
      <c r="C45" s="1051">
        <v>1</v>
      </c>
      <c r="D45" s="1052" t="s">
        <v>815</v>
      </c>
      <c r="E45" s="1043"/>
      <c r="F45" s="1053"/>
      <c r="G45" s="1054"/>
      <c r="H45" s="1055"/>
      <c r="I45" s="1056">
        <v>120</v>
      </c>
      <c r="J45" s="1057">
        <v>120</v>
      </c>
      <c r="K45" s="1058"/>
      <c r="L45" s="1059">
        <f t="shared" ref="L45:L46" si="1">SUM(J45:K45)</f>
        <v>120</v>
      </c>
    </row>
    <row r="46" spans="1:12" s="314" customFormat="1" ht="18" customHeight="1" x14ac:dyDescent="0.3">
      <c r="A46" s="304">
        <v>36</v>
      </c>
      <c r="B46" s="1040"/>
      <c r="C46" s="1051">
        <v>2</v>
      </c>
      <c r="D46" s="1052" t="s">
        <v>816</v>
      </c>
      <c r="E46" s="1043"/>
      <c r="F46" s="1053"/>
      <c r="G46" s="1054"/>
      <c r="H46" s="1055"/>
      <c r="I46" s="1056">
        <v>300</v>
      </c>
      <c r="J46" s="1057">
        <v>300</v>
      </c>
      <c r="K46" s="1058"/>
      <c r="L46" s="1059">
        <f t="shared" si="1"/>
        <v>300</v>
      </c>
    </row>
    <row r="47" spans="1:12" s="314" customFormat="1" ht="18" customHeight="1" x14ac:dyDescent="0.3">
      <c r="A47" s="312">
        <v>37</v>
      </c>
      <c r="B47" s="1040"/>
      <c r="C47" s="1065" t="s">
        <v>475</v>
      </c>
      <c r="D47" s="1069"/>
      <c r="E47" s="1043"/>
      <c r="F47" s="1053">
        <v>1293</v>
      </c>
      <c r="G47" s="1054">
        <v>320</v>
      </c>
      <c r="H47" s="1055">
        <v>1450</v>
      </c>
      <c r="I47" s="1056"/>
      <c r="J47" s="1057"/>
      <c r="K47" s="1058"/>
      <c r="L47" s="1059"/>
    </row>
    <row r="48" spans="1:12" s="314" customFormat="1" ht="18" customHeight="1" x14ac:dyDescent="0.3">
      <c r="A48" s="1039">
        <v>38</v>
      </c>
      <c r="B48" s="1040"/>
      <c r="C48" s="1051">
        <v>3</v>
      </c>
      <c r="D48" s="1052" t="s">
        <v>817</v>
      </c>
      <c r="E48" s="1043"/>
      <c r="F48" s="1053"/>
      <c r="G48" s="1054"/>
      <c r="H48" s="1055"/>
      <c r="I48" s="1056">
        <v>190</v>
      </c>
      <c r="J48" s="1057">
        <v>190</v>
      </c>
      <c r="K48" s="1058"/>
      <c r="L48" s="1059">
        <f>SUM(J48:K48)</f>
        <v>190</v>
      </c>
    </row>
    <row r="49" spans="1:12" s="314" customFormat="1" ht="18" customHeight="1" x14ac:dyDescent="0.3">
      <c r="A49" s="304">
        <v>39</v>
      </c>
      <c r="B49" s="1040"/>
      <c r="C49" s="1065" t="s">
        <v>476</v>
      </c>
      <c r="D49" s="1069"/>
      <c r="E49" s="1043"/>
      <c r="F49" s="1053">
        <v>2601</v>
      </c>
      <c r="G49" s="1054">
        <v>1300</v>
      </c>
      <c r="H49" s="1055">
        <v>2493</v>
      </c>
      <c r="I49" s="1056"/>
      <c r="J49" s="1057"/>
      <c r="K49" s="1058"/>
      <c r="L49" s="1059"/>
    </row>
    <row r="50" spans="1:12" s="314" customFormat="1" ht="18" customHeight="1" x14ac:dyDescent="0.3">
      <c r="A50" s="312">
        <v>40</v>
      </c>
      <c r="B50" s="1040"/>
      <c r="C50" s="1051">
        <v>4</v>
      </c>
      <c r="D50" s="1052" t="s">
        <v>818</v>
      </c>
      <c r="E50" s="1043"/>
      <c r="F50" s="1053"/>
      <c r="G50" s="1054"/>
      <c r="H50" s="1055"/>
      <c r="I50" s="1056">
        <v>260</v>
      </c>
      <c r="J50" s="1057">
        <v>260</v>
      </c>
      <c r="K50" s="1058"/>
      <c r="L50" s="1059">
        <f>SUM(J50:K50)</f>
        <v>260</v>
      </c>
    </row>
    <row r="51" spans="1:12" s="314" customFormat="1" ht="18" customHeight="1" x14ac:dyDescent="0.3">
      <c r="A51" s="1039">
        <v>41</v>
      </c>
      <c r="B51" s="1040"/>
      <c r="C51" s="1065" t="s">
        <v>478</v>
      </c>
      <c r="D51" s="1052"/>
      <c r="E51" s="1043"/>
      <c r="F51" s="1053">
        <v>2227</v>
      </c>
      <c r="G51" s="1054">
        <v>1500</v>
      </c>
      <c r="H51" s="1055">
        <v>3057</v>
      </c>
      <c r="I51" s="1056"/>
      <c r="J51" s="1057"/>
      <c r="K51" s="1058"/>
      <c r="L51" s="1059"/>
    </row>
    <row r="52" spans="1:12" s="314" customFormat="1" ht="18" customHeight="1" x14ac:dyDescent="0.3">
      <c r="A52" s="304">
        <v>42</v>
      </c>
      <c r="B52" s="1040"/>
      <c r="C52" s="1051">
        <v>5</v>
      </c>
      <c r="D52" s="1052" t="s">
        <v>819</v>
      </c>
      <c r="E52" s="1043"/>
      <c r="F52" s="1053"/>
      <c r="G52" s="1054"/>
      <c r="H52" s="1055"/>
      <c r="I52" s="1056">
        <v>340</v>
      </c>
      <c r="J52" s="1057">
        <v>340</v>
      </c>
      <c r="K52" s="1058"/>
      <c r="L52" s="1059">
        <f>SUM(J52:K52)</f>
        <v>340</v>
      </c>
    </row>
    <row r="53" spans="1:12" s="314" customFormat="1" ht="18" customHeight="1" x14ac:dyDescent="0.3">
      <c r="A53" s="312">
        <v>43</v>
      </c>
      <c r="B53" s="1040"/>
      <c r="C53" s="1065" t="s">
        <v>477</v>
      </c>
      <c r="D53" s="1069"/>
      <c r="E53" s="1043"/>
      <c r="F53" s="1053">
        <v>1803</v>
      </c>
      <c r="G53" s="1054">
        <v>800</v>
      </c>
      <c r="H53" s="1055">
        <v>1244</v>
      </c>
      <c r="I53" s="1056"/>
      <c r="J53" s="1057"/>
      <c r="K53" s="1058"/>
      <c r="L53" s="1059"/>
    </row>
    <row r="54" spans="1:12" s="314" customFormat="1" x14ac:dyDescent="0.3">
      <c r="A54" s="1039">
        <v>44</v>
      </c>
      <c r="B54" s="1040"/>
      <c r="C54" s="1051">
        <v>6</v>
      </c>
      <c r="D54" s="1052" t="s">
        <v>820</v>
      </c>
      <c r="E54" s="1043"/>
      <c r="F54" s="1053"/>
      <c r="G54" s="1054"/>
      <c r="H54" s="1055"/>
      <c r="I54" s="1056">
        <v>220</v>
      </c>
      <c r="J54" s="1057">
        <v>220</v>
      </c>
      <c r="K54" s="1058"/>
      <c r="L54" s="1059">
        <f>SUM(J54:K54)</f>
        <v>220</v>
      </c>
    </row>
    <row r="55" spans="1:12" s="314" customFormat="1" ht="18" customHeight="1" x14ac:dyDescent="0.3">
      <c r="A55" s="304">
        <v>45</v>
      </c>
      <c r="B55" s="1040"/>
      <c r="C55" s="1065" t="s">
        <v>821</v>
      </c>
      <c r="D55" s="1069"/>
      <c r="E55" s="1043"/>
      <c r="F55" s="1053"/>
      <c r="G55" s="1054"/>
      <c r="H55" s="1055">
        <v>193</v>
      </c>
      <c r="I55" s="1056"/>
      <c r="J55" s="1057"/>
      <c r="K55" s="1058"/>
      <c r="L55" s="1059"/>
    </row>
    <row r="56" spans="1:12" s="314" customFormat="1" ht="18" customHeight="1" x14ac:dyDescent="0.3">
      <c r="A56" s="312">
        <v>46</v>
      </c>
      <c r="B56" s="1040"/>
      <c r="C56" s="1065" t="s">
        <v>436</v>
      </c>
      <c r="D56" s="1052"/>
      <c r="E56" s="1043"/>
      <c r="F56" s="1053">
        <v>5072</v>
      </c>
      <c r="G56" s="1045">
        <v>2260</v>
      </c>
      <c r="H56" s="1046">
        <v>15436</v>
      </c>
      <c r="I56" s="1047"/>
      <c r="J56" s="1048"/>
      <c r="K56" s="1049"/>
      <c r="L56" s="1059"/>
    </row>
    <row r="57" spans="1:12" s="313" customFormat="1" ht="45" x14ac:dyDescent="0.3">
      <c r="A57" s="1039">
        <v>47</v>
      </c>
      <c r="B57" s="1040"/>
      <c r="C57" s="1070">
        <v>7</v>
      </c>
      <c r="D57" s="1062" t="s">
        <v>1070</v>
      </c>
      <c r="E57" s="1043"/>
      <c r="F57" s="1053"/>
      <c r="G57" s="1045"/>
      <c r="H57" s="1046"/>
      <c r="I57" s="1047"/>
      <c r="J57" s="1057">
        <v>800</v>
      </c>
      <c r="K57" s="1071">
        <v>200</v>
      </c>
      <c r="L57" s="1059">
        <f t="shared" ref="L57" si="2">SUM(J57:K57)</f>
        <v>1000</v>
      </c>
    </row>
    <row r="58" spans="1:12" s="314" customFormat="1" ht="18" customHeight="1" x14ac:dyDescent="0.3">
      <c r="A58" s="304">
        <v>48</v>
      </c>
      <c r="B58" s="1040"/>
      <c r="C58" s="1072" t="s">
        <v>822</v>
      </c>
      <c r="D58" s="1052"/>
      <c r="E58" s="1043"/>
      <c r="F58" s="1053"/>
      <c r="G58" s="1045"/>
      <c r="H58" s="1046"/>
      <c r="I58" s="1047"/>
      <c r="J58" s="1048"/>
      <c r="K58" s="1049"/>
      <c r="L58" s="1050"/>
    </row>
    <row r="59" spans="1:12" s="314" customFormat="1" ht="18" customHeight="1" x14ac:dyDescent="0.3">
      <c r="A59" s="312">
        <v>49</v>
      </c>
      <c r="B59" s="1040"/>
      <c r="C59" s="1051">
        <v>8</v>
      </c>
      <c r="D59" s="1052" t="s">
        <v>823</v>
      </c>
      <c r="E59" s="1043"/>
      <c r="F59" s="1053"/>
      <c r="G59" s="1054"/>
      <c r="H59" s="1055"/>
      <c r="I59" s="1056">
        <v>200</v>
      </c>
      <c r="J59" s="1057">
        <v>200</v>
      </c>
      <c r="K59" s="1058"/>
      <c r="L59" s="1059">
        <f>SUM(J59:K59)</f>
        <v>200</v>
      </c>
    </row>
    <row r="60" spans="1:12" s="313" customFormat="1" ht="22.5" customHeight="1" x14ac:dyDescent="0.3">
      <c r="A60" s="1039">
        <v>50</v>
      </c>
      <c r="B60" s="1040">
        <v>8</v>
      </c>
      <c r="C60" s="1063" t="s">
        <v>125</v>
      </c>
      <c r="D60" s="1042"/>
      <c r="E60" s="1043" t="s">
        <v>23</v>
      </c>
      <c r="F60" s="1044">
        <v>905</v>
      </c>
      <c r="G60" s="1045"/>
      <c r="H60" s="1046">
        <v>2004</v>
      </c>
      <c r="I60" s="1047"/>
      <c r="J60" s="1048"/>
      <c r="K60" s="1049"/>
      <c r="L60" s="1050"/>
    </row>
    <row r="61" spans="1:12" s="314" customFormat="1" x14ac:dyDescent="0.3">
      <c r="A61" s="304">
        <v>51</v>
      </c>
      <c r="B61" s="1040"/>
      <c r="C61" s="1051">
        <v>1</v>
      </c>
      <c r="D61" s="1052" t="s">
        <v>1021</v>
      </c>
      <c r="E61" s="1043"/>
      <c r="F61" s="1053"/>
      <c r="G61" s="1054"/>
      <c r="H61" s="1055"/>
      <c r="I61" s="1056"/>
      <c r="J61" s="1057">
        <v>59</v>
      </c>
      <c r="K61" s="1058"/>
      <c r="L61" s="1059">
        <f t="shared" ref="L61:L62" si="3">SUM(J61:K61)</f>
        <v>59</v>
      </c>
    </row>
    <row r="62" spans="1:12" s="314" customFormat="1" ht="30" x14ac:dyDescent="0.3">
      <c r="A62" s="312">
        <v>52</v>
      </c>
      <c r="B62" s="1040"/>
      <c r="C62" s="1073">
        <v>2</v>
      </c>
      <c r="D62" s="1062" t="s">
        <v>1154</v>
      </c>
      <c r="E62" s="1043"/>
      <c r="F62" s="1053"/>
      <c r="G62" s="1054"/>
      <c r="H62" s="1055"/>
      <c r="I62" s="1056"/>
      <c r="J62" s="1057">
        <v>200</v>
      </c>
      <c r="K62" s="1058">
        <v>400</v>
      </c>
      <c r="L62" s="1059">
        <f t="shared" si="3"/>
        <v>600</v>
      </c>
    </row>
    <row r="63" spans="1:12" s="314" customFormat="1" x14ac:dyDescent="0.3">
      <c r="A63" s="1039">
        <v>53</v>
      </c>
      <c r="B63" s="1040">
        <v>9</v>
      </c>
      <c r="C63" s="1063" t="s">
        <v>544</v>
      </c>
      <c r="D63" s="1042"/>
      <c r="E63" s="1043" t="s">
        <v>23</v>
      </c>
      <c r="F63" s="1066"/>
      <c r="G63" s="1045">
        <v>4385</v>
      </c>
      <c r="H63" s="1046">
        <v>5998</v>
      </c>
      <c r="I63" s="1047"/>
      <c r="J63" s="1048"/>
      <c r="K63" s="1049"/>
      <c r="L63" s="1050"/>
    </row>
    <row r="64" spans="1:12" s="314" customFormat="1" ht="60" x14ac:dyDescent="0.3">
      <c r="A64" s="304">
        <v>54</v>
      </c>
      <c r="B64" s="1040"/>
      <c r="C64" s="1073">
        <v>1</v>
      </c>
      <c r="D64" s="1052" t="s">
        <v>1155</v>
      </c>
      <c r="E64" s="1043"/>
      <c r="F64" s="1053"/>
      <c r="G64" s="1054"/>
      <c r="H64" s="1055"/>
      <c r="I64" s="1056">
        <v>500</v>
      </c>
      <c r="J64" s="1057">
        <v>500</v>
      </c>
      <c r="K64" s="1058"/>
      <c r="L64" s="1059">
        <f t="shared" ref="L64:L68" si="4">SUM(J64:K64)</f>
        <v>500</v>
      </c>
    </row>
    <row r="65" spans="1:12" s="313" customFormat="1" ht="60" x14ac:dyDescent="0.3">
      <c r="A65" s="312">
        <v>55</v>
      </c>
      <c r="B65" s="1040"/>
      <c r="C65" s="1073">
        <v>2</v>
      </c>
      <c r="D65" s="1052" t="s">
        <v>1071</v>
      </c>
      <c r="E65" s="1043"/>
      <c r="F65" s="1053"/>
      <c r="G65" s="1054"/>
      <c r="H65" s="1055"/>
      <c r="I65" s="1056">
        <v>300</v>
      </c>
      <c r="J65" s="1057">
        <v>300</v>
      </c>
      <c r="K65" s="1058"/>
      <c r="L65" s="1059">
        <f t="shared" si="4"/>
        <v>300</v>
      </c>
    </row>
    <row r="66" spans="1:12" s="314" customFormat="1" ht="60" x14ac:dyDescent="0.3">
      <c r="A66" s="1039">
        <v>56</v>
      </c>
      <c r="B66" s="1040"/>
      <c r="C66" s="1073">
        <v>3</v>
      </c>
      <c r="D66" s="1052" t="s">
        <v>1072</v>
      </c>
      <c r="E66" s="1043"/>
      <c r="F66" s="1053"/>
      <c r="G66" s="1054"/>
      <c r="H66" s="1055"/>
      <c r="I66" s="1056">
        <v>200</v>
      </c>
      <c r="J66" s="1057">
        <v>200</v>
      </c>
      <c r="K66" s="1058"/>
      <c r="L66" s="1059">
        <f t="shared" si="4"/>
        <v>200</v>
      </c>
    </row>
    <row r="67" spans="1:12" s="355" customFormat="1" ht="30" customHeight="1" x14ac:dyDescent="0.3">
      <c r="A67" s="304">
        <v>57</v>
      </c>
      <c r="B67" s="1040"/>
      <c r="C67" s="1073">
        <v>4</v>
      </c>
      <c r="D67" s="1052" t="s">
        <v>1073</v>
      </c>
      <c r="E67" s="1043"/>
      <c r="F67" s="1053"/>
      <c r="G67" s="1054"/>
      <c r="H67" s="1055"/>
      <c r="I67" s="1056">
        <v>150</v>
      </c>
      <c r="J67" s="1057">
        <v>150</v>
      </c>
      <c r="K67" s="1058"/>
      <c r="L67" s="1059">
        <f t="shared" si="4"/>
        <v>150</v>
      </c>
    </row>
    <row r="68" spans="1:12" s="355" customFormat="1" ht="18" customHeight="1" x14ac:dyDescent="0.3">
      <c r="A68" s="312">
        <v>58</v>
      </c>
      <c r="B68" s="1040"/>
      <c r="C68" s="1087">
        <v>5</v>
      </c>
      <c r="D68" s="1062" t="s">
        <v>1156</v>
      </c>
      <c r="E68" s="1043"/>
      <c r="F68" s="1053"/>
      <c r="G68" s="1054"/>
      <c r="H68" s="1055"/>
      <c r="I68" s="1056"/>
      <c r="J68" s="1057"/>
      <c r="K68" s="1058">
        <v>1400</v>
      </c>
      <c r="L68" s="1059">
        <f t="shared" si="4"/>
        <v>1400</v>
      </c>
    </row>
    <row r="69" spans="1:12" s="355" customFormat="1" ht="18" customHeight="1" x14ac:dyDescent="0.3">
      <c r="A69" s="1039">
        <v>59</v>
      </c>
      <c r="B69" s="1040">
        <v>10</v>
      </c>
      <c r="C69" s="1041" t="s">
        <v>546</v>
      </c>
      <c r="D69" s="1042"/>
      <c r="E69" s="1043" t="s">
        <v>23</v>
      </c>
      <c r="F69" s="1044">
        <v>13964</v>
      </c>
      <c r="G69" s="1045">
        <v>5000</v>
      </c>
      <c r="H69" s="1046">
        <v>4955</v>
      </c>
      <c r="I69" s="1047"/>
      <c r="J69" s="1048"/>
      <c r="K69" s="1049"/>
      <c r="L69" s="1050"/>
    </row>
    <row r="70" spans="1:12" s="313" customFormat="1" ht="22.5" customHeight="1" x14ac:dyDescent="0.3">
      <c r="A70" s="304">
        <v>60</v>
      </c>
      <c r="B70" s="1040"/>
      <c r="C70" s="1051">
        <v>1</v>
      </c>
      <c r="D70" s="1052" t="s">
        <v>474</v>
      </c>
      <c r="E70" s="1043"/>
      <c r="F70" s="1053"/>
      <c r="G70" s="1054"/>
      <c r="H70" s="1055"/>
      <c r="I70" s="1056"/>
      <c r="J70" s="1057"/>
      <c r="K70" s="1058"/>
      <c r="L70" s="1059"/>
    </row>
    <row r="71" spans="1:12" s="314" customFormat="1" ht="18" customHeight="1" x14ac:dyDescent="0.3">
      <c r="A71" s="312">
        <v>61</v>
      </c>
      <c r="B71" s="1074"/>
      <c r="C71" s="1073">
        <v>1</v>
      </c>
      <c r="D71" s="1075" t="s">
        <v>824</v>
      </c>
      <c r="E71" s="1076"/>
      <c r="F71" s="1077"/>
      <c r="G71" s="1078"/>
      <c r="H71" s="1079"/>
      <c r="I71" s="1080">
        <v>4050</v>
      </c>
      <c r="J71" s="1057">
        <v>4050</v>
      </c>
      <c r="K71" s="1058"/>
      <c r="L71" s="1059">
        <f>SUM(J71:K71)</f>
        <v>4050</v>
      </c>
    </row>
    <row r="72" spans="1:12" s="314" customFormat="1" ht="18" customHeight="1" x14ac:dyDescent="0.3">
      <c r="A72" s="1039">
        <v>62</v>
      </c>
      <c r="B72" s="1074"/>
      <c r="C72" s="1073">
        <v>2</v>
      </c>
      <c r="D72" s="1081" t="s">
        <v>1023</v>
      </c>
      <c r="E72" s="1076"/>
      <c r="F72" s="1077"/>
      <c r="G72" s="1078"/>
      <c r="H72" s="1079"/>
      <c r="I72" s="1080"/>
      <c r="J72" s="1057">
        <v>1268</v>
      </c>
      <c r="K72" s="1058"/>
      <c r="L72" s="1059">
        <f>SUM(J72:K72)</f>
        <v>1268</v>
      </c>
    </row>
    <row r="73" spans="1:12" s="314" customFormat="1" ht="18" customHeight="1" x14ac:dyDescent="0.3">
      <c r="A73" s="304">
        <v>63</v>
      </c>
      <c r="B73" s="1074"/>
      <c r="C73" s="1073">
        <v>3</v>
      </c>
      <c r="D73" s="1081" t="s">
        <v>1024</v>
      </c>
      <c r="E73" s="1076"/>
      <c r="F73" s="1077"/>
      <c r="G73" s="1078"/>
      <c r="H73" s="1079"/>
      <c r="I73" s="1080"/>
      <c r="J73" s="1057">
        <v>1000</v>
      </c>
      <c r="K73" s="1058"/>
      <c r="L73" s="1059">
        <f>SUM(J73:K73)</f>
        <v>1000</v>
      </c>
    </row>
    <row r="74" spans="1:12" s="314" customFormat="1" ht="18" customHeight="1" x14ac:dyDescent="0.3">
      <c r="A74" s="312">
        <v>64</v>
      </c>
      <c r="B74" s="1040">
        <v>11</v>
      </c>
      <c r="C74" s="1063" t="s">
        <v>528</v>
      </c>
      <c r="D74" s="1042"/>
      <c r="E74" s="1043" t="s">
        <v>23</v>
      </c>
      <c r="F74" s="1044">
        <v>10145</v>
      </c>
      <c r="G74" s="1045">
        <v>4400</v>
      </c>
      <c r="H74" s="1046">
        <v>8894</v>
      </c>
      <c r="I74" s="1047"/>
      <c r="J74" s="1048"/>
      <c r="K74" s="1049"/>
      <c r="L74" s="1050"/>
    </row>
    <row r="75" spans="1:12" s="313" customFormat="1" ht="22.5" customHeight="1" x14ac:dyDescent="0.3">
      <c r="A75" s="1039">
        <v>65</v>
      </c>
      <c r="B75" s="1040"/>
      <c r="C75" s="1051">
        <v>1</v>
      </c>
      <c r="D75" s="1052" t="s">
        <v>1023</v>
      </c>
      <c r="E75" s="1043"/>
      <c r="F75" s="1053"/>
      <c r="G75" s="1054"/>
      <c r="H75" s="1055"/>
      <c r="I75" s="1056"/>
      <c r="J75" s="1057">
        <v>794</v>
      </c>
      <c r="K75" s="1058"/>
      <c r="L75" s="1059">
        <f t="shared" ref="L75:L79" si="5">SUM(J75:K75)</f>
        <v>794</v>
      </c>
    </row>
    <row r="76" spans="1:12" s="314" customFormat="1" ht="18" hidden="1" customHeight="1" x14ac:dyDescent="0.3">
      <c r="A76" s="304">
        <v>66</v>
      </c>
      <c r="B76" s="1040"/>
      <c r="C76" s="1051">
        <v>2</v>
      </c>
      <c r="D76" s="1062" t="s">
        <v>1074</v>
      </c>
      <c r="E76" s="1043"/>
      <c r="F76" s="1053"/>
      <c r="G76" s="1054"/>
      <c r="H76" s="1055"/>
      <c r="I76" s="1056"/>
      <c r="J76" s="1057">
        <v>643</v>
      </c>
      <c r="K76" s="1058"/>
      <c r="L76" s="1059">
        <f t="shared" si="5"/>
        <v>643</v>
      </c>
    </row>
    <row r="77" spans="1:12" s="314" customFormat="1" x14ac:dyDescent="0.3">
      <c r="A77" s="312">
        <v>67</v>
      </c>
      <c r="B77" s="1040"/>
      <c r="C77" s="1051">
        <v>3</v>
      </c>
      <c r="D77" s="1062" t="s">
        <v>1075</v>
      </c>
      <c r="E77" s="1043"/>
      <c r="F77" s="1053"/>
      <c r="G77" s="1054"/>
      <c r="H77" s="1055"/>
      <c r="I77" s="1056"/>
      <c r="J77" s="1057">
        <v>345</v>
      </c>
      <c r="K77" s="1058"/>
      <c r="L77" s="1059">
        <f t="shared" si="5"/>
        <v>345</v>
      </c>
    </row>
    <row r="78" spans="1:12" s="314" customFormat="1" x14ac:dyDescent="0.3">
      <c r="A78" s="1039">
        <v>68</v>
      </c>
      <c r="B78" s="1040"/>
      <c r="C78" s="1051">
        <v>4</v>
      </c>
      <c r="D78" s="1062" t="s">
        <v>1022</v>
      </c>
      <c r="E78" s="1043"/>
      <c r="F78" s="1053"/>
      <c r="G78" s="1054"/>
      <c r="H78" s="1055"/>
      <c r="I78" s="1056"/>
      <c r="J78" s="1057">
        <v>173</v>
      </c>
      <c r="K78" s="1058"/>
      <c r="L78" s="1059">
        <f t="shared" si="5"/>
        <v>173</v>
      </c>
    </row>
    <row r="79" spans="1:12" s="314" customFormat="1" ht="18" customHeight="1" x14ac:dyDescent="0.3">
      <c r="A79" s="304">
        <v>69</v>
      </c>
      <c r="B79" s="1040"/>
      <c r="C79" s="1051">
        <v>5</v>
      </c>
      <c r="D79" s="1062" t="s">
        <v>1157</v>
      </c>
      <c r="E79" s="1043"/>
      <c r="F79" s="1053"/>
      <c r="G79" s="1054"/>
      <c r="H79" s="1055"/>
      <c r="I79" s="1056"/>
      <c r="J79" s="1057"/>
      <c r="K79" s="1058">
        <v>127</v>
      </c>
      <c r="L79" s="1059">
        <f t="shared" si="5"/>
        <v>127</v>
      </c>
    </row>
    <row r="80" spans="1:12" s="314" customFormat="1" x14ac:dyDescent="0.3">
      <c r="A80" s="312">
        <v>70</v>
      </c>
      <c r="B80" s="1040">
        <v>12</v>
      </c>
      <c r="C80" s="1063" t="s">
        <v>25</v>
      </c>
      <c r="D80" s="1042"/>
      <c r="E80" s="1043" t="s">
        <v>23</v>
      </c>
      <c r="F80" s="1044">
        <v>7550</v>
      </c>
      <c r="G80" s="1045">
        <v>2000</v>
      </c>
      <c r="H80" s="1046">
        <f>1106+1737+1848+92</f>
        <v>4783</v>
      </c>
      <c r="I80" s="1047"/>
      <c r="J80" s="1048"/>
      <c r="K80" s="1049"/>
      <c r="L80" s="1050"/>
    </row>
    <row r="81" spans="1:12" s="313" customFormat="1" ht="22.5" customHeight="1" x14ac:dyDescent="0.3">
      <c r="A81" s="1039">
        <v>71</v>
      </c>
      <c r="B81" s="1040"/>
      <c r="C81" s="1051">
        <v>1</v>
      </c>
      <c r="D81" s="1052" t="s">
        <v>474</v>
      </c>
      <c r="E81" s="1043"/>
      <c r="F81" s="1053"/>
      <c r="G81" s="1054"/>
      <c r="H81" s="1055"/>
      <c r="I81" s="1056"/>
      <c r="J81" s="1057"/>
      <c r="K81" s="1058"/>
      <c r="L81" s="1059"/>
    </row>
    <row r="82" spans="1:12" s="314" customFormat="1" ht="28.5" customHeight="1" x14ac:dyDescent="0.3">
      <c r="A82" s="304">
        <v>72</v>
      </c>
      <c r="B82" s="1040"/>
      <c r="C82" s="1073">
        <v>1</v>
      </c>
      <c r="D82" s="1052" t="s">
        <v>437</v>
      </c>
      <c r="E82" s="1043"/>
      <c r="F82" s="1053">
        <v>21775</v>
      </c>
      <c r="G82" s="1054">
        <v>15000</v>
      </c>
      <c r="H82" s="1055">
        <v>20716</v>
      </c>
      <c r="I82" s="1056">
        <v>16000</v>
      </c>
      <c r="J82" s="1057">
        <v>51000</v>
      </c>
      <c r="K82" s="1058">
        <v>5000</v>
      </c>
      <c r="L82" s="1059">
        <f>SUM(J82:K82)</f>
        <v>56000</v>
      </c>
    </row>
    <row r="83" spans="1:12" s="314" customFormat="1" ht="37.5" customHeight="1" x14ac:dyDescent="0.3">
      <c r="A83" s="312">
        <v>73</v>
      </c>
      <c r="B83" s="1040"/>
      <c r="C83" s="1073">
        <v>2</v>
      </c>
      <c r="D83" s="1052" t="s">
        <v>824</v>
      </c>
      <c r="E83" s="1043"/>
      <c r="F83" s="1053"/>
      <c r="G83" s="1054"/>
      <c r="H83" s="1055"/>
      <c r="I83" s="1056">
        <v>2400</v>
      </c>
      <c r="J83" s="1057">
        <v>2400</v>
      </c>
      <c r="K83" s="1058"/>
      <c r="L83" s="1059">
        <f>SUM(J83:K83)</f>
        <v>2400</v>
      </c>
    </row>
    <row r="84" spans="1:12" s="314" customFormat="1" ht="45" customHeight="1" x14ac:dyDescent="0.3">
      <c r="A84" s="1039">
        <v>74</v>
      </c>
      <c r="B84" s="1040"/>
      <c r="C84" s="1073">
        <v>3</v>
      </c>
      <c r="D84" s="1062" t="s">
        <v>1025</v>
      </c>
      <c r="E84" s="1043"/>
      <c r="F84" s="1053"/>
      <c r="G84" s="1054"/>
      <c r="H84" s="1055"/>
      <c r="I84" s="1056"/>
      <c r="J84" s="1057">
        <v>11000</v>
      </c>
      <c r="K84" s="1058">
        <v>1633</v>
      </c>
      <c r="L84" s="1059">
        <f>SUM(J84:K84)</f>
        <v>12633</v>
      </c>
    </row>
    <row r="85" spans="1:12" s="314" customFormat="1" ht="30" x14ac:dyDescent="0.3">
      <c r="A85" s="304">
        <v>75</v>
      </c>
      <c r="B85" s="1040"/>
      <c r="C85" s="1073">
        <v>4</v>
      </c>
      <c r="D85" s="1062" t="s">
        <v>1158</v>
      </c>
      <c r="E85" s="1043"/>
      <c r="F85" s="1053"/>
      <c r="G85" s="1054"/>
      <c r="H85" s="1055"/>
      <c r="I85" s="1056"/>
      <c r="J85" s="1057">
        <v>950</v>
      </c>
      <c r="K85" s="1058">
        <v>-15</v>
      </c>
      <c r="L85" s="1059">
        <f>SUM(J85:K85)</f>
        <v>935</v>
      </c>
    </row>
    <row r="86" spans="1:12" s="314" customFormat="1" ht="31.5" customHeight="1" x14ac:dyDescent="0.3">
      <c r="A86" s="312">
        <v>76</v>
      </c>
      <c r="B86" s="1040"/>
      <c r="C86" s="1073">
        <v>5</v>
      </c>
      <c r="D86" s="1062" t="s">
        <v>1159</v>
      </c>
      <c r="E86" s="1043"/>
      <c r="F86" s="1053"/>
      <c r="G86" s="1054"/>
      <c r="H86" s="1055"/>
      <c r="I86" s="1056"/>
      <c r="J86" s="1057"/>
      <c r="K86" s="1058">
        <v>15</v>
      </c>
      <c r="L86" s="1059">
        <f t="shared" ref="L86:L87" si="6">SUM(J86:K86)</f>
        <v>15</v>
      </c>
    </row>
    <row r="87" spans="1:12" s="314" customFormat="1" ht="30" x14ac:dyDescent="0.3">
      <c r="A87" s="1039">
        <v>77</v>
      </c>
      <c r="B87" s="1040"/>
      <c r="C87" s="1073">
        <v>6</v>
      </c>
      <c r="D87" s="1062" t="s">
        <v>1160</v>
      </c>
      <c r="E87" s="1043"/>
      <c r="F87" s="1053"/>
      <c r="G87" s="1054"/>
      <c r="H87" s="1055"/>
      <c r="I87" s="1056"/>
      <c r="J87" s="1057"/>
      <c r="K87" s="1058">
        <v>420</v>
      </c>
      <c r="L87" s="1059">
        <f t="shared" si="6"/>
        <v>420</v>
      </c>
    </row>
    <row r="88" spans="1:12" s="313" customFormat="1" ht="22.5" customHeight="1" x14ac:dyDescent="0.3">
      <c r="A88" s="304">
        <v>78</v>
      </c>
      <c r="B88" s="1040">
        <v>13</v>
      </c>
      <c r="C88" s="1063" t="s">
        <v>34</v>
      </c>
      <c r="D88" s="1042"/>
      <c r="E88" s="1043" t="s">
        <v>23</v>
      </c>
      <c r="F88" s="1044">
        <f>7372-1016</f>
        <v>6356</v>
      </c>
      <c r="G88" s="1045">
        <v>25158</v>
      </c>
      <c r="H88" s="1046">
        <v>50840</v>
      </c>
      <c r="I88" s="1047"/>
      <c r="J88" s="1048"/>
      <c r="K88" s="1049"/>
      <c r="L88" s="1050"/>
    </row>
    <row r="89" spans="1:12" s="314" customFormat="1" ht="30" x14ac:dyDescent="0.3">
      <c r="A89" s="312">
        <v>79</v>
      </c>
      <c r="B89" s="1040"/>
      <c r="C89" s="1073">
        <v>1</v>
      </c>
      <c r="D89" s="1052" t="s">
        <v>1026</v>
      </c>
      <c r="E89" s="1043"/>
      <c r="F89" s="1053"/>
      <c r="G89" s="1054"/>
      <c r="H89" s="1055"/>
      <c r="I89" s="1056">
        <v>700</v>
      </c>
      <c r="J89" s="1057">
        <v>690</v>
      </c>
      <c r="K89" s="1058">
        <v>200</v>
      </c>
      <c r="L89" s="1059">
        <f t="shared" ref="L89:L98" si="7">SUM(J89:K89)</f>
        <v>890</v>
      </c>
    </row>
    <row r="90" spans="1:12" s="314" customFormat="1" x14ac:dyDescent="0.3">
      <c r="A90" s="1039">
        <v>80</v>
      </c>
      <c r="B90" s="1040"/>
      <c r="C90" s="1051">
        <v>2</v>
      </c>
      <c r="D90" s="1062" t="s">
        <v>825</v>
      </c>
      <c r="E90" s="1043"/>
      <c r="F90" s="1053"/>
      <c r="G90" s="1054"/>
      <c r="H90" s="1055"/>
      <c r="I90" s="1056">
        <v>500</v>
      </c>
      <c r="J90" s="1057">
        <v>500</v>
      </c>
      <c r="K90" s="1058">
        <v>400</v>
      </c>
      <c r="L90" s="1059">
        <f t="shared" si="7"/>
        <v>900</v>
      </c>
    </row>
    <row r="91" spans="1:12" s="313" customFormat="1" ht="60" x14ac:dyDescent="0.3">
      <c r="A91" s="304">
        <v>81</v>
      </c>
      <c r="B91" s="1040"/>
      <c r="C91" s="1073">
        <v>3</v>
      </c>
      <c r="D91" s="1081" t="s">
        <v>826</v>
      </c>
      <c r="E91" s="1043"/>
      <c r="F91" s="1053">
        <v>1016</v>
      </c>
      <c r="G91" s="1054">
        <v>53846</v>
      </c>
      <c r="H91" s="1055">
        <v>54424</v>
      </c>
      <c r="I91" s="1056"/>
      <c r="J91" s="1057"/>
      <c r="K91" s="1058"/>
      <c r="L91" s="1059">
        <f t="shared" si="7"/>
        <v>0</v>
      </c>
    </row>
    <row r="92" spans="1:12" s="314" customFormat="1" x14ac:dyDescent="0.3">
      <c r="A92" s="312">
        <v>82</v>
      </c>
      <c r="B92" s="1040"/>
      <c r="C92" s="1051">
        <v>4</v>
      </c>
      <c r="D92" s="1062" t="s">
        <v>1027</v>
      </c>
      <c r="E92" s="1082"/>
      <c r="F92" s="1083"/>
      <c r="G92" s="1084"/>
      <c r="H92" s="1067"/>
      <c r="I92" s="1068"/>
      <c r="J92" s="1085">
        <v>1000</v>
      </c>
      <c r="K92" s="1049"/>
      <c r="L92" s="1086">
        <f t="shared" si="7"/>
        <v>1000</v>
      </c>
    </row>
    <row r="93" spans="1:12" s="314" customFormat="1" ht="30" x14ac:dyDescent="0.3">
      <c r="A93" s="1039">
        <v>83</v>
      </c>
      <c r="B93" s="1040"/>
      <c r="C93" s="1073">
        <v>5</v>
      </c>
      <c r="D93" s="1062" t="s">
        <v>1028</v>
      </c>
      <c r="E93" s="1082"/>
      <c r="F93" s="1083"/>
      <c r="G93" s="1084"/>
      <c r="H93" s="1067"/>
      <c r="I93" s="1068"/>
      <c r="J93" s="1085">
        <v>1804</v>
      </c>
      <c r="K93" s="1049"/>
      <c r="L93" s="1086">
        <f t="shared" si="7"/>
        <v>1804</v>
      </c>
    </row>
    <row r="94" spans="1:12" s="313" customFormat="1" ht="22.5" customHeight="1" x14ac:dyDescent="0.3">
      <c r="A94" s="304">
        <v>84</v>
      </c>
      <c r="B94" s="1040"/>
      <c r="C94" s="1051">
        <v>6</v>
      </c>
      <c r="D94" s="1062" t="s">
        <v>1029</v>
      </c>
      <c r="E94" s="1082"/>
      <c r="F94" s="1083"/>
      <c r="G94" s="1084"/>
      <c r="H94" s="1067"/>
      <c r="I94" s="1068"/>
      <c r="J94" s="1085">
        <v>10</v>
      </c>
      <c r="K94" s="1049">
        <v>100</v>
      </c>
      <c r="L94" s="1086">
        <f t="shared" si="7"/>
        <v>110</v>
      </c>
    </row>
    <row r="95" spans="1:12" s="315" customFormat="1" ht="36" customHeight="1" x14ac:dyDescent="0.3">
      <c r="A95" s="312">
        <v>85</v>
      </c>
      <c r="B95" s="1040"/>
      <c r="C95" s="1051">
        <v>7</v>
      </c>
      <c r="D95" s="1062" t="s">
        <v>1161</v>
      </c>
      <c r="E95" s="1082"/>
      <c r="F95" s="1083"/>
      <c r="G95" s="1084"/>
      <c r="H95" s="1067"/>
      <c r="I95" s="1068"/>
      <c r="J95" s="1085"/>
      <c r="K95" s="1049">
        <v>2500</v>
      </c>
      <c r="L95" s="1086">
        <f t="shared" si="7"/>
        <v>2500</v>
      </c>
    </row>
    <row r="96" spans="1:12" s="313" customFormat="1" ht="22.5" customHeight="1" x14ac:dyDescent="0.3">
      <c r="A96" s="1039">
        <v>86</v>
      </c>
      <c r="B96" s="1040"/>
      <c r="C96" s="1051">
        <v>8</v>
      </c>
      <c r="D96" s="1062" t="s">
        <v>1162</v>
      </c>
      <c r="E96" s="1082"/>
      <c r="F96" s="1083"/>
      <c r="G96" s="1084"/>
      <c r="H96" s="1067"/>
      <c r="I96" s="1068"/>
      <c r="J96" s="1085"/>
      <c r="K96" s="1049">
        <v>175</v>
      </c>
      <c r="L96" s="1086">
        <f t="shared" si="7"/>
        <v>175</v>
      </c>
    </row>
    <row r="97" spans="1:250" s="314" customFormat="1" ht="18" customHeight="1" x14ac:dyDescent="0.3">
      <c r="A97" s="312">
        <v>88</v>
      </c>
      <c r="B97" s="1040"/>
      <c r="C97" s="1051">
        <v>9</v>
      </c>
      <c r="D97" s="1062" t="s">
        <v>1163</v>
      </c>
      <c r="E97" s="1082"/>
      <c r="F97" s="1083"/>
      <c r="G97" s="1084"/>
      <c r="H97" s="1067"/>
      <c r="I97" s="1068"/>
      <c r="J97" s="1085"/>
      <c r="K97" s="1049">
        <v>600</v>
      </c>
      <c r="L97" s="1086">
        <f t="shared" si="7"/>
        <v>600</v>
      </c>
    </row>
    <row r="98" spans="1:250" s="314" customFormat="1" x14ac:dyDescent="0.3">
      <c r="A98" s="312"/>
      <c r="B98" s="1040"/>
      <c r="C98" s="1051">
        <v>10</v>
      </c>
      <c r="D98" s="1062" t="s">
        <v>1164</v>
      </c>
      <c r="E98" s="1082"/>
      <c r="F98" s="1083"/>
      <c r="G98" s="1084"/>
      <c r="H98" s="1067"/>
      <c r="I98" s="1068"/>
      <c r="J98" s="1085"/>
      <c r="K98" s="1049">
        <v>300</v>
      </c>
      <c r="L98" s="1086">
        <f t="shared" si="7"/>
        <v>300</v>
      </c>
    </row>
    <row r="99" spans="1:250" s="314" customFormat="1" ht="18" customHeight="1" x14ac:dyDescent="0.3">
      <c r="A99" s="304">
        <v>90</v>
      </c>
      <c r="B99" s="1040">
        <v>14</v>
      </c>
      <c r="C99" s="1063" t="s">
        <v>529</v>
      </c>
      <c r="D99" s="1042"/>
      <c r="E99" s="1043" t="s">
        <v>24</v>
      </c>
      <c r="F99" s="1044">
        <v>6210</v>
      </c>
      <c r="G99" s="1045">
        <v>4000</v>
      </c>
      <c r="H99" s="1046">
        <v>2197</v>
      </c>
      <c r="I99" s="1047"/>
      <c r="J99" s="1048"/>
      <c r="K99" s="1049"/>
      <c r="L99" s="1050"/>
    </row>
    <row r="100" spans="1:250" s="314" customFormat="1" ht="30" x14ac:dyDescent="0.3">
      <c r="A100" s="312">
        <v>91</v>
      </c>
      <c r="B100" s="1040"/>
      <c r="C100" s="1073">
        <v>1</v>
      </c>
      <c r="D100" s="1062" t="s">
        <v>827</v>
      </c>
      <c r="E100" s="1043"/>
      <c r="F100" s="1053">
        <v>597</v>
      </c>
      <c r="G100" s="1054">
        <v>1879</v>
      </c>
      <c r="H100" s="1055">
        <v>835</v>
      </c>
      <c r="I100" s="1056">
        <v>2831</v>
      </c>
      <c r="J100" s="1057">
        <v>869</v>
      </c>
      <c r="K100" s="1058"/>
      <c r="L100" s="1059">
        <f>SUM(J100:K100)</f>
        <v>869</v>
      </c>
    </row>
    <row r="101" spans="1:250" s="314" customFormat="1" ht="45" x14ac:dyDescent="0.3">
      <c r="A101" s="1039">
        <v>92</v>
      </c>
      <c r="B101" s="1040"/>
      <c r="C101" s="1073">
        <v>2</v>
      </c>
      <c r="D101" s="1062" t="s">
        <v>1165</v>
      </c>
      <c r="E101" s="1043"/>
      <c r="F101" s="1053"/>
      <c r="G101" s="1054"/>
      <c r="H101" s="1055"/>
      <c r="I101" s="1056"/>
      <c r="J101" s="1057">
        <v>2847</v>
      </c>
      <c r="K101" s="1058"/>
      <c r="L101" s="1059">
        <f>SUM(J101:K101)</f>
        <v>2847</v>
      </c>
    </row>
    <row r="102" spans="1:250" s="315" customFormat="1" ht="36" customHeight="1" x14ac:dyDescent="0.3">
      <c r="A102" s="304">
        <v>93</v>
      </c>
      <c r="B102" s="1040"/>
      <c r="C102" s="1073">
        <v>3</v>
      </c>
      <c r="D102" s="1062" t="s">
        <v>1166</v>
      </c>
      <c r="E102" s="1043"/>
      <c r="F102" s="1053"/>
      <c r="G102" s="1054"/>
      <c r="H102" s="1055"/>
      <c r="I102" s="1056"/>
      <c r="J102" s="1057"/>
      <c r="K102" s="1058">
        <v>187</v>
      </c>
      <c r="L102" s="1059">
        <f t="shared" ref="L102:L104" si="8">SUM(J102:K102)</f>
        <v>187</v>
      </c>
    </row>
    <row r="103" spans="1:250" s="315" customFormat="1" ht="36" customHeight="1" x14ac:dyDescent="0.3">
      <c r="A103" s="312">
        <v>94</v>
      </c>
      <c r="B103" s="1040"/>
      <c r="C103" s="1073">
        <v>4</v>
      </c>
      <c r="D103" s="1062" t="s">
        <v>1167</v>
      </c>
      <c r="E103" s="1043"/>
      <c r="F103" s="1053"/>
      <c r="G103" s="1054"/>
      <c r="H103" s="1055"/>
      <c r="I103" s="1056"/>
      <c r="J103" s="1057"/>
      <c r="K103" s="1058">
        <v>27</v>
      </c>
      <c r="L103" s="1059">
        <f t="shared" si="8"/>
        <v>27</v>
      </c>
    </row>
    <row r="104" spans="1:250" s="315" customFormat="1" ht="20.100000000000001" customHeight="1" x14ac:dyDescent="0.3">
      <c r="A104" s="1039">
        <v>95</v>
      </c>
      <c r="B104" s="1040"/>
      <c r="C104" s="1073">
        <v>5</v>
      </c>
      <c r="D104" s="1062" t="s">
        <v>1168</v>
      </c>
      <c r="E104" s="1043"/>
      <c r="F104" s="1053"/>
      <c r="G104" s="1054"/>
      <c r="H104" s="1055"/>
      <c r="I104" s="1056"/>
      <c r="J104" s="1057"/>
      <c r="K104" s="1058">
        <v>112</v>
      </c>
      <c r="L104" s="1059">
        <f t="shared" si="8"/>
        <v>112</v>
      </c>
    </row>
    <row r="105" spans="1:250" s="315" customFormat="1" ht="20.100000000000001" customHeight="1" x14ac:dyDescent="0.3">
      <c r="A105" s="304">
        <v>96</v>
      </c>
      <c r="B105" s="1040">
        <v>15</v>
      </c>
      <c r="C105" s="1063" t="s">
        <v>157</v>
      </c>
      <c r="D105" s="1042"/>
      <c r="E105" s="1043" t="s">
        <v>24</v>
      </c>
      <c r="F105" s="1044">
        <v>12216</v>
      </c>
      <c r="G105" s="1045">
        <v>1500</v>
      </c>
      <c r="H105" s="1046">
        <v>22457</v>
      </c>
      <c r="I105" s="1047"/>
      <c r="J105" s="1048"/>
      <c r="K105" s="1049"/>
      <c r="L105" s="1050"/>
    </row>
    <row r="106" spans="1:250" s="315" customFormat="1" ht="105" x14ac:dyDescent="0.3">
      <c r="A106" s="312">
        <v>97</v>
      </c>
      <c r="B106" s="1040"/>
      <c r="C106" s="1073">
        <v>1</v>
      </c>
      <c r="D106" s="1052" t="s">
        <v>1030</v>
      </c>
      <c r="E106" s="1043"/>
      <c r="F106" s="1053"/>
      <c r="G106" s="1054"/>
      <c r="H106" s="1055"/>
      <c r="I106" s="1056">
        <v>2000</v>
      </c>
      <c r="J106" s="1057">
        <v>5122</v>
      </c>
      <c r="K106" s="1058"/>
      <c r="L106" s="1059">
        <f>SUM(J106:K106)</f>
        <v>5122</v>
      </c>
    </row>
    <row r="107" spans="1:250" s="315" customFormat="1" ht="18" customHeight="1" x14ac:dyDescent="0.3">
      <c r="A107" s="1039">
        <v>98</v>
      </c>
      <c r="B107" s="1040"/>
      <c r="C107" s="1087">
        <v>2</v>
      </c>
      <c r="D107" s="1062" t="s">
        <v>1076</v>
      </c>
      <c r="E107" s="1043"/>
      <c r="F107" s="1053"/>
      <c r="G107" s="1054"/>
      <c r="H107" s="1055"/>
      <c r="I107" s="1056"/>
      <c r="J107" s="1057">
        <v>9961</v>
      </c>
      <c r="K107" s="1058"/>
      <c r="L107" s="1059">
        <f>SUM(J107:K107)</f>
        <v>9961</v>
      </c>
    </row>
    <row r="108" spans="1:250" s="315" customFormat="1" ht="36" customHeight="1" x14ac:dyDescent="0.3">
      <c r="A108" s="304">
        <v>99</v>
      </c>
      <c r="B108" s="1040"/>
      <c r="C108" s="1087">
        <v>3</v>
      </c>
      <c r="D108" s="1062" t="s">
        <v>1169</v>
      </c>
      <c r="E108" s="1043"/>
      <c r="F108" s="1053"/>
      <c r="G108" s="1054"/>
      <c r="H108" s="1055"/>
      <c r="I108" s="1056"/>
      <c r="J108" s="1057"/>
      <c r="K108" s="1058">
        <v>6120</v>
      </c>
      <c r="L108" s="1059">
        <f>SUM(J108:K108)</f>
        <v>6120</v>
      </c>
    </row>
    <row r="109" spans="1:250" ht="18" customHeight="1" thickBot="1" x14ac:dyDescent="0.35">
      <c r="A109" s="312">
        <v>100</v>
      </c>
      <c r="B109" s="1040">
        <v>16</v>
      </c>
      <c r="C109" s="1088" t="s">
        <v>271</v>
      </c>
      <c r="D109" s="1042"/>
      <c r="E109" s="1043" t="s">
        <v>23</v>
      </c>
      <c r="F109" s="1044">
        <v>8876</v>
      </c>
      <c r="G109" s="1045">
        <v>1000</v>
      </c>
      <c r="H109" s="1046">
        <v>9248</v>
      </c>
      <c r="I109" s="1047"/>
      <c r="J109" s="1048"/>
      <c r="K109" s="1049"/>
      <c r="L109" s="1050"/>
    </row>
    <row r="110" spans="1:250" s="316" customFormat="1" ht="18" customHeight="1" thickTop="1" thickBot="1" x14ac:dyDescent="0.35">
      <c r="A110" s="1039">
        <v>101</v>
      </c>
      <c r="B110" s="2058" t="s">
        <v>676</v>
      </c>
      <c r="C110" s="2059"/>
      <c r="D110" s="2060"/>
      <c r="E110" s="1089"/>
      <c r="F110" s="1090">
        <f t="shared" ref="F110:L110" si="9">SUM(F12:F109)</f>
        <v>139842</v>
      </c>
      <c r="G110" s="1091">
        <f t="shared" si="9"/>
        <v>141948</v>
      </c>
      <c r="H110" s="1092">
        <f t="shared" si="9"/>
        <v>253498</v>
      </c>
      <c r="I110" s="1093">
        <f t="shared" si="9"/>
        <v>32671</v>
      </c>
      <c r="J110" s="1094">
        <f t="shared" si="9"/>
        <v>112516</v>
      </c>
      <c r="K110" s="1095">
        <f t="shared" si="9"/>
        <v>23597</v>
      </c>
      <c r="L110" s="1096">
        <f t="shared" si="9"/>
        <v>136113</v>
      </c>
      <c r="M110" s="309"/>
      <c r="N110" s="309"/>
      <c r="O110" s="309"/>
      <c r="P110" s="309"/>
      <c r="Q110" s="309"/>
      <c r="R110" s="309"/>
      <c r="S110" s="309"/>
      <c r="T110" s="309"/>
      <c r="U110" s="309"/>
      <c r="V110" s="309"/>
      <c r="W110" s="309"/>
      <c r="X110" s="309"/>
      <c r="Y110" s="309"/>
      <c r="Z110" s="309"/>
      <c r="AA110" s="309"/>
      <c r="AB110" s="309"/>
      <c r="AC110" s="309"/>
      <c r="AD110" s="309"/>
      <c r="AE110" s="309"/>
      <c r="AF110" s="309"/>
      <c r="AG110" s="309"/>
      <c r="AH110" s="309"/>
      <c r="AI110" s="309"/>
      <c r="AJ110" s="309"/>
      <c r="AK110" s="309"/>
      <c r="AL110" s="309"/>
      <c r="AM110" s="309"/>
      <c r="AN110" s="309"/>
      <c r="AO110" s="309"/>
      <c r="AP110" s="309"/>
      <c r="AQ110" s="309"/>
      <c r="AR110" s="309"/>
      <c r="AS110" s="309"/>
      <c r="AT110" s="309"/>
      <c r="AU110" s="309"/>
      <c r="AV110" s="309"/>
      <c r="AW110" s="309"/>
      <c r="AX110" s="309"/>
      <c r="AY110" s="309"/>
      <c r="AZ110" s="309"/>
      <c r="BA110" s="309"/>
      <c r="BB110" s="309"/>
      <c r="BC110" s="309"/>
      <c r="BD110" s="309"/>
      <c r="BE110" s="309"/>
      <c r="BF110" s="309"/>
      <c r="BG110" s="309"/>
      <c r="BH110" s="309"/>
      <c r="BI110" s="309"/>
      <c r="BJ110" s="309"/>
      <c r="BK110" s="309"/>
      <c r="BL110" s="309"/>
      <c r="BM110" s="309"/>
      <c r="BN110" s="309"/>
      <c r="BO110" s="309"/>
      <c r="BP110" s="309"/>
      <c r="BQ110" s="309"/>
      <c r="BR110" s="309"/>
      <c r="BS110" s="309"/>
      <c r="BT110" s="309"/>
      <c r="BU110" s="309"/>
      <c r="BV110" s="309"/>
      <c r="BW110" s="309"/>
      <c r="BX110" s="309"/>
      <c r="BY110" s="309"/>
      <c r="BZ110" s="309"/>
      <c r="CA110" s="309"/>
      <c r="CB110" s="309"/>
      <c r="CC110" s="309"/>
      <c r="CD110" s="309"/>
      <c r="CE110" s="309"/>
      <c r="CF110" s="309"/>
      <c r="CG110" s="309"/>
      <c r="CH110" s="309"/>
      <c r="CI110" s="309"/>
      <c r="CJ110" s="309"/>
      <c r="CK110" s="309"/>
      <c r="CL110" s="309"/>
      <c r="CM110" s="309"/>
      <c r="CN110" s="309"/>
      <c r="CO110" s="309"/>
      <c r="CP110" s="309"/>
      <c r="CQ110" s="309"/>
      <c r="CR110" s="309"/>
      <c r="CS110" s="309"/>
      <c r="CT110" s="309"/>
      <c r="CU110" s="309"/>
      <c r="CV110" s="309"/>
      <c r="CW110" s="309"/>
      <c r="CX110" s="309"/>
      <c r="CY110" s="309"/>
      <c r="CZ110" s="309"/>
      <c r="DA110" s="309"/>
      <c r="DB110" s="309"/>
      <c r="DC110" s="309"/>
      <c r="DD110" s="309"/>
      <c r="DE110" s="309"/>
      <c r="DF110" s="309"/>
      <c r="DG110" s="309"/>
      <c r="DH110" s="309"/>
      <c r="DI110" s="309"/>
      <c r="DJ110" s="309"/>
      <c r="DK110" s="309"/>
      <c r="DL110" s="309"/>
      <c r="DM110" s="309"/>
      <c r="DN110" s="309"/>
      <c r="DO110" s="309"/>
      <c r="DP110" s="309"/>
      <c r="DQ110" s="309"/>
      <c r="DR110" s="309"/>
      <c r="DS110" s="309"/>
      <c r="DT110" s="309"/>
      <c r="DU110" s="309"/>
      <c r="DV110" s="309"/>
      <c r="DW110" s="309"/>
      <c r="DX110" s="309"/>
      <c r="DY110" s="309"/>
      <c r="DZ110" s="309"/>
      <c r="EA110" s="309"/>
      <c r="EB110" s="309"/>
      <c r="EC110" s="309"/>
      <c r="ED110" s="309"/>
      <c r="EE110" s="309"/>
      <c r="EF110" s="309"/>
      <c r="EG110" s="309"/>
      <c r="EH110" s="309"/>
      <c r="EI110" s="309"/>
      <c r="EJ110" s="309"/>
      <c r="EK110" s="309"/>
      <c r="EL110" s="309"/>
      <c r="EM110" s="309"/>
      <c r="EN110" s="309"/>
      <c r="EO110" s="309"/>
      <c r="EP110" s="309"/>
      <c r="EQ110" s="309"/>
      <c r="ER110" s="309"/>
      <c r="ES110" s="309"/>
      <c r="ET110" s="309"/>
      <c r="EU110" s="309"/>
      <c r="EV110" s="309"/>
      <c r="EW110" s="309"/>
      <c r="EX110" s="309"/>
      <c r="EY110" s="309"/>
      <c r="EZ110" s="309"/>
      <c r="FA110" s="309"/>
      <c r="FB110" s="309"/>
      <c r="FC110" s="309"/>
      <c r="FD110" s="309"/>
      <c r="FE110" s="309"/>
      <c r="FF110" s="309"/>
      <c r="FG110" s="309"/>
      <c r="FH110" s="309"/>
      <c r="FI110" s="309"/>
      <c r="FJ110" s="309"/>
      <c r="FK110" s="309"/>
      <c r="FL110" s="309"/>
      <c r="FM110" s="309"/>
      <c r="FN110" s="309"/>
      <c r="FO110" s="309"/>
      <c r="FP110" s="309"/>
      <c r="FQ110" s="309"/>
      <c r="FR110" s="309"/>
      <c r="FS110" s="309"/>
      <c r="FT110" s="309"/>
      <c r="FU110" s="309"/>
      <c r="FV110" s="309"/>
      <c r="FW110" s="309"/>
      <c r="FX110" s="309"/>
      <c r="FY110" s="309"/>
      <c r="FZ110" s="309"/>
      <c r="GA110" s="309"/>
      <c r="GB110" s="309"/>
      <c r="GC110" s="309"/>
      <c r="GD110" s="309"/>
      <c r="GE110" s="309"/>
      <c r="GF110" s="309"/>
      <c r="GG110" s="309"/>
      <c r="GH110" s="309"/>
      <c r="GI110" s="309"/>
      <c r="GJ110" s="309"/>
      <c r="GK110" s="309"/>
      <c r="GL110" s="309"/>
      <c r="GM110" s="309"/>
      <c r="GN110" s="309"/>
      <c r="GO110" s="309"/>
      <c r="GP110" s="309"/>
      <c r="GQ110" s="309"/>
      <c r="GR110" s="309"/>
      <c r="GS110" s="309"/>
      <c r="GT110" s="309"/>
      <c r="GU110" s="309"/>
      <c r="GV110" s="309"/>
      <c r="GW110" s="309"/>
      <c r="GX110" s="309"/>
      <c r="GY110" s="309"/>
      <c r="GZ110" s="309"/>
      <c r="HA110" s="309"/>
      <c r="HB110" s="309"/>
      <c r="HC110" s="309"/>
      <c r="HD110" s="309"/>
      <c r="HE110" s="309"/>
      <c r="HF110" s="309"/>
      <c r="HG110" s="309"/>
      <c r="HH110" s="309"/>
      <c r="HI110" s="309"/>
      <c r="HJ110" s="309"/>
      <c r="HK110" s="309"/>
      <c r="HL110" s="309"/>
      <c r="HM110" s="309"/>
      <c r="HN110" s="309"/>
      <c r="HO110" s="309"/>
      <c r="HP110" s="309"/>
      <c r="HQ110" s="309"/>
      <c r="HR110" s="309"/>
      <c r="HS110" s="309"/>
      <c r="HT110" s="309"/>
      <c r="HU110" s="309"/>
      <c r="HV110" s="309"/>
      <c r="HW110" s="309"/>
      <c r="HX110" s="309"/>
      <c r="HY110" s="309"/>
      <c r="HZ110" s="309"/>
      <c r="IA110" s="309"/>
      <c r="IB110" s="309"/>
      <c r="IC110" s="309"/>
      <c r="ID110" s="309"/>
      <c r="IE110" s="309"/>
      <c r="IF110" s="309"/>
      <c r="IG110" s="309"/>
      <c r="IH110" s="309"/>
      <c r="II110" s="309"/>
      <c r="IJ110" s="309"/>
      <c r="IK110" s="309"/>
      <c r="IL110" s="309"/>
      <c r="IM110" s="309"/>
      <c r="IN110" s="309"/>
      <c r="IO110" s="309"/>
      <c r="IP110" s="309"/>
    </row>
    <row r="111" spans="1:250" s="316" customFormat="1" ht="18" customHeight="1" x14ac:dyDescent="0.3">
      <c r="A111" s="304">
        <v>102</v>
      </c>
      <c r="B111" s="1040">
        <v>17</v>
      </c>
      <c r="C111" s="1097" t="s">
        <v>26</v>
      </c>
      <c r="D111" s="1042"/>
      <c r="E111" s="1043" t="s">
        <v>23</v>
      </c>
      <c r="F111" s="1066"/>
      <c r="G111" s="1045"/>
      <c r="H111" s="1046"/>
      <c r="I111" s="1047"/>
      <c r="J111" s="1048"/>
      <c r="K111" s="1049"/>
      <c r="L111" s="1050"/>
      <c r="M111" s="309"/>
      <c r="N111" s="309"/>
      <c r="O111" s="309"/>
      <c r="P111" s="309"/>
      <c r="Q111" s="309"/>
      <c r="R111" s="309"/>
      <c r="S111" s="309"/>
      <c r="T111" s="309"/>
      <c r="U111" s="309"/>
      <c r="V111" s="309"/>
      <c r="W111" s="309"/>
      <c r="X111" s="309"/>
      <c r="Y111" s="309"/>
      <c r="Z111" s="309"/>
      <c r="AA111" s="309"/>
      <c r="AB111" s="309"/>
      <c r="AC111" s="309"/>
      <c r="AD111" s="309"/>
      <c r="AE111" s="309"/>
      <c r="AF111" s="309"/>
      <c r="AG111" s="309"/>
      <c r="AH111" s="309"/>
      <c r="AI111" s="309"/>
      <c r="AJ111" s="309"/>
      <c r="AK111" s="309"/>
      <c r="AL111" s="309"/>
      <c r="AM111" s="309"/>
      <c r="AN111" s="309"/>
      <c r="AO111" s="309"/>
      <c r="AP111" s="309"/>
      <c r="AQ111" s="309"/>
      <c r="AR111" s="309"/>
      <c r="AS111" s="309"/>
      <c r="AT111" s="309"/>
      <c r="AU111" s="309"/>
      <c r="AV111" s="309"/>
      <c r="AW111" s="309"/>
      <c r="AX111" s="309"/>
      <c r="AY111" s="309"/>
      <c r="AZ111" s="309"/>
      <c r="BA111" s="309"/>
      <c r="BB111" s="309"/>
      <c r="BC111" s="309"/>
      <c r="BD111" s="309"/>
      <c r="BE111" s="309"/>
      <c r="BF111" s="309"/>
      <c r="BG111" s="309"/>
      <c r="BH111" s="309"/>
      <c r="BI111" s="309"/>
      <c r="BJ111" s="309"/>
      <c r="BK111" s="309"/>
      <c r="BL111" s="309"/>
      <c r="BM111" s="309"/>
      <c r="BN111" s="309"/>
      <c r="BO111" s="309"/>
      <c r="BP111" s="309"/>
      <c r="BQ111" s="309"/>
      <c r="BR111" s="309"/>
      <c r="BS111" s="309"/>
      <c r="BT111" s="309"/>
      <c r="BU111" s="309"/>
      <c r="BV111" s="309"/>
      <c r="BW111" s="309"/>
      <c r="BX111" s="309"/>
      <c r="BY111" s="309"/>
      <c r="BZ111" s="309"/>
      <c r="CA111" s="309"/>
      <c r="CB111" s="309"/>
      <c r="CC111" s="309"/>
      <c r="CD111" s="309"/>
      <c r="CE111" s="309"/>
      <c r="CF111" s="309"/>
      <c r="CG111" s="309"/>
      <c r="CH111" s="309"/>
      <c r="CI111" s="309"/>
      <c r="CJ111" s="309"/>
      <c r="CK111" s="309"/>
      <c r="CL111" s="309"/>
      <c r="CM111" s="309"/>
      <c r="CN111" s="309"/>
      <c r="CO111" s="309"/>
      <c r="CP111" s="309"/>
      <c r="CQ111" s="309"/>
      <c r="CR111" s="309"/>
      <c r="CS111" s="309"/>
      <c r="CT111" s="309"/>
      <c r="CU111" s="309"/>
      <c r="CV111" s="309"/>
      <c r="CW111" s="309"/>
      <c r="CX111" s="309"/>
      <c r="CY111" s="309"/>
      <c r="CZ111" s="309"/>
      <c r="DA111" s="309"/>
      <c r="DB111" s="309"/>
      <c r="DC111" s="309"/>
      <c r="DD111" s="309"/>
      <c r="DE111" s="309"/>
      <c r="DF111" s="309"/>
      <c r="DG111" s="309"/>
      <c r="DH111" s="309"/>
      <c r="DI111" s="309"/>
      <c r="DJ111" s="309"/>
      <c r="DK111" s="309"/>
      <c r="DL111" s="309"/>
      <c r="DM111" s="309"/>
      <c r="DN111" s="309"/>
      <c r="DO111" s="309"/>
      <c r="DP111" s="309"/>
      <c r="DQ111" s="309"/>
      <c r="DR111" s="309"/>
      <c r="DS111" s="309"/>
      <c r="DT111" s="309"/>
      <c r="DU111" s="309"/>
      <c r="DV111" s="309"/>
      <c r="DW111" s="309"/>
      <c r="DX111" s="309"/>
      <c r="DY111" s="309"/>
      <c r="DZ111" s="309"/>
      <c r="EA111" s="309"/>
      <c r="EB111" s="309"/>
      <c r="EC111" s="309"/>
      <c r="ED111" s="309"/>
      <c r="EE111" s="309"/>
      <c r="EF111" s="309"/>
      <c r="EG111" s="309"/>
      <c r="EH111" s="309"/>
      <c r="EI111" s="309"/>
      <c r="EJ111" s="309"/>
      <c r="EK111" s="309"/>
      <c r="EL111" s="309"/>
      <c r="EM111" s="309"/>
      <c r="EN111" s="309"/>
      <c r="EO111" s="309"/>
      <c r="EP111" s="309"/>
      <c r="EQ111" s="309"/>
      <c r="ER111" s="309"/>
      <c r="ES111" s="309"/>
      <c r="ET111" s="309"/>
      <c r="EU111" s="309"/>
      <c r="EV111" s="309"/>
      <c r="EW111" s="309"/>
      <c r="EX111" s="309"/>
      <c r="EY111" s="309"/>
      <c r="EZ111" s="309"/>
      <c r="FA111" s="309"/>
      <c r="FB111" s="309"/>
      <c r="FC111" s="309"/>
      <c r="FD111" s="309"/>
      <c r="FE111" s="309"/>
      <c r="FF111" s="309"/>
      <c r="FG111" s="309"/>
      <c r="FH111" s="309"/>
      <c r="FI111" s="309"/>
      <c r="FJ111" s="309"/>
      <c r="FK111" s="309"/>
      <c r="FL111" s="309"/>
      <c r="FM111" s="309"/>
      <c r="FN111" s="309"/>
      <c r="FO111" s="309"/>
      <c r="FP111" s="309"/>
      <c r="FQ111" s="309"/>
      <c r="FR111" s="309"/>
      <c r="FS111" s="309"/>
      <c r="FT111" s="309"/>
      <c r="FU111" s="309"/>
      <c r="FV111" s="309"/>
      <c r="FW111" s="309"/>
      <c r="FX111" s="309"/>
      <c r="FY111" s="309"/>
      <c r="FZ111" s="309"/>
      <c r="GA111" s="309"/>
      <c r="GB111" s="309"/>
      <c r="GC111" s="309"/>
      <c r="GD111" s="309"/>
      <c r="GE111" s="309"/>
      <c r="GF111" s="309"/>
      <c r="GG111" s="309"/>
      <c r="GH111" s="309"/>
      <c r="GI111" s="309"/>
      <c r="GJ111" s="309"/>
      <c r="GK111" s="309"/>
      <c r="GL111" s="309"/>
      <c r="GM111" s="309"/>
      <c r="GN111" s="309"/>
      <c r="GO111" s="309"/>
      <c r="GP111" s="309"/>
      <c r="GQ111" s="309"/>
      <c r="GR111" s="309"/>
      <c r="GS111" s="309"/>
      <c r="GT111" s="309"/>
      <c r="GU111" s="309"/>
      <c r="GV111" s="309"/>
      <c r="GW111" s="309"/>
      <c r="GX111" s="309"/>
      <c r="GY111" s="309"/>
      <c r="GZ111" s="309"/>
      <c r="HA111" s="309"/>
      <c r="HB111" s="309"/>
      <c r="HC111" s="309"/>
      <c r="HD111" s="309"/>
      <c r="HE111" s="309"/>
      <c r="HF111" s="309"/>
      <c r="HG111" s="309"/>
      <c r="HH111" s="309"/>
      <c r="HI111" s="309"/>
      <c r="HJ111" s="309"/>
      <c r="HK111" s="309"/>
      <c r="HL111" s="309"/>
      <c r="HM111" s="309"/>
      <c r="HN111" s="309"/>
      <c r="HO111" s="309"/>
      <c r="HP111" s="309"/>
      <c r="HQ111" s="309"/>
      <c r="HR111" s="309"/>
      <c r="HS111" s="309"/>
      <c r="HT111" s="309"/>
      <c r="HU111" s="309"/>
      <c r="HV111" s="309"/>
      <c r="HW111" s="309"/>
      <c r="HX111" s="309"/>
      <c r="HY111" s="309"/>
      <c r="HZ111" s="309"/>
      <c r="IA111" s="309"/>
      <c r="IB111" s="309"/>
      <c r="IC111" s="309"/>
      <c r="ID111" s="309"/>
      <c r="IE111" s="309"/>
      <c r="IF111" s="309"/>
      <c r="IG111" s="309"/>
      <c r="IH111" s="309"/>
      <c r="II111" s="309"/>
      <c r="IJ111" s="309"/>
      <c r="IK111" s="309"/>
      <c r="IL111" s="309"/>
      <c r="IM111" s="309"/>
      <c r="IN111" s="309"/>
      <c r="IO111" s="309"/>
      <c r="IP111" s="309"/>
    </row>
    <row r="112" spans="1:250" x14ac:dyDescent="0.3">
      <c r="A112" s="312">
        <v>103</v>
      </c>
      <c r="B112" s="1040"/>
      <c r="C112" s="1051">
        <v>1</v>
      </c>
      <c r="D112" s="1052" t="s">
        <v>438</v>
      </c>
      <c r="E112" s="1043"/>
      <c r="F112" s="1053"/>
      <c r="G112" s="1054">
        <v>889</v>
      </c>
      <c r="H112" s="1055"/>
      <c r="I112" s="1056">
        <v>889</v>
      </c>
      <c r="J112" s="1057">
        <v>889</v>
      </c>
      <c r="K112" s="1058"/>
      <c r="L112" s="1059">
        <f t="shared" ref="L112:L116" si="10">SUM(J112:K112)</f>
        <v>889</v>
      </c>
    </row>
    <row r="113" spans="1:12" ht="30" x14ac:dyDescent="0.3">
      <c r="A113" s="1039">
        <v>104</v>
      </c>
      <c r="B113" s="1040"/>
      <c r="C113" s="1076">
        <v>2</v>
      </c>
      <c r="D113" s="1052" t="s">
        <v>1170</v>
      </c>
      <c r="E113" s="1043"/>
      <c r="F113" s="1053">
        <v>2728</v>
      </c>
      <c r="G113" s="1054">
        <v>3556</v>
      </c>
      <c r="H113" s="1055">
        <v>1718</v>
      </c>
      <c r="I113" s="1056">
        <v>6096</v>
      </c>
      <c r="J113" s="1057">
        <v>7594</v>
      </c>
      <c r="K113" s="1058"/>
      <c r="L113" s="1059">
        <f t="shared" si="10"/>
        <v>7594</v>
      </c>
    </row>
    <row r="114" spans="1:12" x14ac:dyDescent="0.3">
      <c r="A114" s="304">
        <v>105</v>
      </c>
      <c r="B114" s="1040"/>
      <c r="C114" s="1043">
        <v>3</v>
      </c>
      <c r="D114" s="1052" t="s">
        <v>35</v>
      </c>
      <c r="E114" s="1043"/>
      <c r="F114" s="1053">
        <v>12879</v>
      </c>
      <c r="G114" s="1054">
        <v>18380</v>
      </c>
      <c r="H114" s="1055">
        <v>22105</v>
      </c>
      <c r="I114" s="1056">
        <v>18380</v>
      </c>
      <c r="J114" s="1057">
        <v>24074</v>
      </c>
      <c r="K114" s="1058"/>
      <c r="L114" s="1059">
        <f t="shared" si="10"/>
        <v>24074</v>
      </c>
    </row>
    <row r="115" spans="1:12" x14ac:dyDescent="0.3">
      <c r="A115" s="312">
        <v>106</v>
      </c>
      <c r="B115" s="1040"/>
      <c r="C115" s="1043">
        <v>4</v>
      </c>
      <c r="D115" s="1052" t="s">
        <v>828</v>
      </c>
      <c r="E115" s="1043"/>
      <c r="F115" s="1053"/>
      <c r="G115" s="1054"/>
      <c r="H115" s="1055"/>
      <c r="I115" s="1056">
        <v>9000</v>
      </c>
      <c r="J115" s="1057">
        <v>0</v>
      </c>
      <c r="K115" s="1058"/>
      <c r="L115" s="1059">
        <f t="shared" si="10"/>
        <v>0</v>
      </c>
    </row>
    <row r="116" spans="1:12" ht="15.75" thickBot="1" x14ac:dyDescent="0.35">
      <c r="A116" s="1039">
        <v>107</v>
      </c>
      <c r="B116" s="1040"/>
      <c r="C116" s="1043">
        <v>5</v>
      </c>
      <c r="D116" s="1052" t="s">
        <v>1031</v>
      </c>
      <c r="E116" s="1043"/>
      <c r="F116" s="1053"/>
      <c r="G116" s="1045"/>
      <c r="H116" s="1067"/>
      <c r="I116" s="1098"/>
      <c r="J116" s="1057">
        <v>30</v>
      </c>
      <c r="K116" s="1058"/>
      <c r="L116" s="1059">
        <f t="shared" si="10"/>
        <v>30</v>
      </c>
    </row>
    <row r="117" spans="1:12" ht="16.5" thickTop="1" thickBot="1" x14ac:dyDescent="0.35">
      <c r="A117" s="304">
        <v>108</v>
      </c>
      <c r="B117" s="2058" t="s">
        <v>677</v>
      </c>
      <c r="C117" s="2059"/>
      <c r="D117" s="2060"/>
      <c r="E117" s="1089"/>
      <c r="F117" s="1090">
        <f>SUM(F111:F116)</f>
        <v>15607</v>
      </c>
      <c r="G117" s="1091">
        <f t="shared" ref="G117:L117" si="11">SUM(G111:G116)</f>
        <v>22825</v>
      </c>
      <c r="H117" s="1092">
        <f>SUM(H111:H116)</f>
        <v>23823</v>
      </c>
      <c r="I117" s="1093">
        <f t="shared" ref="I117:J117" si="12">SUM(I111:I116)</f>
        <v>34365</v>
      </c>
      <c r="J117" s="1094">
        <f t="shared" si="12"/>
        <v>32587</v>
      </c>
      <c r="K117" s="1095">
        <f>SUM(K111:K116)</f>
        <v>0</v>
      </c>
      <c r="L117" s="1096">
        <f t="shared" si="11"/>
        <v>32587</v>
      </c>
    </row>
    <row r="118" spans="1:12" ht="15.75" thickBot="1" x14ac:dyDescent="0.35">
      <c r="A118" s="312">
        <v>109</v>
      </c>
      <c r="B118" s="2055" t="s">
        <v>1032</v>
      </c>
      <c r="C118" s="2056"/>
      <c r="D118" s="2057"/>
      <c r="E118" s="1099"/>
      <c r="F118" s="1100">
        <f t="shared" ref="F118:L118" si="13">SUM(F117,F110)</f>
        <v>155449</v>
      </c>
      <c r="G118" s="1101">
        <f t="shared" si="13"/>
        <v>164773</v>
      </c>
      <c r="H118" s="1102">
        <f t="shared" si="13"/>
        <v>277321</v>
      </c>
      <c r="I118" s="1103">
        <f t="shared" si="13"/>
        <v>67036</v>
      </c>
      <c r="J118" s="1104">
        <f t="shared" si="13"/>
        <v>145103</v>
      </c>
      <c r="K118" s="1105">
        <f t="shared" si="13"/>
        <v>23597</v>
      </c>
      <c r="L118" s="1106">
        <f t="shared" si="13"/>
        <v>168700</v>
      </c>
    </row>
    <row r="119" spans="1:12" ht="17.25" x14ac:dyDescent="0.3">
      <c r="A119" s="1039">
        <v>110</v>
      </c>
      <c r="B119" s="1107"/>
      <c r="C119" s="2061" t="s">
        <v>232</v>
      </c>
      <c r="D119" s="2061"/>
      <c r="E119" s="2061"/>
      <c r="F119" s="1108"/>
      <c r="G119" s="1109"/>
      <c r="H119" s="1110"/>
      <c r="I119" s="1111"/>
      <c r="J119" s="1112"/>
      <c r="K119" s="1113"/>
      <c r="L119" s="1114"/>
    </row>
    <row r="120" spans="1:12" ht="30" x14ac:dyDescent="0.3">
      <c r="A120" s="304">
        <v>111</v>
      </c>
      <c r="B120" s="1115">
        <v>1</v>
      </c>
      <c r="C120" s="1116">
        <v>1</v>
      </c>
      <c r="D120" s="1062" t="s">
        <v>1171</v>
      </c>
      <c r="E120" s="1043" t="s">
        <v>23</v>
      </c>
      <c r="F120" s="1117"/>
      <c r="G120" s="1118"/>
      <c r="H120" s="1119"/>
      <c r="I120" s="1120"/>
      <c r="J120" s="1121">
        <v>208</v>
      </c>
      <c r="K120" s="1122"/>
      <c r="L120" s="1123">
        <f>SUM(J120:K120)</f>
        <v>208</v>
      </c>
    </row>
    <row r="121" spans="1:12" ht="30.75" thickBot="1" x14ac:dyDescent="0.35">
      <c r="A121" s="312">
        <v>112</v>
      </c>
      <c r="B121" s="1124">
        <v>2</v>
      </c>
      <c r="C121" s="1125">
        <v>1</v>
      </c>
      <c r="D121" s="1062" t="s">
        <v>1077</v>
      </c>
      <c r="E121" s="1043" t="s">
        <v>23</v>
      </c>
      <c r="F121" s="1126"/>
      <c r="G121" s="1127"/>
      <c r="H121" s="1128"/>
      <c r="I121" s="1129"/>
      <c r="J121" s="1130">
        <v>2947</v>
      </c>
      <c r="K121" s="1131"/>
      <c r="L121" s="1132">
        <f>SUM(J121:K121)</f>
        <v>2947</v>
      </c>
    </row>
    <row r="122" spans="1:12" ht="15.75" thickBot="1" x14ac:dyDescent="0.35">
      <c r="A122" s="1039">
        <v>113</v>
      </c>
      <c r="B122" s="2055" t="s">
        <v>1033</v>
      </c>
      <c r="C122" s="2056"/>
      <c r="D122" s="2057"/>
      <c r="E122" s="1099"/>
      <c r="F122" s="1100"/>
      <c r="G122" s="1133"/>
      <c r="H122" s="1102"/>
      <c r="I122" s="1103">
        <f>SUM(I120:I121)</f>
        <v>0</v>
      </c>
      <c r="J122" s="1134">
        <f>SUM(J120:J121)</f>
        <v>3155</v>
      </c>
      <c r="K122" s="1135">
        <f>SUM(K120:K121)</f>
        <v>0</v>
      </c>
      <c r="L122" s="1136">
        <f>SUM(L120:L121)</f>
        <v>3155</v>
      </c>
    </row>
    <row r="123" spans="1:12" ht="15.75" thickBot="1" x14ac:dyDescent="0.35">
      <c r="A123" s="304">
        <v>114</v>
      </c>
      <c r="B123" s="2055" t="s">
        <v>1034</v>
      </c>
      <c r="C123" s="2056"/>
      <c r="D123" s="2057"/>
      <c r="E123" s="1099"/>
      <c r="F123" s="1100">
        <f>F122+F118</f>
        <v>155449</v>
      </c>
      <c r="G123" s="1100">
        <f t="shared" ref="G123:H123" si="14">G122+G118</f>
        <v>164773</v>
      </c>
      <c r="H123" s="1137">
        <f t="shared" si="14"/>
        <v>277321</v>
      </c>
      <c r="I123" s="1103">
        <f>I122+I118</f>
        <v>67036</v>
      </c>
      <c r="J123" s="1134">
        <f>J122+J118</f>
        <v>148258</v>
      </c>
      <c r="K123" s="1105">
        <f>K122+K118</f>
        <v>23597</v>
      </c>
      <c r="L123" s="1136">
        <f>L122+L118</f>
        <v>171855</v>
      </c>
    </row>
    <row r="124" spans="1:12" x14ac:dyDescent="0.3">
      <c r="B124" s="1138"/>
      <c r="C124" s="1139" t="s">
        <v>27</v>
      </c>
      <c r="D124" s="1138"/>
      <c r="E124" s="1140"/>
      <c r="F124" s="1141"/>
      <c r="G124" s="1142"/>
      <c r="H124" s="1143"/>
      <c r="I124" s="1143"/>
      <c r="J124" s="1144"/>
      <c r="K124" s="1145"/>
      <c r="L124" s="1144"/>
    </row>
    <row r="125" spans="1:12" x14ac:dyDescent="0.3">
      <c r="B125" s="1138" t="s">
        <v>28</v>
      </c>
      <c r="C125" s="1138"/>
      <c r="D125" s="1138"/>
      <c r="E125" s="1140"/>
      <c r="F125" s="1146"/>
      <c r="G125" s="1142"/>
      <c r="H125" s="1143"/>
      <c r="I125" s="1143"/>
      <c r="J125" s="1144"/>
      <c r="K125" s="1145"/>
      <c r="L125" s="1144"/>
    </row>
    <row r="126" spans="1:12" x14ac:dyDescent="0.3">
      <c r="B126" s="1138" t="s">
        <v>29</v>
      </c>
      <c r="C126" s="1138"/>
      <c r="D126" s="1138"/>
      <c r="E126" s="1140"/>
      <c r="F126" s="1146"/>
      <c r="G126" s="1142"/>
      <c r="H126" s="1143"/>
      <c r="I126" s="1143"/>
      <c r="J126" s="1144"/>
      <c r="K126" s="1145"/>
      <c r="L126" s="1144"/>
    </row>
  </sheetData>
  <mergeCells count="23">
    <mergeCell ref="B123:D123"/>
    <mergeCell ref="B110:D110"/>
    <mergeCell ref="B117:D117"/>
    <mergeCell ref="B118:D118"/>
    <mergeCell ref="C119:E119"/>
    <mergeCell ref="B122:D122"/>
    <mergeCell ref="L9:L10"/>
    <mergeCell ref="J9:J10"/>
    <mergeCell ref="K9:K10"/>
    <mergeCell ref="C11:D11"/>
    <mergeCell ref="C21:D21"/>
    <mergeCell ref="I9:I10"/>
    <mergeCell ref="G9:G10"/>
    <mergeCell ref="H9:H10"/>
    <mergeCell ref="B1:D1"/>
    <mergeCell ref="B5:I5"/>
    <mergeCell ref="B6:I6"/>
    <mergeCell ref="B2:F2"/>
    <mergeCell ref="B9:B10"/>
    <mergeCell ref="C9:C10"/>
    <mergeCell ref="D9:D10"/>
    <mergeCell ref="E9:E10"/>
    <mergeCell ref="F9:F10"/>
  </mergeCells>
  <printOptions horizontalCentered="1"/>
  <pageMargins left="0.19685039370078741" right="0.19685039370078741" top="0.78740157480314965" bottom="0.59055118110236227" header="0.51181102362204722" footer="0.51181102362204722"/>
  <pageSetup paperSize="9" scale="59" fitToHeight="0" orientation="portrait" r:id="rId1"/>
  <headerFooter alignWithMargins="0">
    <oddFooter>&amp;C- &amp;P -</oddFooter>
  </headerFooter>
  <rowBreaks count="1" manualBreakCount="1">
    <brk id="61" max="11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99"/>
  <sheetViews>
    <sheetView view="pageBreakPreview" topLeftCell="A997" zoomScaleNormal="75" zoomScaleSheetLayoutView="100" workbookViewId="0">
      <selection activeCell="D1023" sqref="D1023"/>
    </sheetView>
  </sheetViews>
  <sheetFormatPr defaultColWidth="9.140625" defaultRowHeight="17.25" x14ac:dyDescent="0.35"/>
  <cols>
    <col min="1" max="1" width="3.7109375" style="184" customWidth="1"/>
    <col min="2" max="2" width="5.7109375" style="3" customWidth="1"/>
    <col min="3" max="3" width="5.7109375" style="6" customWidth="1"/>
    <col min="4" max="4" width="87.7109375" style="10" customWidth="1"/>
    <col min="5" max="7" width="11.7109375" style="4" customWidth="1"/>
    <col min="8" max="8" width="6.7109375" style="3" customWidth="1"/>
    <col min="9" max="9" width="12.7109375" style="9" customWidth="1"/>
    <col min="10" max="14" width="12.7109375" style="137" customWidth="1"/>
    <col min="15" max="15" width="9.28515625" style="4" bestFit="1" customWidth="1"/>
    <col min="16" max="16384" width="9.140625" style="4"/>
  </cols>
  <sheetData>
    <row r="1" spans="1:16" ht="16.5" x14ac:dyDescent="0.3">
      <c r="A1" s="318"/>
      <c r="B1" s="2062" t="s">
        <v>973</v>
      </c>
      <c r="C1" s="2062"/>
      <c r="D1" s="2062"/>
      <c r="G1" s="2063"/>
      <c r="H1" s="2063"/>
      <c r="I1" s="2063"/>
      <c r="J1" s="319"/>
      <c r="K1" s="319"/>
      <c r="L1" s="319"/>
      <c r="M1" s="319"/>
      <c r="N1" s="319"/>
    </row>
    <row r="2" spans="1:16" ht="16.5" x14ac:dyDescent="0.3">
      <c r="A2" s="318"/>
      <c r="B2" s="1936" t="s">
        <v>1045</v>
      </c>
      <c r="C2" s="1936"/>
      <c r="D2" s="1936"/>
      <c r="E2" s="1936"/>
      <c r="F2" s="1936"/>
      <c r="G2" s="467"/>
      <c r="H2" s="467"/>
      <c r="I2" s="467"/>
      <c r="J2" s="467"/>
      <c r="K2" s="467"/>
      <c r="L2" s="467"/>
      <c r="M2" s="467"/>
      <c r="N2" s="467"/>
    </row>
    <row r="3" spans="1:16" ht="16.5" x14ac:dyDescent="0.3">
      <c r="A3" s="318"/>
      <c r="B3" s="500" t="s">
        <v>1078</v>
      </c>
      <c r="C3" s="500"/>
      <c r="D3" s="500"/>
      <c r="E3" s="500"/>
      <c r="F3" s="500"/>
      <c r="G3" s="505"/>
      <c r="H3" s="505"/>
      <c r="I3" s="505"/>
      <c r="J3" s="505"/>
      <c r="K3" s="505"/>
      <c r="L3" s="505"/>
      <c r="M3" s="505"/>
      <c r="N3" s="505"/>
    </row>
    <row r="4" spans="1:16" ht="16.5" x14ac:dyDescent="0.3">
      <c r="A4" s="318"/>
      <c r="B4" s="1905" t="s">
        <v>1235</v>
      </c>
      <c r="C4" s="1886"/>
      <c r="D4" s="1886"/>
      <c r="E4" s="1886"/>
      <c r="F4" s="1886"/>
      <c r="G4" s="1898"/>
      <c r="H4" s="1898"/>
      <c r="I4" s="1898"/>
      <c r="J4" s="1898"/>
      <c r="K4" s="1898"/>
      <c r="L4" s="1898"/>
      <c r="M4" s="1898"/>
      <c r="N4" s="1898"/>
    </row>
    <row r="5" spans="1:16" x14ac:dyDescent="0.35">
      <c r="A5" s="318"/>
      <c r="B5" s="2064" t="s">
        <v>14</v>
      </c>
      <c r="C5" s="2064"/>
      <c r="D5" s="2064"/>
      <c r="E5" s="2064"/>
      <c r="F5" s="2064"/>
      <c r="G5" s="2064"/>
      <c r="H5" s="2064"/>
      <c r="I5" s="2064"/>
      <c r="J5" s="2064"/>
      <c r="K5" s="2064"/>
      <c r="L5" s="2064"/>
      <c r="M5" s="2064"/>
      <c r="N5" s="2064"/>
    </row>
    <row r="6" spans="1:16" s="5" customFormat="1" x14ac:dyDescent="0.2">
      <c r="A6" s="318"/>
      <c r="B6" s="2065" t="s">
        <v>642</v>
      </c>
      <c r="C6" s="2065"/>
      <c r="D6" s="2065"/>
      <c r="E6" s="2065"/>
      <c r="F6" s="2065"/>
      <c r="G6" s="2065"/>
      <c r="H6" s="2065"/>
      <c r="I6" s="2065"/>
      <c r="J6" s="2065"/>
      <c r="K6" s="2065"/>
      <c r="L6" s="2065"/>
      <c r="M6" s="2065"/>
      <c r="N6" s="2065"/>
    </row>
    <row r="7" spans="1:16" s="136" customFormat="1" ht="15" x14ac:dyDescent="0.3">
      <c r="A7" s="317"/>
      <c r="B7" s="320"/>
      <c r="C7" s="321"/>
      <c r="D7" s="322"/>
      <c r="G7" s="323"/>
      <c r="H7" s="324"/>
      <c r="I7" s="325"/>
      <c r="J7" s="298"/>
      <c r="K7" s="298"/>
      <c r="L7" s="298"/>
      <c r="M7" s="2066" t="s">
        <v>0</v>
      </c>
      <c r="N7" s="2066"/>
    </row>
    <row r="8" spans="1:16" s="63" customFormat="1" ht="15" thickBot="1" x14ac:dyDescent="0.35">
      <c r="A8" s="1147"/>
      <c r="B8" s="63" t="s">
        <v>1</v>
      </c>
      <c r="C8" s="1148" t="s">
        <v>3</v>
      </c>
      <c r="D8" s="1149" t="s">
        <v>2</v>
      </c>
      <c r="E8" s="63" t="s">
        <v>4</v>
      </c>
      <c r="F8" s="63" t="s">
        <v>5</v>
      </c>
      <c r="G8" s="63" t="s">
        <v>15</v>
      </c>
      <c r="H8" s="1150" t="s">
        <v>16</v>
      </c>
      <c r="I8" s="1148" t="s">
        <v>17</v>
      </c>
      <c r="J8" s="1148" t="s">
        <v>36</v>
      </c>
      <c r="K8" s="1148" t="s">
        <v>30</v>
      </c>
      <c r="L8" s="1148" t="s">
        <v>23</v>
      </c>
      <c r="M8" s="1148" t="s">
        <v>37</v>
      </c>
      <c r="N8" s="1148" t="s">
        <v>38</v>
      </c>
    </row>
    <row r="9" spans="1:16" s="507" customFormat="1" ht="34.5" customHeight="1" x14ac:dyDescent="0.2">
      <c r="A9" s="184"/>
      <c r="B9" s="2085" t="s">
        <v>18</v>
      </c>
      <c r="C9" s="2087" t="s">
        <v>19</v>
      </c>
      <c r="D9" s="2091" t="s">
        <v>6</v>
      </c>
      <c r="E9" s="2083" t="s">
        <v>636</v>
      </c>
      <c r="F9" s="2083" t="s">
        <v>633</v>
      </c>
      <c r="G9" s="2089" t="s">
        <v>900</v>
      </c>
      <c r="H9" s="2093" t="s">
        <v>20</v>
      </c>
      <c r="I9" s="2079" t="s">
        <v>637</v>
      </c>
      <c r="J9" s="2081" t="s">
        <v>39</v>
      </c>
      <c r="K9" s="2081"/>
      <c r="L9" s="2081"/>
      <c r="M9" s="2081"/>
      <c r="N9" s="2082"/>
    </row>
    <row r="10" spans="1:16" s="507" customFormat="1" ht="45.75" thickBot="1" x14ac:dyDescent="0.25">
      <c r="A10" s="184"/>
      <c r="B10" s="2086"/>
      <c r="C10" s="2088"/>
      <c r="D10" s="2092"/>
      <c r="E10" s="2084"/>
      <c r="F10" s="2084"/>
      <c r="G10" s="2090"/>
      <c r="H10" s="2094"/>
      <c r="I10" s="2080"/>
      <c r="J10" s="1893" t="s">
        <v>40</v>
      </c>
      <c r="K10" s="1893" t="s">
        <v>41</v>
      </c>
      <c r="L10" s="1893" t="s">
        <v>42</v>
      </c>
      <c r="M10" s="1893" t="s">
        <v>223</v>
      </c>
      <c r="N10" s="1151" t="s">
        <v>43</v>
      </c>
    </row>
    <row r="11" spans="1:16" s="507" customFormat="1" x14ac:dyDescent="0.3">
      <c r="A11" s="184">
        <v>1</v>
      </c>
      <c r="B11" s="1152">
        <v>18</v>
      </c>
      <c r="C11" s="1153" t="s">
        <v>673</v>
      </c>
      <c r="D11" s="1154"/>
      <c r="E11" s="1155"/>
      <c r="F11" s="1155"/>
      <c r="G11" s="1156"/>
      <c r="H11" s="1157"/>
      <c r="I11" s="1158"/>
      <c r="J11" s="1159"/>
      <c r="K11" s="1159"/>
      <c r="L11" s="1159"/>
      <c r="M11" s="1159"/>
      <c r="N11" s="1160"/>
    </row>
    <row r="12" spans="1:16" s="3" customFormat="1" ht="16.5" x14ac:dyDescent="0.3">
      <c r="A12" s="184">
        <v>2</v>
      </c>
      <c r="B12" s="1161"/>
      <c r="C12" s="1162">
        <v>1</v>
      </c>
      <c r="D12" s="1163" t="s">
        <v>44</v>
      </c>
      <c r="E12" s="1164">
        <v>6918</v>
      </c>
      <c r="F12" s="1164">
        <v>7000</v>
      </c>
      <c r="G12" s="1165">
        <v>1779</v>
      </c>
      <c r="H12" s="1166" t="s">
        <v>23</v>
      </c>
      <c r="I12" s="1167"/>
      <c r="J12" s="1168"/>
      <c r="K12" s="1168"/>
      <c r="L12" s="1168"/>
      <c r="M12" s="1168"/>
      <c r="N12" s="1169"/>
    </row>
    <row r="13" spans="1:16" s="3" customFormat="1" ht="16.5" x14ac:dyDescent="0.3">
      <c r="A13" s="184">
        <v>3</v>
      </c>
      <c r="B13" s="1161"/>
      <c r="C13" s="1162"/>
      <c r="D13" s="1163" t="s">
        <v>1064</v>
      </c>
      <c r="E13" s="1164"/>
      <c r="F13" s="1164"/>
      <c r="G13" s="1165"/>
      <c r="H13" s="1166"/>
      <c r="I13" s="1170">
        <f t="shared" ref="I13:I15" si="0">SUM(J13:N13)</f>
        <v>296</v>
      </c>
      <c r="J13" s="1168"/>
      <c r="K13" s="1168"/>
      <c r="L13" s="1171">
        <v>296</v>
      </c>
      <c r="M13" s="1168"/>
      <c r="N13" s="1169"/>
    </row>
    <row r="14" spans="1:16" s="7" customFormat="1" ht="16.5" x14ac:dyDescent="0.3">
      <c r="A14" s="184">
        <v>4</v>
      </c>
      <c r="B14" s="1172"/>
      <c r="C14" s="1173"/>
      <c r="D14" s="1174" t="s">
        <v>1012</v>
      </c>
      <c r="E14" s="1175"/>
      <c r="F14" s="1175"/>
      <c r="G14" s="1176"/>
      <c r="H14" s="1177"/>
      <c r="I14" s="1178">
        <f t="shared" si="0"/>
        <v>0</v>
      </c>
      <c r="J14" s="1168"/>
      <c r="K14" s="1168"/>
      <c r="L14" s="1179"/>
      <c r="M14" s="1168"/>
      <c r="N14" s="1169"/>
    </row>
    <row r="15" spans="1:16" s="7" customFormat="1" ht="16.5" x14ac:dyDescent="0.3">
      <c r="A15" s="184">
        <v>5</v>
      </c>
      <c r="B15" s="1172"/>
      <c r="C15" s="1173"/>
      <c r="D15" s="1163" t="s">
        <v>1116</v>
      </c>
      <c r="E15" s="1175"/>
      <c r="F15" s="1175"/>
      <c r="G15" s="1176"/>
      <c r="H15" s="1177"/>
      <c r="I15" s="1170">
        <f t="shared" si="0"/>
        <v>296</v>
      </c>
      <c r="J15" s="1168"/>
      <c r="K15" s="1168"/>
      <c r="L15" s="1180">
        <f>SUM(L13:L14)</f>
        <v>296</v>
      </c>
      <c r="M15" s="1168"/>
      <c r="N15" s="1169"/>
    </row>
    <row r="16" spans="1:16" s="3" customFormat="1" ht="16.5" x14ac:dyDescent="0.3">
      <c r="A16" s="184">
        <v>6</v>
      </c>
      <c r="B16" s="1181"/>
      <c r="C16" s="1182">
        <v>2</v>
      </c>
      <c r="D16" s="1183" t="s">
        <v>45</v>
      </c>
      <c r="E16" s="1175">
        <v>4298</v>
      </c>
      <c r="F16" s="1175">
        <v>5000</v>
      </c>
      <c r="G16" s="1176">
        <v>3685</v>
      </c>
      <c r="H16" s="1177" t="s">
        <v>24</v>
      </c>
      <c r="I16" s="1167"/>
      <c r="J16" s="1168"/>
      <c r="K16" s="1168"/>
      <c r="L16" s="1168"/>
      <c r="M16" s="1168"/>
      <c r="N16" s="1169"/>
      <c r="P16" s="7"/>
    </row>
    <row r="17" spans="1:16" s="3" customFormat="1" ht="16.5" x14ac:dyDescent="0.3">
      <c r="A17" s="184">
        <v>7</v>
      </c>
      <c r="B17" s="1181"/>
      <c r="C17" s="1182"/>
      <c r="D17" s="1163" t="s">
        <v>1064</v>
      </c>
      <c r="E17" s="1175"/>
      <c r="F17" s="1175"/>
      <c r="G17" s="1176"/>
      <c r="H17" s="1177"/>
      <c r="I17" s="1170">
        <f>SUM(J17:N17)</f>
        <v>4000</v>
      </c>
      <c r="J17" s="1168">
        <v>22</v>
      </c>
      <c r="K17" s="1168">
        <v>12</v>
      </c>
      <c r="L17" s="1168">
        <v>3966</v>
      </c>
      <c r="M17" s="1168"/>
      <c r="N17" s="1169"/>
      <c r="P17" s="7"/>
    </row>
    <row r="18" spans="1:16" s="7" customFormat="1" ht="16.5" x14ac:dyDescent="0.3">
      <c r="A18" s="184">
        <v>8</v>
      </c>
      <c r="B18" s="1172"/>
      <c r="C18" s="1173"/>
      <c r="D18" s="1174" t="s">
        <v>1012</v>
      </c>
      <c r="E18" s="1175"/>
      <c r="F18" s="1175"/>
      <c r="G18" s="1176"/>
      <c r="H18" s="1177"/>
      <c r="I18" s="1178">
        <f t="shared" ref="I18:I19" si="1">SUM(J18:N18)</f>
        <v>0</v>
      </c>
      <c r="J18" s="1184"/>
      <c r="K18" s="1184"/>
      <c r="L18" s="1185"/>
      <c r="M18" s="1184"/>
      <c r="N18" s="1186"/>
    </row>
    <row r="19" spans="1:16" s="7" customFormat="1" ht="16.5" x14ac:dyDescent="0.3">
      <c r="A19" s="184">
        <v>9</v>
      </c>
      <c r="B19" s="1172"/>
      <c r="C19" s="1173"/>
      <c r="D19" s="1163" t="s">
        <v>1116</v>
      </c>
      <c r="E19" s="1175"/>
      <c r="F19" s="1175"/>
      <c r="G19" s="1176"/>
      <c r="H19" s="1177"/>
      <c r="I19" s="1170">
        <f t="shared" si="1"/>
        <v>4000</v>
      </c>
      <c r="J19" s="1180">
        <f>SUM(J17:J18)</f>
        <v>22</v>
      </c>
      <c r="K19" s="1180">
        <f>SUM(K17:K18)</f>
        <v>12</v>
      </c>
      <c r="L19" s="1180">
        <f>SUM(L17:L18)</f>
        <v>3966</v>
      </c>
      <c r="M19" s="1184"/>
      <c r="N19" s="1186"/>
    </row>
    <row r="20" spans="1:16" s="3" customFormat="1" ht="16.5" x14ac:dyDescent="0.3">
      <c r="A20" s="184">
        <v>10</v>
      </c>
      <c r="B20" s="1181"/>
      <c r="C20" s="1182">
        <v>3</v>
      </c>
      <c r="D20" s="1183" t="s">
        <v>46</v>
      </c>
      <c r="E20" s="1175">
        <v>15651</v>
      </c>
      <c r="F20" s="1175">
        <v>10000</v>
      </c>
      <c r="G20" s="1176">
        <v>7056</v>
      </c>
      <c r="H20" s="1177" t="s">
        <v>24</v>
      </c>
      <c r="I20" s="1187"/>
      <c r="J20" s="1188"/>
      <c r="K20" s="1188"/>
      <c r="L20" s="1188"/>
      <c r="M20" s="1188"/>
      <c r="N20" s="1189"/>
      <c r="P20" s="7"/>
    </row>
    <row r="21" spans="1:16" s="7" customFormat="1" ht="16.5" x14ac:dyDescent="0.3">
      <c r="A21" s="184">
        <v>11</v>
      </c>
      <c r="B21" s="1172"/>
      <c r="C21" s="1173"/>
      <c r="D21" s="1190" t="s">
        <v>311</v>
      </c>
      <c r="E21" s="1175"/>
      <c r="F21" s="1175"/>
      <c r="G21" s="1176"/>
      <c r="H21" s="1177"/>
      <c r="I21" s="1191">
        <f>SUM(J21:N21)</f>
        <v>3000</v>
      </c>
      <c r="J21" s="1184"/>
      <c r="K21" s="1184"/>
      <c r="L21" s="1192">
        <v>3000</v>
      </c>
      <c r="M21" s="1184"/>
      <c r="N21" s="1186"/>
    </row>
    <row r="22" spans="1:16" s="7" customFormat="1" ht="16.5" x14ac:dyDescent="0.3">
      <c r="A22" s="184">
        <v>12</v>
      </c>
      <c r="B22" s="1172"/>
      <c r="C22" s="1173"/>
      <c r="D22" s="1163" t="s">
        <v>1064</v>
      </c>
      <c r="E22" s="1175"/>
      <c r="F22" s="1175"/>
      <c r="G22" s="1176"/>
      <c r="H22" s="1177"/>
      <c r="I22" s="1170">
        <f>SUM(J22:N22)</f>
        <v>3737</v>
      </c>
      <c r="J22" s="1184">
        <v>30</v>
      </c>
      <c r="K22" s="1184">
        <v>42</v>
      </c>
      <c r="L22" s="1180">
        <v>3665</v>
      </c>
      <c r="M22" s="1184"/>
      <c r="N22" s="1186"/>
    </row>
    <row r="23" spans="1:16" s="7" customFormat="1" ht="16.5" x14ac:dyDescent="0.3">
      <c r="A23" s="184">
        <v>13</v>
      </c>
      <c r="B23" s="1172"/>
      <c r="C23" s="1173"/>
      <c r="D23" s="1174" t="s">
        <v>1012</v>
      </c>
      <c r="E23" s="1175"/>
      <c r="F23" s="1175"/>
      <c r="G23" s="1176"/>
      <c r="H23" s="1177"/>
      <c r="I23" s="1178">
        <f t="shared" ref="I23" si="2">SUM(J23:N23)</f>
        <v>0</v>
      </c>
      <c r="J23" s="1185"/>
      <c r="K23" s="1185"/>
      <c r="L23" s="1185"/>
      <c r="M23" s="1184"/>
      <c r="N23" s="1186"/>
    </row>
    <row r="24" spans="1:16" s="7" customFormat="1" ht="16.5" x14ac:dyDescent="0.3">
      <c r="A24" s="184">
        <v>14</v>
      </c>
      <c r="B24" s="1172"/>
      <c r="C24" s="1173"/>
      <c r="D24" s="1163" t="s">
        <v>1116</v>
      </c>
      <c r="E24" s="1175"/>
      <c r="F24" s="1175"/>
      <c r="G24" s="1176"/>
      <c r="H24" s="1177"/>
      <c r="I24" s="1170">
        <f>SUM(J24:N24)</f>
        <v>3737</v>
      </c>
      <c r="J24" s="1180">
        <f>SUM(J22:J23)</f>
        <v>30</v>
      </c>
      <c r="K24" s="1180">
        <f>SUM(K22:K23)</f>
        <v>42</v>
      </c>
      <c r="L24" s="1180">
        <f>SUM(L22:L23)</f>
        <v>3665</v>
      </c>
      <c r="M24" s="1184"/>
      <c r="N24" s="1186"/>
    </row>
    <row r="25" spans="1:16" s="3" customFormat="1" ht="16.5" x14ac:dyDescent="0.3">
      <c r="A25" s="184">
        <v>15</v>
      </c>
      <c r="B25" s="1181"/>
      <c r="C25" s="1182">
        <v>4</v>
      </c>
      <c r="D25" s="1183" t="s">
        <v>47</v>
      </c>
      <c r="E25" s="1175">
        <v>12950</v>
      </c>
      <c r="F25" s="1175">
        <v>11000</v>
      </c>
      <c r="G25" s="1176">
        <v>13218</v>
      </c>
      <c r="H25" s="1177" t="s">
        <v>24</v>
      </c>
      <c r="I25" s="1191"/>
      <c r="J25" s="1184"/>
      <c r="K25" s="1184"/>
      <c r="L25" s="1184"/>
      <c r="M25" s="1184"/>
      <c r="N25" s="1186"/>
      <c r="P25" s="7"/>
    </row>
    <row r="26" spans="1:16" s="3" customFormat="1" ht="16.5" x14ac:dyDescent="0.3">
      <c r="A26" s="184">
        <v>16</v>
      </c>
      <c r="B26" s="1181"/>
      <c r="C26" s="1182"/>
      <c r="D26" s="1163" t="s">
        <v>1064</v>
      </c>
      <c r="E26" s="1175"/>
      <c r="F26" s="1175"/>
      <c r="G26" s="1176"/>
      <c r="H26" s="1177"/>
      <c r="I26" s="1170">
        <f t="shared" ref="I26:I28" si="3">SUM(J26:N26)</f>
        <v>11235</v>
      </c>
      <c r="J26" s="1184"/>
      <c r="K26" s="1184"/>
      <c r="L26" s="1180">
        <v>11235</v>
      </c>
      <c r="M26" s="1184"/>
      <c r="N26" s="1186"/>
      <c r="P26" s="7"/>
    </row>
    <row r="27" spans="1:16" s="7" customFormat="1" ht="16.5" x14ac:dyDescent="0.3">
      <c r="A27" s="184">
        <v>17</v>
      </c>
      <c r="B27" s="1172"/>
      <c r="C27" s="1173"/>
      <c r="D27" s="1174" t="s">
        <v>1012</v>
      </c>
      <c r="E27" s="1193"/>
      <c r="F27" s="1193"/>
      <c r="G27" s="1194"/>
      <c r="H27" s="1177"/>
      <c r="I27" s="1178">
        <f t="shared" si="3"/>
        <v>0</v>
      </c>
      <c r="J27" s="1185"/>
      <c r="K27" s="1185"/>
      <c r="L27" s="1185"/>
      <c r="M27" s="1185"/>
      <c r="N27" s="1195"/>
    </row>
    <row r="28" spans="1:16" s="7" customFormat="1" ht="16.5" x14ac:dyDescent="0.3">
      <c r="A28" s="184">
        <v>18</v>
      </c>
      <c r="B28" s="1172"/>
      <c r="C28" s="1173"/>
      <c r="D28" s="1163" t="s">
        <v>1116</v>
      </c>
      <c r="E28" s="1193"/>
      <c r="F28" s="1193"/>
      <c r="G28" s="1194"/>
      <c r="H28" s="1177"/>
      <c r="I28" s="1170">
        <f t="shared" si="3"/>
        <v>11235</v>
      </c>
      <c r="J28" s="1184"/>
      <c r="K28" s="1184"/>
      <c r="L28" s="1180">
        <f>SUM(L26:L27)</f>
        <v>11235</v>
      </c>
      <c r="M28" s="1184"/>
      <c r="N28" s="1186"/>
    </row>
    <row r="29" spans="1:16" s="3" customFormat="1" ht="16.5" x14ac:dyDescent="0.3">
      <c r="A29" s="184">
        <v>19</v>
      </c>
      <c r="B29" s="1181"/>
      <c r="C29" s="1182">
        <v>5</v>
      </c>
      <c r="D29" s="1183" t="s">
        <v>12</v>
      </c>
      <c r="E29" s="1175">
        <v>8243</v>
      </c>
      <c r="F29" s="1175">
        <v>10167</v>
      </c>
      <c r="G29" s="1176">
        <v>9366</v>
      </c>
      <c r="H29" s="1177" t="s">
        <v>24</v>
      </c>
      <c r="I29" s="1187"/>
      <c r="J29" s="1188"/>
      <c r="K29" s="1188"/>
      <c r="L29" s="1188"/>
      <c r="M29" s="1188"/>
      <c r="N29" s="1189"/>
      <c r="O29" s="7"/>
      <c r="P29" s="7"/>
    </row>
    <row r="30" spans="1:16" s="431" customFormat="1" x14ac:dyDescent="0.3">
      <c r="A30" s="184">
        <v>20</v>
      </c>
      <c r="B30" s="1196"/>
      <c r="C30" s="1197"/>
      <c r="D30" s="1190" t="s">
        <v>311</v>
      </c>
      <c r="E30" s="1198"/>
      <c r="F30" s="1198"/>
      <c r="G30" s="1199"/>
      <c r="H30" s="1200"/>
      <c r="I30" s="1191">
        <f>SUM(J30:N30)</f>
        <v>9601</v>
      </c>
      <c r="J30" s="1192">
        <v>3800</v>
      </c>
      <c r="K30" s="1192">
        <v>1100</v>
      </c>
      <c r="L30" s="1192">
        <v>4701</v>
      </c>
      <c r="M30" s="1192"/>
      <c r="N30" s="1201"/>
    </row>
    <row r="31" spans="1:16" s="431" customFormat="1" x14ac:dyDescent="0.3">
      <c r="A31" s="184">
        <v>21</v>
      </c>
      <c r="B31" s="1196"/>
      <c r="C31" s="1197"/>
      <c r="D31" s="1163" t="s">
        <v>1064</v>
      </c>
      <c r="E31" s="1198"/>
      <c r="F31" s="1198"/>
      <c r="G31" s="1199"/>
      <c r="H31" s="1200"/>
      <c r="I31" s="1170">
        <f t="shared" ref="I31:I33" si="4">SUM(J31:N31)</f>
        <v>9601</v>
      </c>
      <c r="J31" s="1180">
        <v>3800</v>
      </c>
      <c r="K31" s="1180">
        <v>1100</v>
      </c>
      <c r="L31" s="1180">
        <v>4701</v>
      </c>
      <c r="M31" s="1192"/>
      <c r="N31" s="1201"/>
    </row>
    <row r="32" spans="1:16" s="431" customFormat="1" x14ac:dyDescent="0.3">
      <c r="A32" s="184">
        <v>22</v>
      </c>
      <c r="B32" s="1196"/>
      <c r="C32" s="1197"/>
      <c r="D32" s="1174" t="s">
        <v>990</v>
      </c>
      <c r="E32" s="1198"/>
      <c r="F32" s="1198"/>
      <c r="G32" s="1199"/>
      <c r="H32" s="1200"/>
      <c r="I32" s="1178">
        <f t="shared" si="4"/>
        <v>0</v>
      </c>
      <c r="J32" s="1185">
        <v>-300</v>
      </c>
      <c r="K32" s="1185">
        <v>-39</v>
      </c>
      <c r="L32" s="1185"/>
      <c r="M32" s="1185"/>
      <c r="N32" s="1195">
        <v>339</v>
      </c>
    </row>
    <row r="33" spans="1:16" s="431" customFormat="1" x14ac:dyDescent="0.3">
      <c r="A33" s="184">
        <v>23</v>
      </c>
      <c r="B33" s="1196"/>
      <c r="C33" s="1197"/>
      <c r="D33" s="1163" t="s">
        <v>1116</v>
      </c>
      <c r="E33" s="1198"/>
      <c r="F33" s="1198"/>
      <c r="G33" s="1199"/>
      <c r="H33" s="1200"/>
      <c r="I33" s="1170">
        <f t="shared" si="4"/>
        <v>9601</v>
      </c>
      <c r="J33" s="1180">
        <f>SUM(J31:J32)</f>
        <v>3500</v>
      </c>
      <c r="K33" s="1180">
        <f t="shared" ref="K33:L33" si="5">SUM(K31:K32)</f>
        <v>1061</v>
      </c>
      <c r="L33" s="1180">
        <f t="shared" si="5"/>
        <v>4701</v>
      </c>
      <c r="M33" s="1180"/>
      <c r="N33" s="1202">
        <f>SUM(N32)</f>
        <v>339</v>
      </c>
    </row>
    <row r="34" spans="1:16" s="3" customFormat="1" ht="16.5" x14ac:dyDescent="0.3">
      <c r="A34" s="184">
        <v>24</v>
      </c>
      <c r="B34" s="1181"/>
      <c r="C34" s="1182">
        <v>6</v>
      </c>
      <c r="D34" s="1183" t="s">
        <v>439</v>
      </c>
      <c r="E34" s="1175">
        <v>1000</v>
      </c>
      <c r="F34" s="1175">
        <v>1000</v>
      </c>
      <c r="G34" s="1176"/>
      <c r="H34" s="1177" t="s">
        <v>24</v>
      </c>
      <c r="I34" s="1191"/>
      <c r="J34" s="1188"/>
      <c r="K34" s="1188"/>
      <c r="L34" s="1188"/>
      <c r="M34" s="1188"/>
      <c r="N34" s="1189"/>
      <c r="O34" s="7"/>
      <c r="P34" s="7"/>
    </row>
    <row r="35" spans="1:16" s="3" customFormat="1" ht="16.5" x14ac:dyDescent="0.3">
      <c r="A35" s="184">
        <v>25</v>
      </c>
      <c r="B35" s="1181"/>
      <c r="C35" s="1182">
        <v>7</v>
      </c>
      <c r="D35" s="1183" t="s">
        <v>10</v>
      </c>
      <c r="E35" s="1175">
        <f>SUM(E36,E37,E38,E39,E41,E40)</f>
        <v>72000</v>
      </c>
      <c r="F35" s="1175">
        <f>SUM(F36,F37,F38,F39,F41,F40)</f>
        <v>74000</v>
      </c>
      <c r="G35" s="1176">
        <f>SUM(G36,G37,G38,G39,G41,G40)</f>
        <v>74000</v>
      </c>
      <c r="H35" s="1177" t="s">
        <v>24</v>
      </c>
      <c r="I35" s="1191"/>
      <c r="J35" s="1188"/>
      <c r="K35" s="1188"/>
      <c r="L35" s="1188"/>
      <c r="M35" s="1188"/>
      <c r="N35" s="1189"/>
      <c r="O35" s="7"/>
      <c r="P35" s="7"/>
    </row>
    <row r="36" spans="1:16" s="8" customFormat="1" x14ac:dyDescent="0.3">
      <c r="A36" s="184">
        <v>26</v>
      </c>
      <c r="B36" s="1203"/>
      <c r="C36" s="1204"/>
      <c r="D36" s="1205" t="s">
        <v>48</v>
      </c>
      <c r="E36" s="1206">
        <v>30000</v>
      </c>
      <c r="F36" s="1206">
        <v>30000</v>
      </c>
      <c r="G36" s="1207">
        <v>30000</v>
      </c>
      <c r="H36" s="1208"/>
      <c r="I36" s="1191"/>
      <c r="J36" s="1185"/>
      <c r="K36" s="1185"/>
      <c r="L36" s="1185"/>
      <c r="M36" s="1185"/>
      <c r="N36" s="1195"/>
      <c r="P36" s="7"/>
    </row>
    <row r="37" spans="1:16" s="8" customFormat="1" x14ac:dyDescent="0.3">
      <c r="A37" s="184">
        <v>27</v>
      </c>
      <c r="B37" s="1203"/>
      <c r="C37" s="1204"/>
      <c r="D37" s="1205" t="s">
        <v>49</v>
      </c>
      <c r="E37" s="1206">
        <v>15000</v>
      </c>
      <c r="F37" s="1206">
        <v>15000</v>
      </c>
      <c r="G37" s="1207">
        <v>15000</v>
      </c>
      <c r="H37" s="1208"/>
      <c r="I37" s="1191"/>
      <c r="J37" s="1209"/>
      <c r="K37" s="1209"/>
      <c r="L37" s="1209"/>
      <c r="M37" s="1209"/>
      <c r="N37" s="1210"/>
      <c r="P37" s="7"/>
    </row>
    <row r="38" spans="1:16" s="8" customFormat="1" x14ac:dyDescent="0.3">
      <c r="A38" s="184">
        <v>28</v>
      </c>
      <c r="B38" s="1203"/>
      <c r="C38" s="1204"/>
      <c r="D38" s="1205" t="s">
        <v>50</v>
      </c>
      <c r="E38" s="1206">
        <v>5000</v>
      </c>
      <c r="F38" s="1206">
        <v>2000</v>
      </c>
      <c r="G38" s="1207">
        <v>2000</v>
      </c>
      <c r="H38" s="1208"/>
      <c r="I38" s="1191"/>
      <c r="J38" s="1209"/>
      <c r="K38" s="1209"/>
      <c r="L38" s="1209"/>
      <c r="M38" s="1209"/>
      <c r="N38" s="1210"/>
      <c r="P38" s="7"/>
    </row>
    <row r="39" spans="1:16" s="8" customFormat="1" x14ac:dyDescent="0.3">
      <c r="A39" s="184">
        <v>29</v>
      </c>
      <c r="B39" s="1203"/>
      <c r="C39" s="1204"/>
      <c r="D39" s="1205" t="s">
        <v>51</v>
      </c>
      <c r="E39" s="1206">
        <v>15000</v>
      </c>
      <c r="F39" s="1206">
        <v>15000</v>
      </c>
      <c r="G39" s="1207">
        <v>15000</v>
      </c>
      <c r="H39" s="1208"/>
      <c r="I39" s="1191"/>
      <c r="J39" s="1209"/>
      <c r="K39" s="1209"/>
      <c r="L39" s="1209"/>
      <c r="M39" s="1209"/>
      <c r="N39" s="1210"/>
      <c r="P39" s="7"/>
    </row>
    <row r="40" spans="1:16" s="8" customFormat="1" x14ac:dyDescent="0.3">
      <c r="A40" s="184">
        <v>30</v>
      </c>
      <c r="B40" s="1203"/>
      <c r="C40" s="1173"/>
      <c r="D40" s="1205" t="s">
        <v>52</v>
      </c>
      <c r="E40" s="1206">
        <v>5000</v>
      </c>
      <c r="F40" s="1206">
        <v>10000</v>
      </c>
      <c r="G40" s="1207">
        <v>10000</v>
      </c>
      <c r="H40" s="1208"/>
      <c r="I40" s="1191"/>
      <c r="J40" s="1209"/>
      <c r="K40" s="1209"/>
      <c r="L40" s="1209"/>
      <c r="M40" s="1209"/>
      <c r="N40" s="1210"/>
    </row>
    <row r="41" spans="1:16" s="8" customFormat="1" x14ac:dyDescent="0.3">
      <c r="A41" s="184">
        <v>31</v>
      </c>
      <c r="B41" s="1203"/>
      <c r="C41" s="1173">
        <v>8</v>
      </c>
      <c r="D41" s="1183" t="s">
        <v>791</v>
      </c>
      <c r="E41" s="1175">
        <v>2000</v>
      </c>
      <c r="F41" s="1206">
        <v>2000</v>
      </c>
      <c r="G41" s="1207">
        <v>2000</v>
      </c>
      <c r="H41" s="1177" t="s">
        <v>24</v>
      </c>
      <c r="I41" s="1191"/>
      <c r="J41" s="1185"/>
      <c r="K41" s="1185"/>
      <c r="L41" s="1185"/>
      <c r="M41" s="1185"/>
      <c r="N41" s="1195"/>
      <c r="P41" s="7"/>
    </row>
    <row r="42" spans="1:16" s="3" customFormat="1" ht="16.5" x14ac:dyDescent="0.3">
      <c r="A42" s="184">
        <v>32</v>
      </c>
      <c r="B42" s="1181"/>
      <c r="C42" s="1182">
        <v>9</v>
      </c>
      <c r="D42" s="1183" t="s">
        <v>280</v>
      </c>
      <c r="E42" s="1175">
        <v>7817</v>
      </c>
      <c r="F42" s="1175">
        <v>10000</v>
      </c>
      <c r="G42" s="1176">
        <v>16207</v>
      </c>
      <c r="H42" s="1177" t="s">
        <v>24</v>
      </c>
      <c r="I42" s="1191"/>
      <c r="J42" s="1184"/>
      <c r="K42" s="1184"/>
      <c r="L42" s="1184"/>
      <c r="M42" s="1184"/>
      <c r="N42" s="1186"/>
      <c r="P42" s="7"/>
    </row>
    <row r="43" spans="1:16" s="3" customFormat="1" ht="16.5" x14ac:dyDescent="0.3">
      <c r="A43" s="184">
        <v>33</v>
      </c>
      <c r="B43" s="1181"/>
      <c r="C43" s="1182"/>
      <c r="D43" s="1163" t="s">
        <v>1064</v>
      </c>
      <c r="E43" s="1176"/>
      <c r="F43" s="1175"/>
      <c r="G43" s="1211"/>
      <c r="H43" s="1177"/>
      <c r="I43" s="1170">
        <f t="shared" ref="I43:I49" si="6">SUM(J43:N43)</f>
        <v>6657</v>
      </c>
      <c r="J43" s="1184"/>
      <c r="K43" s="1184"/>
      <c r="L43" s="1180">
        <v>6657</v>
      </c>
      <c r="M43" s="1184"/>
      <c r="N43" s="1186"/>
      <c r="P43" s="7"/>
    </row>
    <row r="44" spans="1:16" s="7" customFormat="1" ht="16.5" x14ac:dyDescent="0.3">
      <c r="A44" s="184">
        <v>34</v>
      </c>
      <c r="B44" s="1172"/>
      <c r="C44" s="1173"/>
      <c r="D44" s="1174" t="s">
        <v>1012</v>
      </c>
      <c r="E44" s="1212"/>
      <c r="F44" s="1193"/>
      <c r="G44" s="1213"/>
      <c r="H44" s="1177"/>
      <c r="I44" s="1178">
        <f t="shared" si="6"/>
        <v>0</v>
      </c>
      <c r="J44" s="1184"/>
      <c r="K44" s="1184"/>
      <c r="L44" s="1184"/>
      <c r="M44" s="1184"/>
      <c r="N44" s="1186"/>
    </row>
    <row r="45" spans="1:16" s="7" customFormat="1" ht="16.5" x14ac:dyDescent="0.3">
      <c r="A45" s="184">
        <v>35</v>
      </c>
      <c r="B45" s="1172"/>
      <c r="C45" s="1173"/>
      <c r="D45" s="1163" t="s">
        <v>1116</v>
      </c>
      <c r="E45" s="1214"/>
      <c r="F45" s="1215"/>
      <c r="G45" s="1214"/>
      <c r="H45" s="1177"/>
      <c r="I45" s="1170">
        <f t="shared" si="6"/>
        <v>6657</v>
      </c>
      <c r="J45" s="1184"/>
      <c r="K45" s="1184"/>
      <c r="L45" s="1180">
        <f>SUM(L43:L44)</f>
        <v>6657</v>
      </c>
      <c r="M45" s="1184"/>
      <c r="N45" s="1186"/>
    </row>
    <row r="46" spans="1:16" s="3" customFormat="1" ht="16.5" x14ac:dyDescent="0.3">
      <c r="A46" s="184">
        <v>36</v>
      </c>
      <c r="B46" s="1181"/>
      <c r="C46" s="1182">
        <v>10</v>
      </c>
      <c r="D46" s="1183" t="s">
        <v>53</v>
      </c>
      <c r="E46" s="1175">
        <v>6008</v>
      </c>
      <c r="F46" s="1175">
        <v>4500</v>
      </c>
      <c r="G46" s="1176">
        <v>22414</v>
      </c>
      <c r="H46" s="1177" t="s">
        <v>24</v>
      </c>
      <c r="I46" s="1191"/>
      <c r="J46" s="1184"/>
      <c r="K46" s="1184"/>
      <c r="L46" s="1184"/>
      <c r="M46" s="1184"/>
      <c r="N46" s="1186"/>
      <c r="P46" s="7"/>
    </row>
    <row r="47" spans="1:16" s="3" customFormat="1" ht="16.5" x14ac:dyDescent="0.3">
      <c r="A47" s="184">
        <v>37</v>
      </c>
      <c r="B47" s="1181"/>
      <c r="C47" s="1182"/>
      <c r="D47" s="1163" t="s">
        <v>1064</v>
      </c>
      <c r="E47" s="1175"/>
      <c r="F47" s="1175"/>
      <c r="G47" s="1176"/>
      <c r="H47" s="1166"/>
      <c r="I47" s="1170">
        <f t="shared" si="6"/>
        <v>3499</v>
      </c>
      <c r="J47" s="1184"/>
      <c r="K47" s="1184"/>
      <c r="L47" s="1914">
        <f>1554+1945</f>
        <v>3499</v>
      </c>
      <c r="M47" s="1184"/>
      <c r="N47" s="1186"/>
      <c r="P47" s="7"/>
    </row>
    <row r="48" spans="1:16" s="7" customFormat="1" ht="16.5" x14ac:dyDescent="0.3">
      <c r="A48" s="184">
        <v>38</v>
      </c>
      <c r="B48" s="1172"/>
      <c r="C48" s="1173"/>
      <c r="D48" s="1174" t="s">
        <v>1012</v>
      </c>
      <c r="E48" s="1175"/>
      <c r="F48" s="1175"/>
      <c r="G48" s="1176"/>
      <c r="H48" s="1166"/>
      <c r="I48" s="1178">
        <f t="shared" si="6"/>
        <v>0</v>
      </c>
      <c r="J48" s="1185"/>
      <c r="K48" s="1185"/>
      <c r="L48" s="1185"/>
      <c r="M48" s="1185"/>
      <c r="N48" s="1195"/>
    </row>
    <row r="49" spans="1:16" s="7" customFormat="1" ht="16.5" x14ac:dyDescent="0.3">
      <c r="A49" s="184">
        <v>39</v>
      </c>
      <c r="B49" s="1172"/>
      <c r="C49" s="1173"/>
      <c r="D49" s="1163" t="s">
        <v>1116</v>
      </c>
      <c r="E49" s="1175"/>
      <c r="F49" s="1175"/>
      <c r="G49" s="1176"/>
      <c r="H49" s="1166"/>
      <c r="I49" s="1170">
        <f t="shared" si="6"/>
        <v>3499</v>
      </c>
      <c r="J49" s="1180"/>
      <c r="K49" s="1180"/>
      <c r="L49" s="1180">
        <f>SUM(L47:L48)</f>
        <v>3499</v>
      </c>
      <c r="M49" s="1184"/>
      <c r="N49" s="1186"/>
    </row>
    <row r="50" spans="1:16" s="3" customFormat="1" ht="16.5" x14ac:dyDescent="0.3">
      <c r="A50" s="184">
        <v>40</v>
      </c>
      <c r="B50" s="1181"/>
      <c r="C50" s="1182">
        <v>11</v>
      </c>
      <c r="D50" s="1183" t="s">
        <v>54</v>
      </c>
      <c r="E50" s="1175">
        <v>21</v>
      </c>
      <c r="F50" s="1175">
        <v>2000</v>
      </c>
      <c r="G50" s="1176">
        <v>450</v>
      </c>
      <c r="H50" s="1166" t="s">
        <v>24</v>
      </c>
      <c r="I50" s="1170"/>
      <c r="J50" s="1184"/>
      <c r="K50" s="1184"/>
      <c r="L50" s="1184"/>
      <c r="M50" s="1184"/>
      <c r="N50" s="1186"/>
      <c r="P50" s="7"/>
    </row>
    <row r="51" spans="1:16" s="432" customFormat="1" x14ac:dyDescent="0.35">
      <c r="A51" s="184">
        <v>41</v>
      </c>
      <c r="B51" s="1216"/>
      <c r="C51" s="1197"/>
      <c r="D51" s="1190" t="s">
        <v>311</v>
      </c>
      <c r="E51" s="1217"/>
      <c r="F51" s="1217"/>
      <c r="G51" s="1218"/>
      <c r="H51" s="1219"/>
      <c r="I51" s="1191">
        <f>SUM(J51:N51)</f>
        <v>1000</v>
      </c>
      <c r="J51" s="1220"/>
      <c r="K51" s="1220"/>
      <c r="L51" s="1220">
        <v>1000</v>
      </c>
      <c r="M51" s="1220"/>
      <c r="N51" s="1221"/>
      <c r="P51" s="431"/>
    </row>
    <row r="52" spans="1:16" s="432" customFormat="1" x14ac:dyDescent="0.35">
      <c r="A52" s="184">
        <v>42</v>
      </c>
      <c r="B52" s="1216"/>
      <c r="C52" s="1197"/>
      <c r="D52" s="1163" t="s">
        <v>1064</v>
      </c>
      <c r="E52" s="1217"/>
      <c r="F52" s="1217"/>
      <c r="G52" s="1218"/>
      <c r="H52" s="1219"/>
      <c r="I52" s="1170">
        <f t="shared" ref="I52:I54" si="7">SUM(J52:N52)</f>
        <v>1750</v>
      </c>
      <c r="J52" s="1220"/>
      <c r="K52" s="1220"/>
      <c r="L52" s="1171">
        <v>1750</v>
      </c>
      <c r="M52" s="1220"/>
      <c r="N52" s="1221"/>
      <c r="P52" s="431"/>
    </row>
    <row r="53" spans="1:16" s="432" customFormat="1" x14ac:dyDescent="0.35">
      <c r="A53" s="184">
        <v>43</v>
      </c>
      <c r="B53" s="1216"/>
      <c r="C53" s="1197"/>
      <c r="D53" s="1174" t="s">
        <v>1012</v>
      </c>
      <c r="E53" s="1217"/>
      <c r="F53" s="1217"/>
      <c r="G53" s="1218"/>
      <c r="H53" s="1219"/>
      <c r="I53" s="1178">
        <f t="shared" si="7"/>
        <v>0</v>
      </c>
      <c r="J53" s="1179"/>
      <c r="K53" s="1179"/>
      <c r="L53" s="1179"/>
      <c r="M53" s="1179"/>
      <c r="N53" s="1222"/>
      <c r="P53" s="431"/>
    </row>
    <row r="54" spans="1:16" s="432" customFormat="1" x14ac:dyDescent="0.35">
      <c r="A54" s="184">
        <v>44</v>
      </c>
      <c r="B54" s="1216"/>
      <c r="C54" s="1197"/>
      <c r="D54" s="1163" t="s">
        <v>1116</v>
      </c>
      <c r="E54" s="1217"/>
      <c r="F54" s="1217"/>
      <c r="G54" s="1218"/>
      <c r="H54" s="1219"/>
      <c r="I54" s="1170">
        <f t="shared" si="7"/>
        <v>1750</v>
      </c>
      <c r="J54" s="1171"/>
      <c r="K54" s="1171"/>
      <c r="L54" s="1171">
        <f>SUM(L52:L53)</f>
        <v>1750</v>
      </c>
      <c r="M54" s="1171"/>
      <c r="N54" s="1223"/>
      <c r="P54" s="431"/>
    </row>
    <row r="55" spans="1:16" s="3" customFormat="1" ht="16.5" x14ac:dyDescent="0.3">
      <c r="A55" s="184">
        <v>45</v>
      </c>
      <c r="B55" s="1181"/>
      <c r="C55" s="1182">
        <v>12</v>
      </c>
      <c r="D55" s="1183" t="s">
        <v>55</v>
      </c>
      <c r="E55" s="1175">
        <v>2657</v>
      </c>
      <c r="F55" s="1175">
        <v>4000</v>
      </c>
      <c r="G55" s="1176">
        <v>1887</v>
      </c>
      <c r="H55" s="1177" t="s">
        <v>24</v>
      </c>
      <c r="I55" s="1170"/>
      <c r="J55" s="1184"/>
      <c r="K55" s="1184"/>
      <c r="L55" s="1184"/>
      <c r="M55" s="1184"/>
      <c r="N55" s="1186"/>
      <c r="P55" s="7"/>
    </row>
    <row r="56" spans="1:16" s="431" customFormat="1" x14ac:dyDescent="0.3">
      <c r="A56" s="184">
        <v>46</v>
      </c>
      <c r="B56" s="1196"/>
      <c r="C56" s="1197"/>
      <c r="D56" s="1190" t="s">
        <v>311</v>
      </c>
      <c r="E56" s="1198"/>
      <c r="F56" s="1198"/>
      <c r="G56" s="1199"/>
      <c r="H56" s="1200"/>
      <c r="I56" s="1191">
        <f>SUM(J56:N56)</f>
        <v>2000</v>
      </c>
      <c r="J56" s="1192"/>
      <c r="K56" s="1192"/>
      <c r="L56" s="1192">
        <v>2000</v>
      </c>
      <c r="M56" s="1192"/>
      <c r="N56" s="1201"/>
    </row>
    <row r="57" spans="1:16" s="431" customFormat="1" x14ac:dyDescent="0.3">
      <c r="A57" s="184">
        <v>47</v>
      </c>
      <c r="B57" s="1196"/>
      <c r="C57" s="1197"/>
      <c r="D57" s="1163" t="s">
        <v>1064</v>
      </c>
      <c r="E57" s="1198"/>
      <c r="F57" s="1198"/>
      <c r="G57" s="1199"/>
      <c r="H57" s="1200"/>
      <c r="I57" s="1170">
        <f t="shared" ref="I57:I59" si="8">SUM(J57:N57)</f>
        <v>0</v>
      </c>
      <c r="J57" s="1192"/>
      <c r="K57" s="1192"/>
      <c r="L57" s="1180">
        <v>0</v>
      </c>
      <c r="M57" s="1192"/>
      <c r="N57" s="1201"/>
    </row>
    <row r="58" spans="1:16" s="431" customFormat="1" x14ac:dyDescent="0.3">
      <c r="A58" s="184">
        <v>48</v>
      </c>
      <c r="B58" s="1196"/>
      <c r="C58" s="1197"/>
      <c r="D58" s="1174" t="s">
        <v>1012</v>
      </c>
      <c r="E58" s="1198"/>
      <c r="F58" s="1198"/>
      <c r="G58" s="1199"/>
      <c r="H58" s="1200"/>
      <c r="I58" s="1178">
        <f t="shared" si="8"/>
        <v>0</v>
      </c>
      <c r="J58" s="1185"/>
      <c r="K58" s="1185"/>
      <c r="L58" s="1185"/>
      <c r="M58" s="1185"/>
      <c r="N58" s="1195"/>
    </row>
    <row r="59" spans="1:16" s="431" customFormat="1" x14ac:dyDescent="0.3">
      <c r="A59" s="184">
        <v>49</v>
      </c>
      <c r="B59" s="1196"/>
      <c r="C59" s="1197"/>
      <c r="D59" s="1163" t="s">
        <v>1116</v>
      </c>
      <c r="E59" s="1198"/>
      <c r="F59" s="1198"/>
      <c r="G59" s="1199"/>
      <c r="H59" s="1200"/>
      <c r="I59" s="1170">
        <f t="shared" si="8"/>
        <v>0</v>
      </c>
      <c r="J59" s="1180"/>
      <c r="K59" s="1180"/>
      <c r="L59" s="1180">
        <f>SUM(L57:L58)</f>
        <v>0</v>
      </c>
      <c r="M59" s="1180"/>
      <c r="N59" s="1202"/>
    </row>
    <row r="60" spans="1:16" s="3" customFormat="1" ht="16.5" x14ac:dyDescent="0.3">
      <c r="A60" s="184">
        <v>50</v>
      </c>
      <c r="B60" s="1181"/>
      <c r="C60" s="1182">
        <v>13</v>
      </c>
      <c r="D60" s="1183" t="s">
        <v>56</v>
      </c>
      <c r="E60" s="1175">
        <f>SUM(E65,E70,E75,E80)</f>
        <v>5498</v>
      </c>
      <c r="F60" s="1175">
        <f>SUM(F65,F70,F75,F80)+F81+F82</f>
        <v>13000</v>
      </c>
      <c r="G60" s="1175">
        <f>SUM(G65,G70,G75,G80)+G83</f>
        <v>7346</v>
      </c>
      <c r="H60" s="1177" t="s">
        <v>24</v>
      </c>
      <c r="I60" s="1170"/>
      <c r="J60" s="1184"/>
      <c r="K60" s="1184"/>
      <c r="L60" s="1184"/>
      <c r="M60" s="1184"/>
      <c r="N60" s="1186"/>
      <c r="P60" s="7"/>
    </row>
    <row r="61" spans="1:16" s="431" customFormat="1" x14ac:dyDescent="0.3">
      <c r="A61" s="184">
        <v>51</v>
      </c>
      <c r="B61" s="1196"/>
      <c r="C61" s="1197"/>
      <c r="D61" s="1190" t="s">
        <v>311</v>
      </c>
      <c r="E61" s="1198"/>
      <c r="F61" s="1198"/>
      <c r="G61" s="1199"/>
      <c r="H61" s="1200"/>
      <c r="I61" s="1191">
        <f>SUM(J61:N61)</f>
        <v>2925</v>
      </c>
      <c r="J61" s="1192">
        <f>SUM(J66,J71,J76,)</f>
        <v>0</v>
      </c>
      <c r="K61" s="1192">
        <f t="shared" ref="K61:N62" si="9">SUM(K66,K71,K76,)</f>
        <v>0</v>
      </c>
      <c r="L61" s="1192">
        <f t="shared" si="9"/>
        <v>0</v>
      </c>
      <c r="M61" s="1192">
        <f t="shared" si="9"/>
        <v>0</v>
      </c>
      <c r="N61" s="1201">
        <f t="shared" si="9"/>
        <v>2925</v>
      </c>
    </row>
    <row r="62" spans="1:16" s="431" customFormat="1" x14ac:dyDescent="0.3">
      <c r="A62" s="184">
        <v>52</v>
      </c>
      <c r="B62" s="1196"/>
      <c r="C62" s="1197"/>
      <c r="D62" s="1163" t="s">
        <v>1064</v>
      </c>
      <c r="E62" s="1198"/>
      <c r="F62" s="1198"/>
      <c r="G62" s="1199"/>
      <c r="H62" s="1200"/>
      <c r="I62" s="1170">
        <f>SUM(J62:N62)</f>
        <v>0</v>
      </c>
      <c r="J62" s="1180">
        <f>SUM(J67,J72,J77,)</f>
        <v>0</v>
      </c>
      <c r="K62" s="1180">
        <f t="shared" si="9"/>
        <v>0</v>
      </c>
      <c r="L62" s="1180">
        <f t="shared" si="9"/>
        <v>0</v>
      </c>
      <c r="M62" s="1180">
        <f t="shared" si="9"/>
        <v>0</v>
      </c>
      <c r="N62" s="1202">
        <f t="shared" si="9"/>
        <v>0</v>
      </c>
    </row>
    <row r="63" spans="1:16" s="431" customFormat="1" x14ac:dyDescent="0.3">
      <c r="A63" s="184">
        <v>53</v>
      </c>
      <c r="B63" s="1196"/>
      <c r="C63" s="1197"/>
      <c r="D63" s="1174" t="s">
        <v>999</v>
      </c>
      <c r="E63" s="1198"/>
      <c r="F63" s="1198"/>
      <c r="G63" s="1199"/>
      <c r="H63" s="1200"/>
      <c r="I63" s="1178">
        <f t="shared" ref="I63" si="10">SUM(J63:N63)</f>
        <v>0</v>
      </c>
      <c r="J63" s="1185">
        <f>J68+J73+J78</f>
        <v>0</v>
      </c>
      <c r="K63" s="1185">
        <f t="shared" ref="K63:N63" si="11">K68+K73+K78</f>
        <v>0</v>
      </c>
      <c r="L63" s="1185">
        <f t="shared" si="11"/>
        <v>0</v>
      </c>
      <c r="M63" s="1185">
        <f t="shared" si="11"/>
        <v>0</v>
      </c>
      <c r="N63" s="1195">
        <f t="shared" si="11"/>
        <v>0</v>
      </c>
    </row>
    <row r="64" spans="1:16" s="431" customFormat="1" x14ac:dyDescent="0.3">
      <c r="A64" s="184">
        <v>54</v>
      </c>
      <c r="B64" s="1196"/>
      <c r="C64" s="1197"/>
      <c r="D64" s="1163" t="s">
        <v>1116</v>
      </c>
      <c r="E64" s="1198"/>
      <c r="F64" s="1198"/>
      <c r="G64" s="1199"/>
      <c r="H64" s="1200"/>
      <c r="I64" s="1170">
        <f>SUM(J64:N64)</f>
        <v>0</v>
      </c>
      <c r="J64" s="1180">
        <f>SUM(J62:J63)</f>
        <v>0</v>
      </c>
      <c r="K64" s="1180">
        <f t="shared" ref="K64:N64" si="12">SUM(K62:K63)</f>
        <v>0</v>
      </c>
      <c r="L64" s="1180">
        <f t="shared" si="12"/>
        <v>0</v>
      </c>
      <c r="M64" s="1180">
        <f t="shared" si="12"/>
        <v>0</v>
      </c>
      <c r="N64" s="1202">
        <f t="shared" si="12"/>
        <v>0</v>
      </c>
    </row>
    <row r="65" spans="1:14" s="8" customFormat="1" x14ac:dyDescent="0.3">
      <c r="A65" s="184">
        <v>55</v>
      </c>
      <c r="B65" s="1203"/>
      <c r="C65" s="1173"/>
      <c r="D65" s="1224" t="s">
        <v>289</v>
      </c>
      <c r="E65" s="1206"/>
      <c r="F65" s="1206">
        <v>1500</v>
      </c>
      <c r="G65" s="1207"/>
      <c r="H65" s="1208"/>
      <c r="I65" s="1225"/>
      <c r="J65" s="1185"/>
      <c r="K65" s="1185"/>
      <c r="L65" s="1185"/>
      <c r="M65" s="1185"/>
      <c r="N65" s="1195"/>
    </row>
    <row r="66" spans="1:14" s="433" customFormat="1" ht="16.5" x14ac:dyDescent="0.3">
      <c r="A66" s="184">
        <v>56</v>
      </c>
      <c r="B66" s="1226"/>
      <c r="C66" s="1197"/>
      <c r="D66" s="1227" t="s">
        <v>311</v>
      </c>
      <c r="E66" s="1228"/>
      <c r="F66" s="1228"/>
      <c r="G66" s="1229"/>
      <c r="H66" s="1230"/>
      <c r="I66" s="1231">
        <f>SUM(J66:N66)</f>
        <v>1000</v>
      </c>
      <c r="J66" s="1232"/>
      <c r="K66" s="1232"/>
      <c r="L66" s="1232"/>
      <c r="M66" s="1232"/>
      <c r="N66" s="1233">
        <v>1000</v>
      </c>
    </row>
    <row r="67" spans="1:14" s="433" customFormat="1" ht="16.5" x14ac:dyDescent="0.3">
      <c r="A67" s="184">
        <v>57</v>
      </c>
      <c r="B67" s="1226"/>
      <c r="C67" s="1197"/>
      <c r="D67" s="1234" t="s">
        <v>1064</v>
      </c>
      <c r="E67" s="1228"/>
      <c r="F67" s="1228"/>
      <c r="G67" s="1229"/>
      <c r="H67" s="1230"/>
      <c r="I67" s="1225">
        <f t="shared" ref="I67:I69" si="13">SUM(J67:N67)</f>
        <v>0</v>
      </c>
      <c r="J67" s="1232"/>
      <c r="K67" s="1232"/>
      <c r="L67" s="1232"/>
      <c r="M67" s="1232"/>
      <c r="N67" s="1235">
        <v>0</v>
      </c>
    </row>
    <row r="68" spans="1:14" s="433" customFormat="1" ht="16.5" x14ac:dyDescent="0.3">
      <c r="A68" s="184">
        <v>58</v>
      </c>
      <c r="B68" s="1226"/>
      <c r="C68" s="1197"/>
      <c r="D68" s="1236" t="s">
        <v>990</v>
      </c>
      <c r="E68" s="1228"/>
      <c r="F68" s="1228"/>
      <c r="G68" s="1229"/>
      <c r="H68" s="1230"/>
      <c r="I68" s="1178">
        <f t="shared" si="13"/>
        <v>0</v>
      </c>
      <c r="J68" s="1185"/>
      <c r="K68" s="1185"/>
      <c r="L68" s="1185"/>
      <c r="M68" s="1185"/>
      <c r="N68" s="1195"/>
    </row>
    <row r="69" spans="1:14" s="433" customFormat="1" ht="16.5" x14ac:dyDescent="0.3">
      <c r="A69" s="184">
        <v>59</v>
      </c>
      <c r="B69" s="1226"/>
      <c r="C69" s="1197"/>
      <c r="D69" s="1234" t="s">
        <v>1116</v>
      </c>
      <c r="E69" s="1228"/>
      <c r="F69" s="1228"/>
      <c r="G69" s="1229"/>
      <c r="H69" s="1230"/>
      <c r="I69" s="1225">
        <f t="shared" si="13"/>
        <v>0</v>
      </c>
      <c r="J69" s="1237"/>
      <c r="K69" s="1237"/>
      <c r="L69" s="1237"/>
      <c r="M69" s="1237"/>
      <c r="N69" s="1235">
        <f>SUM(N67:N68)</f>
        <v>0</v>
      </c>
    </row>
    <row r="70" spans="1:14" s="8" customFormat="1" x14ac:dyDescent="0.3">
      <c r="A70" s="184">
        <v>60</v>
      </c>
      <c r="B70" s="1203"/>
      <c r="C70" s="1173"/>
      <c r="D70" s="1224" t="s">
        <v>290</v>
      </c>
      <c r="E70" s="1206">
        <v>2998</v>
      </c>
      <c r="F70" s="1206">
        <v>2000</v>
      </c>
      <c r="G70" s="1207">
        <v>2846</v>
      </c>
      <c r="H70" s="1208"/>
      <c r="I70" s="1238"/>
      <c r="J70" s="1209"/>
      <c r="K70" s="1209"/>
      <c r="L70" s="1209"/>
      <c r="M70" s="1209"/>
      <c r="N70" s="1210"/>
    </row>
    <row r="71" spans="1:14" s="433" customFormat="1" ht="16.5" x14ac:dyDescent="0.3">
      <c r="A71" s="184">
        <v>61</v>
      </c>
      <c r="B71" s="1226"/>
      <c r="C71" s="1197"/>
      <c r="D71" s="1227" t="s">
        <v>311</v>
      </c>
      <c r="E71" s="1228"/>
      <c r="F71" s="1228"/>
      <c r="G71" s="1229"/>
      <c r="H71" s="1230"/>
      <c r="I71" s="1231">
        <f>SUM(J71:N71)</f>
        <v>1500</v>
      </c>
      <c r="J71" s="1232"/>
      <c r="K71" s="1232"/>
      <c r="L71" s="1232"/>
      <c r="M71" s="1232"/>
      <c r="N71" s="1233">
        <v>1500</v>
      </c>
    </row>
    <row r="72" spans="1:14" s="433" customFormat="1" ht="16.5" x14ac:dyDescent="0.3">
      <c r="A72" s="184">
        <v>62</v>
      </c>
      <c r="B72" s="1226"/>
      <c r="C72" s="1197"/>
      <c r="D72" s="1234" t="s">
        <v>1064</v>
      </c>
      <c r="E72" s="1228"/>
      <c r="F72" s="1228"/>
      <c r="G72" s="1229"/>
      <c r="H72" s="1230"/>
      <c r="I72" s="1225">
        <f t="shared" ref="I72:I74" si="14">SUM(J72:N72)</f>
        <v>0</v>
      </c>
      <c r="J72" s="1232"/>
      <c r="K72" s="1232"/>
      <c r="L72" s="1232"/>
      <c r="M72" s="1232"/>
      <c r="N72" s="1235">
        <v>0</v>
      </c>
    </row>
    <row r="73" spans="1:14" s="433" customFormat="1" ht="16.5" x14ac:dyDescent="0.3">
      <c r="A73" s="184">
        <v>63</v>
      </c>
      <c r="B73" s="1226"/>
      <c r="C73" s="1197"/>
      <c r="D73" s="1236" t="s">
        <v>990</v>
      </c>
      <c r="E73" s="1228"/>
      <c r="F73" s="1228"/>
      <c r="G73" s="1229"/>
      <c r="H73" s="1230"/>
      <c r="I73" s="1178">
        <f t="shared" si="14"/>
        <v>0</v>
      </c>
      <c r="J73" s="1185"/>
      <c r="K73" s="1185"/>
      <c r="L73" s="1185"/>
      <c r="M73" s="1185"/>
      <c r="N73" s="1195"/>
    </row>
    <row r="74" spans="1:14" s="433" customFormat="1" ht="16.5" x14ac:dyDescent="0.3">
      <c r="A74" s="184">
        <v>64</v>
      </c>
      <c r="B74" s="1226"/>
      <c r="C74" s="1197"/>
      <c r="D74" s="1234" t="s">
        <v>1116</v>
      </c>
      <c r="E74" s="1228"/>
      <c r="F74" s="1228"/>
      <c r="G74" s="1229"/>
      <c r="H74" s="1230"/>
      <c r="I74" s="1225">
        <f t="shared" si="14"/>
        <v>0</v>
      </c>
      <c r="J74" s="1237"/>
      <c r="K74" s="1237"/>
      <c r="L74" s="1237"/>
      <c r="M74" s="1237"/>
      <c r="N74" s="1235">
        <f>SUM(N72:N73)</f>
        <v>0</v>
      </c>
    </row>
    <row r="75" spans="1:14" s="8" customFormat="1" x14ac:dyDescent="0.3">
      <c r="A75" s="184">
        <v>65</v>
      </c>
      <c r="B75" s="1203"/>
      <c r="C75" s="1173"/>
      <c r="D75" s="1224" t="s">
        <v>959</v>
      </c>
      <c r="E75" s="1206">
        <v>500</v>
      </c>
      <c r="F75" s="1206">
        <v>500</v>
      </c>
      <c r="G75" s="1207">
        <v>500</v>
      </c>
      <c r="H75" s="1208"/>
      <c r="I75" s="1225"/>
      <c r="J75" s="1185"/>
      <c r="K75" s="1185"/>
      <c r="L75" s="1185"/>
      <c r="M75" s="1185"/>
      <c r="N75" s="1195"/>
    </row>
    <row r="76" spans="1:14" s="433" customFormat="1" ht="16.5" x14ac:dyDescent="0.3">
      <c r="A76" s="184">
        <v>66</v>
      </c>
      <c r="B76" s="1226"/>
      <c r="C76" s="1197"/>
      <c r="D76" s="1227" t="s">
        <v>311</v>
      </c>
      <c r="E76" s="1228"/>
      <c r="F76" s="1228"/>
      <c r="G76" s="1229"/>
      <c r="H76" s="1230"/>
      <c r="I76" s="1231">
        <f>SUM(J76:N76)</f>
        <v>425</v>
      </c>
      <c r="J76" s="1232"/>
      <c r="K76" s="1232"/>
      <c r="L76" s="1232"/>
      <c r="M76" s="1232"/>
      <c r="N76" s="1233">
        <v>425</v>
      </c>
    </row>
    <row r="77" spans="1:14" s="433" customFormat="1" ht="16.5" x14ac:dyDescent="0.3">
      <c r="A77" s="184">
        <v>67</v>
      </c>
      <c r="B77" s="1226"/>
      <c r="C77" s="1197"/>
      <c r="D77" s="1234" t="s">
        <v>1064</v>
      </c>
      <c r="E77" s="1228"/>
      <c r="F77" s="1228"/>
      <c r="G77" s="1229"/>
      <c r="H77" s="1230"/>
      <c r="I77" s="1225">
        <f t="shared" ref="I77:I79" si="15">SUM(J77:N77)</f>
        <v>0</v>
      </c>
      <c r="J77" s="1232"/>
      <c r="K77" s="1232"/>
      <c r="L77" s="1232"/>
      <c r="M77" s="1232"/>
      <c r="N77" s="1235">
        <v>0</v>
      </c>
    </row>
    <row r="78" spans="1:14" s="433" customFormat="1" ht="16.5" x14ac:dyDescent="0.3">
      <c r="A78" s="184">
        <v>68</v>
      </c>
      <c r="B78" s="1226"/>
      <c r="C78" s="1197"/>
      <c r="D78" s="1236" t="s">
        <v>990</v>
      </c>
      <c r="E78" s="1228"/>
      <c r="F78" s="1228"/>
      <c r="G78" s="1229"/>
      <c r="H78" s="1230"/>
      <c r="I78" s="1178">
        <f t="shared" si="15"/>
        <v>0</v>
      </c>
      <c r="J78" s="1237"/>
      <c r="K78" s="1237"/>
      <c r="L78" s="1237"/>
      <c r="M78" s="1237"/>
      <c r="N78" s="1235"/>
    </row>
    <row r="79" spans="1:14" s="433" customFormat="1" ht="16.5" x14ac:dyDescent="0.3">
      <c r="A79" s="184">
        <v>69</v>
      </c>
      <c r="B79" s="1226"/>
      <c r="C79" s="1197"/>
      <c r="D79" s="1234" t="s">
        <v>1116</v>
      </c>
      <c r="E79" s="1228"/>
      <c r="F79" s="1228"/>
      <c r="G79" s="1229"/>
      <c r="H79" s="1230"/>
      <c r="I79" s="1225">
        <f t="shared" si="15"/>
        <v>0</v>
      </c>
      <c r="J79" s="1237"/>
      <c r="K79" s="1237"/>
      <c r="L79" s="1237"/>
      <c r="M79" s="1237"/>
      <c r="N79" s="1235">
        <f>SUM(N77:N78)</f>
        <v>0</v>
      </c>
    </row>
    <row r="80" spans="1:14" s="8" customFormat="1" x14ac:dyDescent="0.3">
      <c r="A80" s="184">
        <v>70</v>
      </c>
      <c r="B80" s="1203"/>
      <c r="C80" s="1173"/>
      <c r="D80" s="1224" t="s">
        <v>1008</v>
      </c>
      <c r="E80" s="1206">
        <v>2000</v>
      </c>
      <c r="F80" s="1206">
        <v>2000</v>
      </c>
      <c r="G80" s="1207">
        <v>2000</v>
      </c>
      <c r="H80" s="1208"/>
      <c r="I80" s="1231"/>
      <c r="J80" s="1185"/>
      <c r="K80" s="1185"/>
      <c r="L80" s="1185"/>
      <c r="M80" s="1185"/>
      <c r="N80" s="1195"/>
    </row>
    <row r="81" spans="1:14" s="8" customFormat="1" x14ac:dyDescent="0.3">
      <c r="A81" s="184">
        <v>71</v>
      </c>
      <c r="B81" s="1203"/>
      <c r="C81" s="1173"/>
      <c r="D81" s="1224" t="s">
        <v>1009</v>
      </c>
      <c r="E81" s="1206"/>
      <c r="F81" s="1206">
        <v>2000</v>
      </c>
      <c r="G81" s="1207"/>
      <c r="H81" s="1208"/>
      <c r="I81" s="1231"/>
      <c r="J81" s="1185"/>
      <c r="K81" s="1185"/>
      <c r="L81" s="1185"/>
      <c r="M81" s="1185"/>
      <c r="N81" s="1195"/>
    </row>
    <row r="82" spans="1:14" s="8" customFormat="1" x14ac:dyDescent="0.3">
      <c r="A82" s="184">
        <v>72</v>
      </c>
      <c r="B82" s="1203"/>
      <c r="C82" s="1173"/>
      <c r="D82" s="1224" t="s">
        <v>553</v>
      </c>
      <c r="E82" s="1206"/>
      <c r="F82" s="1206">
        <v>5000</v>
      </c>
      <c r="G82" s="1207"/>
      <c r="H82" s="1208"/>
      <c r="I82" s="1231"/>
      <c r="J82" s="1185"/>
      <c r="K82" s="1185"/>
      <c r="L82" s="1185"/>
      <c r="M82" s="1185"/>
      <c r="N82" s="1195"/>
    </row>
    <row r="83" spans="1:14" s="8" customFormat="1" x14ac:dyDescent="0.3">
      <c r="A83" s="184">
        <v>73</v>
      </c>
      <c r="B83" s="1203"/>
      <c r="C83" s="1173"/>
      <c r="D83" s="1224" t="s">
        <v>1010</v>
      </c>
      <c r="E83" s="1206"/>
      <c r="F83" s="1206"/>
      <c r="G83" s="1207">
        <v>2000</v>
      </c>
      <c r="H83" s="1208"/>
      <c r="I83" s="1231"/>
      <c r="J83" s="1185"/>
      <c r="K83" s="1185"/>
      <c r="L83" s="1185"/>
      <c r="M83" s="1185"/>
      <c r="N83" s="1195"/>
    </row>
    <row r="84" spans="1:14" s="8" customFormat="1" x14ac:dyDescent="0.3">
      <c r="A84" s="184">
        <v>74</v>
      </c>
      <c r="B84" s="1203"/>
      <c r="C84" s="1173">
        <v>14</v>
      </c>
      <c r="D84" s="1183" t="s">
        <v>829</v>
      </c>
      <c r="E84" s="1206"/>
      <c r="F84" s="1206"/>
      <c r="G84" s="1207"/>
      <c r="H84" s="1177" t="s">
        <v>24</v>
      </c>
      <c r="I84" s="1225"/>
      <c r="J84" s="1185"/>
      <c r="K84" s="1185"/>
      <c r="L84" s="1185"/>
      <c r="M84" s="1185"/>
      <c r="N84" s="1195"/>
    </row>
    <row r="85" spans="1:14" s="433" customFormat="1" ht="16.5" x14ac:dyDescent="0.3">
      <c r="A85" s="184">
        <v>75</v>
      </c>
      <c r="B85" s="1226"/>
      <c r="C85" s="1197"/>
      <c r="D85" s="1190" t="s">
        <v>311</v>
      </c>
      <c r="E85" s="1228"/>
      <c r="F85" s="1228"/>
      <c r="G85" s="1229"/>
      <c r="H85" s="1200"/>
      <c r="I85" s="1191">
        <f>SUM(J85:N85)</f>
        <v>2550</v>
      </c>
      <c r="J85" s="1232"/>
      <c r="K85" s="1232"/>
      <c r="L85" s="1232"/>
      <c r="M85" s="1232"/>
      <c r="N85" s="1201">
        <v>2550</v>
      </c>
    </row>
    <row r="86" spans="1:14" s="433" customFormat="1" ht="16.5" x14ac:dyDescent="0.3">
      <c r="A86" s="184">
        <v>76</v>
      </c>
      <c r="B86" s="1226"/>
      <c r="C86" s="1197"/>
      <c r="D86" s="1163" t="s">
        <v>1064</v>
      </c>
      <c r="E86" s="1228"/>
      <c r="F86" s="1228"/>
      <c r="G86" s="1229"/>
      <c r="H86" s="1200"/>
      <c r="I86" s="1170">
        <f t="shared" ref="I86:I88" si="16">SUM(J86:N86)</f>
        <v>1000</v>
      </c>
      <c r="J86" s="1232"/>
      <c r="K86" s="1232"/>
      <c r="L86" s="1232"/>
      <c r="M86" s="1232"/>
      <c r="N86" s="1202">
        <v>1000</v>
      </c>
    </row>
    <row r="87" spans="1:14" s="433" customFormat="1" ht="16.5" x14ac:dyDescent="0.3">
      <c r="A87" s="184">
        <v>77</v>
      </c>
      <c r="B87" s="1226"/>
      <c r="C87" s="1197"/>
      <c r="D87" s="1174" t="s">
        <v>1012</v>
      </c>
      <c r="E87" s="1228"/>
      <c r="F87" s="1228"/>
      <c r="G87" s="1229"/>
      <c r="H87" s="1200"/>
      <c r="I87" s="1178">
        <f t="shared" si="16"/>
        <v>0</v>
      </c>
      <c r="J87" s="1185"/>
      <c r="K87" s="1185"/>
      <c r="L87" s="1185"/>
      <c r="M87" s="1185"/>
      <c r="N87" s="1195"/>
    </row>
    <row r="88" spans="1:14" s="433" customFormat="1" ht="16.5" x14ac:dyDescent="0.3">
      <c r="A88" s="184">
        <v>78</v>
      </c>
      <c r="B88" s="1226"/>
      <c r="C88" s="1197"/>
      <c r="D88" s="1163" t="s">
        <v>1116</v>
      </c>
      <c r="E88" s="1228"/>
      <c r="F88" s="1228"/>
      <c r="G88" s="1229"/>
      <c r="H88" s="1200"/>
      <c r="I88" s="1170">
        <f t="shared" si="16"/>
        <v>1000</v>
      </c>
      <c r="J88" s="1237"/>
      <c r="K88" s="1237"/>
      <c r="L88" s="1237"/>
      <c r="M88" s="1237"/>
      <c r="N88" s="1202">
        <f>SUM(N86:N87)</f>
        <v>1000</v>
      </c>
    </row>
    <row r="89" spans="1:14" s="8" customFormat="1" x14ac:dyDescent="0.3">
      <c r="A89" s="184">
        <v>79</v>
      </c>
      <c r="B89" s="1203"/>
      <c r="C89" s="1173">
        <v>15</v>
      </c>
      <c r="D89" s="1183" t="s">
        <v>830</v>
      </c>
      <c r="E89" s="1206"/>
      <c r="F89" s="1206"/>
      <c r="G89" s="1207"/>
      <c r="H89" s="1177" t="s">
        <v>24</v>
      </c>
      <c r="I89" s="1225"/>
      <c r="J89" s="1185"/>
      <c r="K89" s="1185"/>
      <c r="L89" s="1185"/>
      <c r="M89" s="1185"/>
      <c r="N89" s="1195"/>
    </row>
    <row r="90" spans="1:14" s="433" customFormat="1" ht="16.5" x14ac:dyDescent="0.3">
      <c r="A90" s="184">
        <v>80</v>
      </c>
      <c r="B90" s="1226"/>
      <c r="C90" s="1197"/>
      <c r="D90" s="1190" t="s">
        <v>311</v>
      </c>
      <c r="E90" s="1228"/>
      <c r="F90" s="1228"/>
      <c r="G90" s="1229"/>
      <c r="H90" s="1200"/>
      <c r="I90" s="1191">
        <f>SUM(J90:N90)</f>
        <v>2550</v>
      </c>
      <c r="J90" s="1232"/>
      <c r="K90" s="1232"/>
      <c r="L90" s="1232"/>
      <c r="M90" s="1232"/>
      <c r="N90" s="1201">
        <v>2550</v>
      </c>
    </row>
    <row r="91" spans="1:14" s="433" customFormat="1" ht="16.5" x14ac:dyDescent="0.3">
      <c r="A91" s="184">
        <v>81</v>
      </c>
      <c r="B91" s="1226"/>
      <c r="C91" s="1197"/>
      <c r="D91" s="1163" t="s">
        <v>1064</v>
      </c>
      <c r="E91" s="1228"/>
      <c r="F91" s="1228"/>
      <c r="G91" s="1229"/>
      <c r="H91" s="1200"/>
      <c r="I91" s="1170">
        <f t="shared" ref="I91:I93" si="17">SUM(J91:N91)</f>
        <v>1000</v>
      </c>
      <c r="J91" s="1232"/>
      <c r="K91" s="1232"/>
      <c r="L91" s="1232"/>
      <c r="M91" s="1232"/>
      <c r="N91" s="1202">
        <v>1000</v>
      </c>
    </row>
    <row r="92" spans="1:14" s="433" customFormat="1" ht="16.5" x14ac:dyDescent="0.3">
      <c r="A92" s="184">
        <v>82</v>
      </c>
      <c r="B92" s="1226"/>
      <c r="C92" s="1197"/>
      <c r="D92" s="1174" t="s">
        <v>1012</v>
      </c>
      <c r="E92" s="1228"/>
      <c r="F92" s="1228"/>
      <c r="G92" s="1229"/>
      <c r="H92" s="1200"/>
      <c r="I92" s="1178">
        <f t="shared" si="17"/>
        <v>0</v>
      </c>
      <c r="J92" s="1185"/>
      <c r="K92" s="1185"/>
      <c r="L92" s="1185"/>
      <c r="M92" s="1185"/>
      <c r="N92" s="1195"/>
    </row>
    <row r="93" spans="1:14" s="433" customFormat="1" ht="16.5" x14ac:dyDescent="0.3">
      <c r="A93" s="184">
        <v>83</v>
      </c>
      <c r="B93" s="1226"/>
      <c r="C93" s="1197"/>
      <c r="D93" s="1163" t="s">
        <v>1116</v>
      </c>
      <c r="E93" s="1228"/>
      <c r="F93" s="1228"/>
      <c r="G93" s="1229"/>
      <c r="H93" s="1200"/>
      <c r="I93" s="1170">
        <f t="shared" si="17"/>
        <v>1000</v>
      </c>
      <c r="J93" s="1237"/>
      <c r="K93" s="1237"/>
      <c r="L93" s="1237"/>
      <c r="M93" s="1237"/>
      <c r="N93" s="1202">
        <f>SUM(N91:N92)</f>
        <v>1000</v>
      </c>
    </row>
    <row r="94" spans="1:14" s="8" customFormat="1" x14ac:dyDescent="0.3">
      <c r="A94" s="184">
        <v>84</v>
      </c>
      <c r="B94" s="1203"/>
      <c r="C94" s="1173">
        <v>16</v>
      </c>
      <c r="D94" s="1183" t="s">
        <v>831</v>
      </c>
      <c r="E94" s="1206"/>
      <c r="F94" s="1206"/>
      <c r="G94" s="1207"/>
      <c r="H94" s="1177" t="s">
        <v>24</v>
      </c>
      <c r="I94" s="1225"/>
      <c r="J94" s="1185"/>
      <c r="K94" s="1185"/>
      <c r="L94" s="1185"/>
      <c r="M94" s="1185"/>
      <c r="N94" s="1195"/>
    </row>
    <row r="95" spans="1:14" s="433" customFormat="1" ht="16.5" x14ac:dyDescent="0.3">
      <c r="A95" s="184">
        <v>85</v>
      </c>
      <c r="B95" s="1226"/>
      <c r="C95" s="1197"/>
      <c r="D95" s="1190" t="s">
        <v>311</v>
      </c>
      <c r="E95" s="1228"/>
      <c r="F95" s="1228"/>
      <c r="G95" s="1229"/>
      <c r="H95" s="1230"/>
      <c r="I95" s="1191">
        <f>SUM(J95:N95)</f>
        <v>850</v>
      </c>
      <c r="J95" s="1232"/>
      <c r="K95" s="1232"/>
      <c r="L95" s="1232"/>
      <c r="M95" s="1232"/>
      <c r="N95" s="1233">
        <v>850</v>
      </c>
    </row>
    <row r="96" spans="1:14" s="433" customFormat="1" ht="16.5" x14ac:dyDescent="0.3">
      <c r="A96" s="184">
        <v>86</v>
      </c>
      <c r="B96" s="1226"/>
      <c r="C96" s="1197"/>
      <c r="D96" s="1163" t="s">
        <v>1064</v>
      </c>
      <c r="E96" s="1228"/>
      <c r="F96" s="1228"/>
      <c r="G96" s="1229"/>
      <c r="H96" s="1230"/>
      <c r="I96" s="1170">
        <f t="shared" ref="I96:I98" si="18">SUM(J96:N96)</f>
        <v>450</v>
      </c>
      <c r="J96" s="1232"/>
      <c r="K96" s="1232"/>
      <c r="L96" s="1232"/>
      <c r="M96" s="1232"/>
      <c r="N96" s="1235">
        <v>450</v>
      </c>
    </row>
    <row r="97" spans="1:16" s="433" customFormat="1" ht="16.5" x14ac:dyDescent="0.3">
      <c r="A97" s="184">
        <v>87</v>
      </c>
      <c r="B97" s="1226"/>
      <c r="C97" s="1197"/>
      <c r="D97" s="1174" t="s">
        <v>1012</v>
      </c>
      <c r="E97" s="1228"/>
      <c r="F97" s="1228"/>
      <c r="G97" s="1229"/>
      <c r="H97" s="1230"/>
      <c r="I97" s="1178">
        <f t="shared" si="18"/>
        <v>0</v>
      </c>
      <c r="J97" s="1185"/>
      <c r="K97" s="1185"/>
      <c r="L97" s="1185"/>
      <c r="M97" s="1185"/>
      <c r="N97" s="1195"/>
    </row>
    <row r="98" spans="1:16" s="433" customFormat="1" ht="16.5" x14ac:dyDescent="0.3">
      <c r="A98" s="184">
        <v>88</v>
      </c>
      <c r="B98" s="1226"/>
      <c r="C98" s="1197"/>
      <c r="D98" s="1163" t="s">
        <v>1116</v>
      </c>
      <c r="E98" s="1228"/>
      <c r="F98" s="1228"/>
      <c r="G98" s="1229"/>
      <c r="H98" s="1230"/>
      <c r="I98" s="1170">
        <f t="shared" si="18"/>
        <v>450</v>
      </c>
      <c r="J98" s="1237"/>
      <c r="K98" s="1237"/>
      <c r="L98" s="1237"/>
      <c r="M98" s="1237"/>
      <c r="N98" s="1235">
        <f>SUM(N96:N97)</f>
        <v>450</v>
      </c>
    </row>
    <row r="99" spans="1:16" s="8" customFormat="1" x14ac:dyDescent="0.3">
      <c r="A99" s="184">
        <v>89</v>
      </c>
      <c r="B99" s="1203"/>
      <c r="C99" s="1182">
        <v>17</v>
      </c>
      <c r="D99" s="1183" t="s">
        <v>597</v>
      </c>
      <c r="E99" s="1206">
        <v>500</v>
      </c>
      <c r="F99" s="1206">
        <v>650</v>
      </c>
      <c r="G99" s="1207">
        <v>650</v>
      </c>
      <c r="H99" s="1177" t="s">
        <v>24</v>
      </c>
      <c r="I99" s="1225"/>
      <c r="J99" s="1185"/>
      <c r="K99" s="1185"/>
      <c r="L99" s="1185"/>
      <c r="M99" s="1185"/>
      <c r="N99" s="1195"/>
    </row>
    <row r="100" spans="1:16" s="433" customFormat="1" ht="16.5" x14ac:dyDescent="0.3">
      <c r="A100" s="184">
        <v>90</v>
      </c>
      <c r="B100" s="1226"/>
      <c r="C100" s="1197"/>
      <c r="D100" s="1190" t="s">
        <v>311</v>
      </c>
      <c r="E100" s="1239"/>
      <c r="F100" s="1239"/>
      <c r="G100" s="1240"/>
      <c r="H100" s="1230"/>
      <c r="I100" s="1191">
        <f>SUM(J100:N100)</f>
        <v>553</v>
      </c>
      <c r="J100" s="1232"/>
      <c r="K100" s="1232"/>
      <c r="L100" s="1232"/>
      <c r="M100" s="1232"/>
      <c r="N100" s="1233">
        <v>553</v>
      </c>
    </row>
    <row r="101" spans="1:16" s="433" customFormat="1" ht="16.5" x14ac:dyDescent="0.3">
      <c r="A101" s="184">
        <v>91</v>
      </c>
      <c r="B101" s="1226"/>
      <c r="C101" s="1197"/>
      <c r="D101" s="1163" t="s">
        <v>1064</v>
      </c>
      <c r="E101" s="1240"/>
      <c r="F101" s="1239"/>
      <c r="G101" s="1241"/>
      <c r="H101" s="1242"/>
      <c r="I101" s="1170">
        <f t="shared" ref="I101:I103" si="19">SUM(J101:N101)</f>
        <v>500</v>
      </c>
      <c r="J101" s="1232"/>
      <c r="K101" s="1232"/>
      <c r="L101" s="1232"/>
      <c r="M101" s="1232"/>
      <c r="N101" s="1915">
        <f>0+500</f>
        <v>500</v>
      </c>
    </row>
    <row r="102" spans="1:16" s="433" customFormat="1" ht="16.5" x14ac:dyDescent="0.3">
      <c r="A102" s="184">
        <v>92</v>
      </c>
      <c r="B102" s="1226"/>
      <c r="C102" s="1197"/>
      <c r="D102" s="1174" t="s">
        <v>1012</v>
      </c>
      <c r="E102" s="1239"/>
      <c r="F102" s="1239"/>
      <c r="G102" s="1241"/>
      <c r="H102" s="1242"/>
      <c r="I102" s="1178">
        <f t="shared" si="19"/>
        <v>0</v>
      </c>
      <c r="J102" s="1185"/>
      <c r="K102" s="1185"/>
      <c r="L102" s="1185"/>
      <c r="M102" s="1185"/>
      <c r="N102" s="1195"/>
    </row>
    <row r="103" spans="1:16" s="433" customFormat="1" ht="16.5" x14ac:dyDescent="0.3">
      <c r="A103" s="184">
        <v>93</v>
      </c>
      <c r="B103" s="1226"/>
      <c r="C103" s="1197"/>
      <c r="D103" s="1163" t="s">
        <v>1116</v>
      </c>
      <c r="E103" s="1240"/>
      <c r="F103" s="1239"/>
      <c r="G103" s="1240"/>
      <c r="H103" s="1230"/>
      <c r="I103" s="1170">
        <f t="shared" si="19"/>
        <v>500</v>
      </c>
      <c r="J103" s="1237"/>
      <c r="K103" s="1237"/>
      <c r="L103" s="1237"/>
      <c r="M103" s="1237"/>
      <c r="N103" s="1235">
        <f>SUM(N101:N102)</f>
        <v>500</v>
      </c>
    </row>
    <row r="104" spans="1:16" s="3" customFormat="1" ht="16.5" x14ac:dyDescent="0.3">
      <c r="A104" s="184">
        <v>94</v>
      </c>
      <c r="B104" s="1181"/>
      <c r="C104" s="1182">
        <v>18</v>
      </c>
      <c r="D104" s="1183" t="s">
        <v>57</v>
      </c>
      <c r="E104" s="1175">
        <v>5000</v>
      </c>
      <c r="F104" s="1175">
        <v>5000</v>
      </c>
      <c r="G104" s="1176">
        <v>5000</v>
      </c>
      <c r="H104" s="1177" t="s">
        <v>24</v>
      </c>
      <c r="I104" s="1187"/>
      <c r="J104" s="1188"/>
      <c r="K104" s="1188"/>
      <c r="L104" s="1188"/>
      <c r="M104" s="1188"/>
      <c r="N104" s="1189"/>
      <c r="O104" s="7"/>
      <c r="P104" s="7"/>
    </row>
    <row r="105" spans="1:16" s="431" customFormat="1" x14ac:dyDescent="0.3">
      <c r="A105" s="184">
        <v>95</v>
      </c>
      <c r="B105" s="1196"/>
      <c r="C105" s="1197"/>
      <c r="D105" s="1190" t="s">
        <v>311</v>
      </c>
      <c r="E105" s="1198"/>
      <c r="F105" s="1198"/>
      <c r="G105" s="1199"/>
      <c r="H105" s="1200"/>
      <c r="I105" s="1191">
        <f>SUM(J105:N105)</f>
        <v>840</v>
      </c>
      <c r="J105" s="1192"/>
      <c r="K105" s="1192"/>
      <c r="L105" s="1192">
        <v>840</v>
      </c>
      <c r="M105" s="1192"/>
      <c r="N105" s="1201"/>
    </row>
    <row r="106" spans="1:16" s="431" customFormat="1" x14ac:dyDescent="0.3">
      <c r="A106" s="184">
        <v>96</v>
      </c>
      <c r="B106" s="1196"/>
      <c r="C106" s="1197"/>
      <c r="D106" s="1163" t="s">
        <v>1064</v>
      </c>
      <c r="E106" s="1198"/>
      <c r="F106" s="1198"/>
      <c r="G106" s="1199"/>
      <c r="H106" s="1200"/>
      <c r="I106" s="1170">
        <f t="shared" ref="I106:I108" si="20">SUM(J106:N106)</f>
        <v>1260</v>
      </c>
      <c r="J106" s="1192"/>
      <c r="K106" s="1192"/>
      <c r="L106" s="1180">
        <v>1260</v>
      </c>
      <c r="M106" s="1192"/>
      <c r="N106" s="1201"/>
    </row>
    <row r="107" spans="1:16" s="431" customFormat="1" x14ac:dyDescent="0.3">
      <c r="A107" s="184">
        <v>97</v>
      </c>
      <c r="B107" s="1196"/>
      <c r="C107" s="1197"/>
      <c r="D107" s="1174" t="s">
        <v>1012</v>
      </c>
      <c r="E107" s="1198"/>
      <c r="F107" s="1198"/>
      <c r="G107" s="1199"/>
      <c r="H107" s="1200"/>
      <c r="I107" s="1178">
        <f t="shared" si="20"/>
        <v>0</v>
      </c>
      <c r="J107" s="1180"/>
      <c r="K107" s="1180"/>
      <c r="L107" s="1185"/>
      <c r="M107" s="1192"/>
      <c r="N107" s="1201"/>
    </row>
    <row r="108" spans="1:16" s="431" customFormat="1" x14ac:dyDescent="0.3">
      <c r="A108" s="184">
        <v>98</v>
      </c>
      <c r="B108" s="1196"/>
      <c r="C108" s="1197"/>
      <c r="D108" s="1163" t="s">
        <v>1116</v>
      </c>
      <c r="E108" s="1198"/>
      <c r="F108" s="1198"/>
      <c r="G108" s="1199"/>
      <c r="H108" s="1200"/>
      <c r="I108" s="1170">
        <f t="shared" si="20"/>
        <v>1260</v>
      </c>
      <c r="J108" s="1180"/>
      <c r="K108" s="1180"/>
      <c r="L108" s="1180">
        <f>SUM(L106:L107)</f>
        <v>1260</v>
      </c>
      <c r="M108" s="1192"/>
      <c r="N108" s="1201"/>
    </row>
    <row r="109" spans="1:16" s="3" customFormat="1" ht="16.5" x14ac:dyDescent="0.3">
      <c r="A109" s="184">
        <v>99</v>
      </c>
      <c r="B109" s="1181"/>
      <c r="C109" s="1182">
        <v>19</v>
      </c>
      <c r="D109" s="1183" t="s">
        <v>554</v>
      </c>
      <c r="E109" s="1175">
        <v>1000</v>
      </c>
      <c r="F109" s="1175">
        <v>1000</v>
      </c>
      <c r="G109" s="1176">
        <v>1000</v>
      </c>
      <c r="H109" s="1177" t="s">
        <v>24</v>
      </c>
      <c r="I109" s="1191"/>
      <c r="J109" s="1188"/>
      <c r="K109" s="1188"/>
      <c r="L109" s="1188"/>
      <c r="M109" s="1188"/>
      <c r="N109" s="1189"/>
      <c r="O109" s="7"/>
      <c r="P109" s="7"/>
    </row>
    <row r="110" spans="1:16" s="3" customFormat="1" ht="16.5" x14ac:dyDescent="0.3">
      <c r="A110" s="184">
        <v>100</v>
      </c>
      <c r="B110" s="1181"/>
      <c r="C110" s="1182">
        <v>20</v>
      </c>
      <c r="D110" s="1183" t="s">
        <v>257</v>
      </c>
      <c r="E110" s="1175">
        <f>SUM(E115,E120,E125,E130,E135)</f>
        <v>92300</v>
      </c>
      <c r="F110" s="1175">
        <f>SUM(F115,F120,F125,F130,F135)</f>
        <v>97600</v>
      </c>
      <c r="G110" s="1176">
        <f>SUM(G115,G120,G125,G130,G135)</f>
        <v>97600</v>
      </c>
      <c r="H110" s="1177" t="s">
        <v>24</v>
      </c>
      <c r="I110" s="1187"/>
      <c r="J110" s="1188"/>
      <c r="K110" s="1188"/>
      <c r="L110" s="1188"/>
      <c r="M110" s="1188"/>
      <c r="N110" s="1189"/>
      <c r="O110" s="7"/>
      <c r="P110" s="7"/>
    </row>
    <row r="111" spans="1:16" s="431" customFormat="1" x14ac:dyDescent="0.3">
      <c r="A111" s="184">
        <v>101</v>
      </c>
      <c r="B111" s="1196"/>
      <c r="C111" s="1197"/>
      <c r="D111" s="1190" t="s">
        <v>311</v>
      </c>
      <c r="E111" s="1198"/>
      <c r="F111" s="1198"/>
      <c r="G111" s="1199"/>
      <c r="H111" s="1200"/>
      <c r="I111" s="1191">
        <f>SUM(J111:N111)</f>
        <v>32435</v>
      </c>
      <c r="J111" s="1243">
        <f t="shared" ref="J111:N112" si="21">SUM(J116,J121,J126,J131,J136)</f>
        <v>0</v>
      </c>
      <c r="K111" s="1243">
        <f t="shared" si="21"/>
        <v>0</v>
      </c>
      <c r="L111" s="1243">
        <f t="shared" si="21"/>
        <v>0</v>
      </c>
      <c r="M111" s="1243">
        <f t="shared" si="21"/>
        <v>0</v>
      </c>
      <c r="N111" s="1201">
        <f t="shared" si="21"/>
        <v>32435</v>
      </c>
    </row>
    <row r="112" spans="1:16" s="431" customFormat="1" x14ac:dyDescent="0.3">
      <c r="A112" s="184">
        <v>102</v>
      </c>
      <c r="B112" s="1196"/>
      <c r="C112" s="1197"/>
      <c r="D112" s="1163" t="s">
        <v>1064</v>
      </c>
      <c r="E112" s="1198"/>
      <c r="F112" s="1198"/>
      <c r="G112" s="1199"/>
      <c r="H112" s="1200"/>
      <c r="I112" s="1225">
        <f t="shared" ref="I112:I114" si="22">SUM(J112:N112)</f>
        <v>27149</v>
      </c>
      <c r="J112" s="1244">
        <f t="shared" si="21"/>
        <v>0</v>
      </c>
      <c r="K112" s="1244">
        <f t="shared" si="21"/>
        <v>0</v>
      </c>
      <c r="L112" s="1244">
        <f t="shared" si="21"/>
        <v>0</v>
      </c>
      <c r="M112" s="1244">
        <f t="shared" si="21"/>
        <v>0</v>
      </c>
      <c r="N112" s="1202">
        <f t="shared" si="21"/>
        <v>27149</v>
      </c>
    </row>
    <row r="113" spans="1:16" s="431" customFormat="1" x14ac:dyDescent="0.3">
      <c r="A113" s="184">
        <v>103</v>
      </c>
      <c r="B113" s="1196"/>
      <c r="C113" s="1197"/>
      <c r="D113" s="1174" t="s">
        <v>999</v>
      </c>
      <c r="E113" s="1198"/>
      <c r="F113" s="1198"/>
      <c r="G113" s="1199"/>
      <c r="H113" s="1200"/>
      <c r="I113" s="1178">
        <f t="shared" si="22"/>
        <v>4880</v>
      </c>
      <c r="J113" s="1209">
        <f>J118+J138+J123+J128+J133</f>
        <v>0</v>
      </c>
      <c r="K113" s="1209">
        <f t="shared" ref="K113:N113" si="23">K118+K138+K123+K128+K133</f>
        <v>0</v>
      </c>
      <c r="L113" s="1209">
        <f t="shared" si="23"/>
        <v>0</v>
      </c>
      <c r="M113" s="1209">
        <f t="shared" si="23"/>
        <v>0</v>
      </c>
      <c r="N113" s="1210">
        <f t="shared" si="23"/>
        <v>4880</v>
      </c>
    </row>
    <row r="114" spans="1:16" s="431" customFormat="1" x14ac:dyDescent="0.3">
      <c r="A114" s="184">
        <v>104</v>
      </c>
      <c r="B114" s="1196"/>
      <c r="C114" s="1197"/>
      <c r="D114" s="1163" t="s">
        <v>1116</v>
      </c>
      <c r="E114" s="1198"/>
      <c r="F114" s="1198"/>
      <c r="G114" s="1199"/>
      <c r="H114" s="1200"/>
      <c r="I114" s="1170">
        <f t="shared" si="22"/>
        <v>32029</v>
      </c>
      <c r="J114" s="1244">
        <f>SUM(J112:J113)</f>
        <v>0</v>
      </c>
      <c r="K114" s="1244">
        <f t="shared" ref="K114:N114" si="24">SUM(K112:K113)</f>
        <v>0</v>
      </c>
      <c r="L114" s="1244">
        <f t="shared" si="24"/>
        <v>0</v>
      </c>
      <c r="M114" s="1244">
        <f t="shared" si="24"/>
        <v>0</v>
      </c>
      <c r="N114" s="1245">
        <f t="shared" si="24"/>
        <v>32029</v>
      </c>
    </row>
    <row r="115" spans="1:16" s="8" customFormat="1" x14ac:dyDescent="0.3">
      <c r="A115" s="184">
        <v>105</v>
      </c>
      <c r="B115" s="1203"/>
      <c r="C115" s="1204"/>
      <c r="D115" s="1246" t="s">
        <v>58</v>
      </c>
      <c r="E115" s="1206">
        <v>78200</v>
      </c>
      <c r="F115" s="1206">
        <v>83500</v>
      </c>
      <c r="G115" s="1207">
        <v>83500</v>
      </c>
      <c r="H115" s="1208"/>
      <c r="I115" s="1225"/>
      <c r="J115" s="1185"/>
      <c r="K115" s="1185"/>
      <c r="L115" s="1185"/>
      <c r="M115" s="1185"/>
      <c r="N115" s="1195"/>
      <c r="P115" s="7"/>
    </row>
    <row r="116" spans="1:16" s="433" customFormat="1" x14ac:dyDescent="0.3">
      <c r="A116" s="184">
        <v>106</v>
      </c>
      <c r="B116" s="1226"/>
      <c r="C116" s="1197"/>
      <c r="D116" s="1247" t="s">
        <v>311</v>
      </c>
      <c r="E116" s="1228"/>
      <c r="F116" s="1228"/>
      <c r="G116" s="1229"/>
      <c r="H116" s="1230"/>
      <c r="I116" s="1231">
        <f>SUM(J116:N116)</f>
        <v>25975</v>
      </c>
      <c r="J116" s="1232"/>
      <c r="K116" s="1232"/>
      <c r="L116" s="1232"/>
      <c r="M116" s="1232"/>
      <c r="N116" s="1233">
        <v>25975</v>
      </c>
      <c r="P116" s="431"/>
    </row>
    <row r="117" spans="1:16" s="433" customFormat="1" x14ac:dyDescent="0.3">
      <c r="A117" s="184">
        <v>107</v>
      </c>
      <c r="B117" s="1226"/>
      <c r="C117" s="1197"/>
      <c r="D117" s="1234" t="s">
        <v>1064</v>
      </c>
      <c r="E117" s="1228"/>
      <c r="F117" s="1228"/>
      <c r="G117" s="1229"/>
      <c r="H117" s="1230"/>
      <c r="I117" s="1225">
        <f t="shared" ref="I117:I119" si="25">SUM(J117:N117)</f>
        <v>25975</v>
      </c>
      <c r="J117" s="1232"/>
      <c r="K117" s="1232"/>
      <c r="L117" s="1232"/>
      <c r="M117" s="1232"/>
      <c r="N117" s="1235">
        <v>25975</v>
      </c>
      <c r="P117" s="431"/>
    </row>
    <row r="118" spans="1:16" s="433" customFormat="1" x14ac:dyDescent="0.3">
      <c r="A118" s="184">
        <v>108</v>
      </c>
      <c r="B118" s="1226"/>
      <c r="C118" s="1197"/>
      <c r="D118" s="1236" t="s">
        <v>990</v>
      </c>
      <c r="E118" s="1228"/>
      <c r="F118" s="1228"/>
      <c r="G118" s="1229"/>
      <c r="H118" s="1230"/>
      <c r="I118" s="1178">
        <f t="shared" si="25"/>
        <v>4880</v>
      </c>
      <c r="J118" s="1185"/>
      <c r="K118" s="1185"/>
      <c r="L118" s="1185"/>
      <c r="M118" s="1185"/>
      <c r="N118" s="1195">
        <v>4880</v>
      </c>
      <c r="P118" s="431"/>
    </row>
    <row r="119" spans="1:16" s="433" customFormat="1" x14ac:dyDescent="0.3">
      <c r="A119" s="184">
        <v>109</v>
      </c>
      <c r="B119" s="1226"/>
      <c r="C119" s="1197"/>
      <c r="D119" s="1234" t="s">
        <v>1116</v>
      </c>
      <c r="E119" s="1228"/>
      <c r="F119" s="1228"/>
      <c r="G119" s="1229"/>
      <c r="H119" s="1230"/>
      <c r="I119" s="1225">
        <f t="shared" si="25"/>
        <v>30855</v>
      </c>
      <c r="J119" s="1237"/>
      <c r="K119" s="1237"/>
      <c r="L119" s="1237"/>
      <c r="M119" s="1237"/>
      <c r="N119" s="1235">
        <f>SUM(N117:N118)</f>
        <v>30855</v>
      </c>
      <c r="P119" s="431"/>
    </row>
    <row r="120" spans="1:16" s="8" customFormat="1" x14ac:dyDescent="0.3">
      <c r="A120" s="184">
        <v>110</v>
      </c>
      <c r="B120" s="1203"/>
      <c r="C120" s="1204"/>
      <c r="D120" s="1248" t="s">
        <v>59</v>
      </c>
      <c r="E120" s="1206">
        <v>5600</v>
      </c>
      <c r="F120" s="1206">
        <v>5600</v>
      </c>
      <c r="G120" s="1207">
        <v>5600</v>
      </c>
      <c r="H120" s="1208"/>
      <c r="I120" s="1238"/>
      <c r="J120" s="1209"/>
      <c r="K120" s="1209"/>
      <c r="L120" s="1209"/>
      <c r="M120" s="1209"/>
      <c r="N120" s="1210"/>
      <c r="P120" s="7"/>
    </row>
    <row r="121" spans="1:16" s="433" customFormat="1" x14ac:dyDescent="0.3">
      <c r="A121" s="184">
        <v>111</v>
      </c>
      <c r="B121" s="1226"/>
      <c r="C121" s="1197"/>
      <c r="D121" s="1247" t="s">
        <v>311</v>
      </c>
      <c r="E121" s="1228"/>
      <c r="F121" s="1228"/>
      <c r="G121" s="1229"/>
      <c r="H121" s="1230"/>
      <c r="I121" s="1231">
        <f>SUM(J121:N121)</f>
        <v>6460</v>
      </c>
      <c r="J121" s="1232"/>
      <c r="K121" s="1232"/>
      <c r="L121" s="1232"/>
      <c r="M121" s="1232"/>
      <c r="N121" s="1233">
        <v>6460</v>
      </c>
      <c r="P121" s="431"/>
    </row>
    <row r="122" spans="1:16" s="433" customFormat="1" x14ac:dyDescent="0.3">
      <c r="A122" s="184">
        <v>112</v>
      </c>
      <c r="B122" s="1226"/>
      <c r="C122" s="1197"/>
      <c r="D122" s="1234" t="s">
        <v>1064</v>
      </c>
      <c r="E122" s="1228"/>
      <c r="F122" s="1228"/>
      <c r="G122" s="1229"/>
      <c r="H122" s="1230"/>
      <c r="I122" s="1225">
        <f t="shared" ref="I122:I139" si="26">SUM(J122:N122)</f>
        <v>466</v>
      </c>
      <c r="J122" s="1232"/>
      <c r="K122" s="1232"/>
      <c r="L122" s="1232"/>
      <c r="M122" s="1232"/>
      <c r="N122" s="1235">
        <v>466</v>
      </c>
      <c r="P122" s="431"/>
    </row>
    <row r="123" spans="1:16" s="433" customFormat="1" x14ac:dyDescent="0.3">
      <c r="A123" s="184">
        <v>113</v>
      </c>
      <c r="B123" s="1226"/>
      <c r="C123" s="1197"/>
      <c r="D123" s="1236" t="s">
        <v>990</v>
      </c>
      <c r="E123" s="1228"/>
      <c r="F123" s="1228"/>
      <c r="G123" s="1229"/>
      <c r="H123" s="1230"/>
      <c r="I123" s="1178">
        <f t="shared" si="26"/>
        <v>0</v>
      </c>
      <c r="J123" s="1237"/>
      <c r="K123" s="1237"/>
      <c r="L123" s="1237"/>
      <c r="M123" s="1237"/>
      <c r="N123" s="1195"/>
      <c r="P123" s="431"/>
    </row>
    <row r="124" spans="1:16" s="433" customFormat="1" x14ac:dyDescent="0.3">
      <c r="A124" s="184">
        <v>114</v>
      </c>
      <c r="B124" s="1226"/>
      <c r="C124" s="1197"/>
      <c r="D124" s="1234" t="s">
        <v>1116</v>
      </c>
      <c r="E124" s="1228"/>
      <c r="F124" s="1228"/>
      <c r="G124" s="1229"/>
      <c r="H124" s="1230"/>
      <c r="I124" s="1225">
        <f t="shared" si="26"/>
        <v>466</v>
      </c>
      <c r="J124" s="1237"/>
      <c r="K124" s="1237"/>
      <c r="L124" s="1237"/>
      <c r="M124" s="1237"/>
      <c r="N124" s="1235">
        <f>SUM(N122:N123)</f>
        <v>466</v>
      </c>
      <c r="P124" s="431"/>
    </row>
    <row r="125" spans="1:16" s="8" customFormat="1" x14ac:dyDescent="0.3">
      <c r="A125" s="184">
        <v>115</v>
      </c>
      <c r="B125" s="1203"/>
      <c r="C125" s="1173"/>
      <c r="D125" s="1248" t="s">
        <v>60</v>
      </c>
      <c r="E125" s="1206">
        <v>4500</v>
      </c>
      <c r="F125" s="1206">
        <v>4500</v>
      </c>
      <c r="G125" s="1207">
        <v>4500</v>
      </c>
      <c r="H125" s="1208"/>
      <c r="I125" s="1231"/>
      <c r="J125" s="1209"/>
      <c r="K125" s="1209"/>
      <c r="L125" s="1209"/>
      <c r="M125" s="1209"/>
      <c r="N125" s="1210"/>
      <c r="P125" s="7"/>
    </row>
    <row r="126" spans="1:16" s="8" customFormat="1" x14ac:dyDescent="0.3">
      <c r="A126" s="184">
        <v>116</v>
      </c>
      <c r="B126" s="1203"/>
      <c r="C126" s="1173"/>
      <c r="D126" s="1249" t="s">
        <v>311</v>
      </c>
      <c r="E126" s="1206"/>
      <c r="F126" s="1206"/>
      <c r="G126" s="1207"/>
      <c r="H126" s="1208"/>
      <c r="I126" s="1231">
        <f t="shared" si="26"/>
        <v>0</v>
      </c>
      <c r="J126" s="1185"/>
      <c r="K126" s="1185"/>
      <c r="L126" s="1185"/>
      <c r="M126" s="1185"/>
      <c r="N126" s="1195"/>
      <c r="P126" s="7"/>
    </row>
    <row r="127" spans="1:16" s="8" customFormat="1" x14ac:dyDescent="0.3">
      <c r="A127" s="184">
        <v>117</v>
      </c>
      <c r="B127" s="1203"/>
      <c r="C127" s="1173"/>
      <c r="D127" s="1234" t="s">
        <v>1064</v>
      </c>
      <c r="E127" s="1206"/>
      <c r="F127" s="1206"/>
      <c r="G127" s="1207"/>
      <c r="H127" s="1208"/>
      <c r="I127" s="1225">
        <f t="shared" si="26"/>
        <v>375</v>
      </c>
      <c r="J127" s="1185"/>
      <c r="K127" s="1185"/>
      <c r="L127" s="1185"/>
      <c r="M127" s="1185"/>
      <c r="N127" s="1195">
        <v>375</v>
      </c>
      <c r="P127" s="7"/>
    </row>
    <row r="128" spans="1:16" s="8" customFormat="1" x14ac:dyDescent="0.3">
      <c r="A128" s="184">
        <v>118</v>
      </c>
      <c r="B128" s="1203"/>
      <c r="C128" s="1173"/>
      <c r="D128" s="1236" t="s">
        <v>999</v>
      </c>
      <c r="E128" s="1206"/>
      <c r="F128" s="1206"/>
      <c r="G128" s="1207"/>
      <c r="H128" s="1208"/>
      <c r="I128" s="1178">
        <f t="shared" si="26"/>
        <v>0</v>
      </c>
      <c r="J128" s="1185"/>
      <c r="K128" s="1185"/>
      <c r="L128" s="1185"/>
      <c r="M128" s="1185"/>
      <c r="N128" s="1195"/>
      <c r="P128" s="7"/>
    </row>
    <row r="129" spans="1:16" s="8" customFormat="1" x14ac:dyDescent="0.3">
      <c r="A129" s="184">
        <v>119</v>
      </c>
      <c r="B129" s="1203"/>
      <c r="C129" s="1173"/>
      <c r="D129" s="1234" t="s">
        <v>1116</v>
      </c>
      <c r="E129" s="1206"/>
      <c r="F129" s="1206"/>
      <c r="G129" s="1207"/>
      <c r="H129" s="1208"/>
      <c r="I129" s="1225">
        <f t="shared" si="26"/>
        <v>375</v>
      </c>
      <c r="J129" s="1185"/>
      <c r="K129" s="1185"/>
      <c r="L129" s="1185"/>
      <c r="M129" s="1185"/>
      <c r="N129" s="1235">
        <f>SUM(N127:N128)</f>
        <v>375</v>
      </c>
      <c r="P129" s="7"/>
    </row>
    <row r="130" spans="1:16" s="8" customFormat="1" x14ac:dyDescent="0.3">
      <c r="A130" s="184">
        <v>120</v>
      </c>
      <c r="B130" s="1203"/>
      <c r="C130" s="1173"/>
      <c r="D130" s="1248" t="s">
        <v>61</v>
      </c>
      <c r="E130" s="1206">
        <v>3000</v>
      </c>
      <c r="F130" s="1206">
        <v>3000</v>
      </c>
      <c r="G130" s="1207">
        <v>3000</v>
      </c>
      <c r="H130" s="1208"/>
      <c r="I130" s="1231"/>
      <c r="J130" s="1209"/>
      <c r="K130" s="1209"/>
      <c r="L130" s="1209"/>
      <c r="M130" s="1209"/>
      <c r="N130" s="1210"/>
      <c r="P130" s="7"/>
    </row>
    <row r="131" spans="1:16" s="8" customFormat="1" x14ac:dyDescent="0.3">
      <c r="A131" s="184">
        <v>121</v>
      </c>
      <c r="B131" s="1203"/>
      <c r="C131" s="1173"/>
      <c r="D131" s="1249" t="s">
        <v>311</v>
      </c>
      <c r="E131" s="1206"/>
      <c r="F131" s="1206"/>
      <c r="G131" s="1207"/>
      <c r="H131" s="1208"/>
      <c r="I131" s="1231">
        <f t="shared" si="26"/>
        <v>0</v>
      </c>
      <c r="J131" s="1185"/>
      <c r="K131" s="1185"/>
      <c r="L131" s="1185"/>
      <c r="M131" s="1185"/>
      <c r="N131" s="1195"/>
      <c r="P131" s="7"/>
    </row>
    <row r="132" spans="1:16" s="8" customFormat="1" x14ac:dyDescent="0.3">
      <c r="A132" s="184">
        <v>122</v>
      </c>
      <c r="B132" s="1203"/>
      <c r="C132" s="1173"/>
      <c r="D132" s="1234" t="s">
        <v>1064</v>
      </c>
      <c r="E132" s="1206"/>
      <c r="F132" s="1206"/>
      <c r="G132" s="1207"/>
      <c r="H132" s="1208"/>
      <c r="I132" s="1225">
        <f t="shared" si="26"/>
        <v>250</v>
      </c>
      <c r="J132" s="1185"/>
      <c r="K132" s="1185"/>
      <c r="L132" s="1185"/>
      <c r="M132" s="1185"/>
      <c r="N132" s="1195">
        <v>250</v>
      </c>
      <c r="P132" s="7"/>
    </row>
    <row r="133" spans="1:16" s="8" customFormat="1" x14ac:dyDescent="0.3">
      <c r="A133" s="184">
        <v>123</v>
      </c>
      <c r="B133" s="1203"/>
      <c r="C133" s="1173"/>
      <c r="D133" s="1236" t="s">
        <v>999</v>
      </c>
      <c r="E133" s="1206"/>
      <c r="F133" s="1206"/>
      <c r="G133" s="1207"/>
      <c r="H133" s="1208"/>
      <c r="I133" s="1178">
        <f t="shared" si="26"/>
        <v>0</v>
      </c>
      <c r="J133" s="1185"/>
      <c r="K133" s="1185"/>
      <c r="L133" s="1185"/>
      <c r="M133" s="1185"/>
      <c r="N133" s="1195"/>
      <c r="P133" s="7"/>
    </row>
    <row r="134" spans="1:16" s="8" customFormat="1" x14ac:dyDescent="0.3">
      <c r="A134" s="184">
        <v>124</v>
      </c>
      <c r="B134" s="1203"/>
      <c r="C134" s="1173"/>
      <c r="D134" s="1234" t="s">
        <v>1116</v>
      </c>
      <c r="E134" s="1206"/>
      <c r="F134" s="1206"/>
      <c r="G134" s="1207"/>
      <c r="H134" s="1208"/>
      <c r="I134" s="1225">
        <f t="shared" si="26"/>
        <v>250</v>
      </c>
      <c r="J134" s="1185"/>
      <c r="K134" s="1185"/>
      <c r="L134" s="1185"/>
      <c r="M134" s="1185"/>
      <c r="N134" s="1235">
        <f>SUM(N132:N133)</f>
        <v>250</v>
      </c>
      <c r="P134" s="7"/>
    </row>
    <row r="135" spans="1:16" s="8" customFormat="1" x14ac:dyDescent="0.3">
      <c r="A135" s="184">
        <v>125</v>
      </c>
      <c r="B135" s="1203"/>
      <c r="C135" s="1173"/>
      <c r="D135" s="1248" t="s">
        <v>390</v>
      </c>
      <c r="E135" s="1206">
        <v>1000</v>
      </c>
      <c r="F135" s="1206">
        <v>1000</v>
      </c>
      <c r="G135" s="1207">
        <v>1000</v>
      </c>
      <c r="H135" s="1208"/>
      <c r="I135" s="1231"/>
      <c r="J135" s="1209"/>
      <c r="K135" s="1209"/>
      <c r="L135" s="1209"/>
      <c r="M135" s="1209"/>
      <c r="N135" s="1210"/>
      <c r="P135" s="7"/>
    </row>
    <row r="136" spans="1:16" s="8" customFormat="1" x14ac:dyDescent="0.3">
      <c r="A136" s="184">
        <v>126</v>
      </c>
      <c r="B136" s="1203"/>
      <c r="C136" s="1173"/>
      <c r="D136" s="1249" t="s">
        <v>311</v>
      </c>
      <c r="E136" s="1206"/>
      <c r="F136" s="1206"/>
      <c r="G136" s="1207"/>
      <c r="H136" s="1208"/>
      <c r="I136" s="1231">
        <f t="shared" si="26"/>
        <v>0</v>
      </c>
      <c r="J136" s="1185"/>
      <c r="K136" s="1185"/>
      <c r="L136" s="1185"/>
      <c r="M136" s="1185"/>
      <c r="N136" s="1195"/>
      <c r="P136" s="7"/>
    </row>
    <row r="137" spans="1:16" s="8" customFormat="1" x14ac:dyDescent="0.3">
      <c r="A137" s="184">
        <v>127</v>
      </c>
      <c r="B137" s="1203"/>
      <c r="C137" s="1173"/>
      <c r="D137" s="1234" t="s">
        <v>1064</v>
      </c>
      <c r="E137" s="1206"/>
      <c r="F137" s="1206"/>
      <c r="G137" s="1207"/>
      <c r="H137" s="1208"/>
      <c r="I137" s="1225">
        <f t="shared" si="26"/>
        <v>83</v>
      </c>
      <c r="J137" s="1185"/>
      <c r="K137" s="1185"/>
      <c r="L137" s="1185"/>
      <c r="M137" s="1185"/>
      <c r="N137" s="1195">
        <v>83</v>
      </c>
      <c r="P137" s="7"/>
    </row>
    <row r="138" spans="1:16" s="8" customFormat="1" x14ac:dyDescent="0.3">
      <c r="A138" s="184">
        <v>128</v>
      </c>
      <c r="B138" s="1203"/>
      <c r="C138" s="1173"/>
      <c r="D138" s="1236" t="s">
        <v>999</v>
      </c>
      <c r="E138" s="1206"/>
      <c r="F138" s="1206"/>
      <c r="G138" s="1207"/>
      <c r="H138" s="1208"/>
      <c r="I138" s="1178">
        <f t="shared" si="26"/>
        <v>0</v>
      </c>
      <c r="J138" s="1185"/>
      <c r="K138" s="1185"/>
      <c r="L138" s="1185"/>
      <c r="M138" s="1185"/>
      <c r="N138" s="1195"/>
      <c r="P138" s="7"/>
    </row>
    <row r="139" spans="1:16" s="8" customFormat="1" x14ac:dyDescent="0.3">
      <c r="A139" s="184">
        <v>129</v>
      </c>
      <c r="B139" s="1203"/>
      <c r="C139" s="1173"/>
      <c r="D139" s="1234" t="s">
        <v>1116</v>
      </c>
      <c r="E139" s="1206"/>
      <c r="F139" s="1206"/>
      <c r="G139" s="1207"/>
      <c r="H139" s="1208"/>
      <c r="I139" s="1225">
        <f t="shared" si="26"/>
        <v>83</v>
      </c>
      <c r="J139" s="1185"/>
      <c r="K139" s="1185"/>
      <c r="L139" s="1185"/>
      <c r="M139" s="1185"/>
      <c r="N139" s="1195">
        <f>SUM(N137:N138)</f>
        <v>83</v>
      </c>
      <c r="P139" s="7"/>
    </row>
    <row r="140" spans="1:16" s="8" customFormat="1" x14ac:dyDescent="0.3">
      <c r="A140" s="184">
        <v>130</v>
      </c>
      <c r="B140" s="1203"/>
      <c r="C140" s="1182">
        <v>21</v>
      </c>
      <c r="D140" s="1183" t="s">
        <v>843</v>
      </c>
      <c r="E140" s="1206"/>
      <c r="F140" s="1206"/>
      <c r="G140" s="1207"/>
      <c r="H140" s="1177" t="s">
        <v>24</v>
      </c>
      <c r="I140" s="1225"/>
      <c r="J140" s="1185"/>
      <c r="K140" s="1185"/>
      <c r="L140" s="1185"/>
      <c r="M140" s="1185"/>
      <c r="N140" s="1195"/>
      <c r="P140" s="7"/>
    </row>
    <row r="141" spans="1:16" s="433" customFormat="1" x14ac:dyDescent="0.3">
      <c r="A141" s="184">
        <v>131</v>
      </c>
      <c r="B141" s="1226"/>
      <c r="C141" s="1197"/>
      <c r="D141" s="1190" t="s">
        <v>311</v>
      </c>
      <c r="E141" s="1228"/>
      <c r="F141" s="1228"/>
      <c r="G141" s="1229"/>
      <c r="H141" s="1200"/>
      <c r="I141" s="1191">
        <f>SUM(J141:N141)</f>
        <v>425</v>
      </c>
      <c r="J141" s="1232"/>
      <c r="K141" s="1232"/>
      <c r="L141" s="1192">
        <v>425</v>
      </c>
      <c r="M141" s="1232"/>
      <c r="N141" s="1233"/>
      <c r="P141" s="431"/>
    </row>
    <row r="142" spans="1:16" s="433" customFormat="1" x14ac:dyDescent="0.3">
      <c r="A142" s="184">
        <v>132</v>
      </c>
      <c r="B142" s="1226"/>
      <c r="C142" s="1197"/>
      <c r="D142" s="1163" t="s">
        <v>1064</v>
      </c>
      <c r="E142" s="1228"/>
      <c r="F142" s="1228"/>
      <c r="G142" s="1229"/>
      <c r="H142" s="1200"/>
      <c r="I142" s="1170">
        <f t="shared" ref="I142:I144" si="27">SUM(J142:N142)</f>
        <v>0</v>
      </c>
      <c r="J142" s="1232"/>
      <c r="K142" s="1232"/>
      <c r="L142" s="1180">
        <v>0</v>
      </c>
      <c r="M142" s="1232"/>
      <c r="N142" s="1233"/>
      <c r="P142" s="431"/>
    </row>
    <row r="143" spans="1:16" s="433" customFormat="1" x14ac:dyDescent="0.3">
      <c r="A143" s="184">
        <v>133</v>
      </c>
      <c r="B143" s="1226"/>
      <c r="C143" s="1197"/>
      <c r="D143" s="1174" t="s">
        <v>999</v>
      </c>
      <c r="E143" s="1228"/>
      <c r="F143" s="1228"/>
      <c r="G143" s="1229"/>
      <c r="H143" s="1200"/>
      <c r="I143" s="1178">
        <f t="shared" si="27"/>
        <v>0</v>
      </c>
      <c r="J143" s="1185"/>
      <c r="K143" s="1185"/>
      <c r="L143" s="1185"/>
      <c r="M143" s="1185"/>
      <c r="N143" s="1195"/>
      <c r="P143" s="431"/>
    </row>
    <row r="144" spans="1:16" s="433" customFormat="1" x14ac:dyDescent="0.3">
      <c r="A144" s="184">
        <v>134</v>
      </c>
      <c r="B144" s="1226"/>
      <c r="C144" s="1197"/>
      <c r="D144" s="1163" t="s">
        <v>1116</v>
      </c>
      <c r="E144" s="1228"/>
      <c r="F144" s="1228"/>
      <c r="G144" s="1229"/>
      <c r="H144" s="1200"/>
      <c r="I144" s="1170">
        <f t="shared" si="27"/>
        <v>0</v>
      </c>
      <c r="J144" s="1237"/>
      <c r="K144" s="1237"/>
      <c r="L144" s="1237">
        <f>SUM(L142:L143)</f>
        <v>0</v>
      </c>
      <c r="M144" s="1237"/>
      <c r="N144" s="1235"/>
      <c r="P144" s="431"/>
    </row>
    <row r="145" spans="1:16" s="8" customFormat="1" x14ac:dyDescent="0.3">
      <c r="A145" s="184">
        <v>135</v>
      </c>
      <c r="B145" s="1203"/>
      <c r="C145" s="1182">
        <v>22</v>
      </c>
      <c r="D145" s="1183" t="s">
        <v>832</v>
      </c>
      <c r="E145" s="1206"/>
      <c r="F145" s="1206"/>
      <c r="G145" s="1207"/>
      <c r="H145" s="1177" t="s">
        <v>24</v>
      </c>
      <c r="I145" s="1170"/>
      <c r="J145" s="1185"/>
      <c r="K145" s="1185"/>
      <c r="L145" s="1185"/>
      <c r="M145" s="1185"/>
      <c r="N145" s="1195"/>
      <c r="P145" s="7"/>
    </row>
    <row r="146" spans="1:16" s="433" customFormat="1" x14ac:dyDescent="0.3">
      <c r="A146" s="184">
        <v>136</v>
      </c>
      <c r="B146" s="1226"/>
      <c r="C146" s="1197"/>
      <c r="D146" s="1190" t="s">
        <v>311</v>
      </c>
      <c r="E146" s="1228"/>
      <c r="F146" s="1228"/>
      <c r="G146" s="1229"/>
      <c r="H146" s="1200"/>
      <c r="I146" s="1191">
        <f>SUM(J146:N146)</f>
        <v>425</v>
      </c>
      <c r="J146" s="1232"/>
      <c r="K146" s="1232"/>
      <c r="L146" s="1232"/>
      <c r="M146" s="1232"/>
      <c r="N146" s="1201">
        <v>425</v>
      </c>
      <c r="P146" s="431"/>
    </row>
    <row r="147" spans="1:16" s="433" customFormat="1" x14ac:dyDescent="0.3">
      <c r="A147" s="184">
        <v>137</v>
      </c>
      <c r="B147" s="1226"/>
      <c r="C147" s="1197"/>
      <c r="D147" s="1163" t="s">
        <v>1064</v>
      </c>
      <c r="E147" s="1228"/>
      <c r="F147" s="1228"/>
      <c r="G147" s="1229"/>
      <c r="H147" s="1200"/>
      <c r="I147" s="1170">
        <f t="shared" ref="I147:I149" si="28">SUM(J147:N147)</f>
        <v>425</v>
      </c>
      <c r="J147" s="1232"/>
      <c r="K147" s="1232"/>
      <c r="L147" s="1232"/>
      <c r="M147" s="1232"/>
      <c r="N147" s="1202">
        <v>425</v>
      </c>
      <c r="P147" s="431"/>
    </row>
    <row r="148" spans="1:16" s="433" customFormat="1" x14ac:dyDescent="0.3">
      <c r="A148" s="184">
        <v>138</v>
      </c>
      <c r="B148" s="1226"/>
      <c r="C148" s="1197"/>
      <c r="D148" s="1174" t="s">
        <v>999</v>
      </c>
      <c r="E148" s="1228"/>
      <c r="F148" s="1228"/>
      <c r="G148" s="1229"/>
      <c r="H148" s="1200"/>
      <c r="I148" s="1178">
        <f t="shared" si="28"/>
        <v>0</v>
      </c>
      <c r="J148" s="1185"/>
      <c r="K148" s="1185"/>
      <c r="L148" s="1185">
        <v>425</v>
      </c>
      <c r="M148" s="1185"/>
      <c r="N148" s="1195">
        <v>-425</v>
      </c>
      <c r="P148" s="431"/>
    </row>
    <row r="149" spans="1:16" s="433" customFormat="1" x14ac:dyDescent="0.3">
      <c r="A149" s="184">
        <v>139</v>
      </c>
      <c r="B149" s="1226"/>
      <c r="C149" s="1197"/>
      <c r="D149" s="1163" t="s">
        <v>1116</v>
      </c>
      <c r="E149" s="1228"/>
      <c r="F149" s="1228"/>
      <c r="G149" s="1229"/>
      <c r="H149" s="1200"/>
      <c r="I149" s="1170">
        <f t="shared" si="28"/>
        <v>425</v>
      </c>
      <c r="J149" s="1237"/>
      <c r="K149" s="1237"/>
      <c r="L149" s="1237">
        <f>SUM(L148)</f>
        <v>425</v>
      </c>
      <c r="M149" s="1237"/>
      <c r="N149" s="1235">
        <f>SUM(N147:N148)</f>
        <v>0</v>
      </c>
      <c r="P149" s="431"/>
    </row>
    <row r="150" spans="1:16" s="8" customFormat="1" x14ac:dyDescent="0.3">
      <c r="A150" s="184">
        <v>140</v>
      </c>
      <c r="B150" s="1203"/>
      <c r="C150" s="1182">
        <v>23</v>
      </c>
      <c r="D150" s="1183" t="s">
        <v>842</v>
      </c>
      <c r="E150" s="1206"/>
      <c r="F150" s="1206"/>
      <c r="G150" s="1207"/>
      <c r="H150" s="1177" t="s">
        <v>24</v>
      </c>
      <c r="I150" s="1170"/>
      <c r="J150" s="1185"/>
      <c r="K150" s="1185"/>
      <c r="L150" s="1185"/>
      <c r="M150" s="1185"/>
      <c r="N150" s="1195"/>
      <c r="P150" s="7"/>
    </row>
    <row r="151" spans="1:16" s="433" customFormat="1" x14ac:dyDescent="0.3">
      <c r="A151" s="184">
        <v>141</v>
      </c>
      <c r="B151" s="1226"/>
      <c r="C151" s="1197"/>
      <c r="D151" s="1190" t="s">
        <v>311</v>
      </c>
      <c r="E151" s="1228"/>
      <c r="F151" s="1228"/>
      <c r="G151" s="1229"/>
      <c r="H151" s="1230"/>
      <c r="I151" s="1191">
        <f>SUM(J151:N151)</f>
        <v>850</v>
      </c>
      <c r="J151" s="1232"/>
      <c r="K151" s="1232"/>
      <c r="L151" s="1192">
        <v>850</v>
      </c>
      <c r="M151" s="1232"/>
      <c r="N151" s="1233"/>
      <c r="P151" s="431"/>
    </row>
    <row r="152" spans="1:16" s="433" customFormat="1" x14ac:dyDescent="0.3">
      <c r="A152" s="184">
        <v>142</v>
      </c>
      <c r="B152" s="1226"/>
      <c r="C152" s="1197"/>
      <c r="D152" s="1163" t="s">
        <v>1064</v>
      </c>
      <c r="E152" s="1228"/>
      <c r="F152" s="1228"/>
      <c r="G152" s="1229"/>
      <c r="H152" s="1230"/>
      <c r="I152" s="1170">
        <f t="shared" ref="I152" si="29">SUM(J152:N152)</f>
        <v>0</v>
      </c>
      <c r="J152" s="1232"/>
      <c r="K152" s="1232"/>
      <c r="L152" s="1180">
        <v>0</v>
      </c>
      <c r="M152" s="1232"/>
      <c r="N152" s="1233"/>
      <c r="P152" s="431"/>
    </row>
    <row r="153" spans="1:16" s="433" customFormat="1" x14ac:dyDescent="0.3">
      <c r="A153" s="184">
        <v>143</v>
      </c>
      <c r="B153" s="1226"/>
      <c r="C153" s="1197"/>
      <c r="D153" s="1174" t="s">
        <v>1012</v>
      </c>
      <c r="E153" s="1228"/>
      <c r="F153" s="1228"/>
      <c r="G153" s="1229"/>
      <c r="H153" s="1230"/>
      <c r="I153" s="1178">
        <f>SUM(J153:N153)</f>
        <v>0</v>
      </c>
      <c r="J153" s="1185"/>
      <c r="K153" s="1185"/>
      <c r="L153" s="1185"/>
      <c r="M153" s="1185"/>
      <c r="N153" s="1195"/>
      <c r="P153" s="431"/>
    </row>
    <row r="154" spans="1:16" s="433" customFormat="1" x14ac:dyDescent="0.3">
      <c r="A154" s="184">
        <v>144</v>
      </c>
      <c r="B154" s="1226"/>
      <c r="C154" s="1197"/>
      <c r="D154" s="1163" t="s">
        <v>1116</v>
      </c>
      <c r="E154" s="1228"/>
      <c r="F154" s="1228"/>
      <c r="G154" s="1229"/>
      <c r="H154" s="1230"/>
      <c r="I154" s="1170">
        <f t="shared" ref="I154" si="30">SUM(J154:N154)</f>
        <v>0</v>
      </c>
      <c r="J154" s="1237"/>
      <c r="K154" s="1237"/>
      <c r="L154" s="1237">
        <f>SUM(L152:L153)</f>
        <v>0</v>
      </c>
      <c r="M154" s="1237"/>
      <c r="N154" s="1235"/>
      <c r="P154" s="431"/>
    </row>
    <row r="155" spans="1:16" s="8" customFormat="1" x14ac:dyDescent="0.3">
      <c r="A155" s="184">
        <v>145</v>
      </c>
      <c r="B155" s="1203"/>
      <c r="C155" s="1182">
        <v>24</v>
      </c>
      <c r="D155" s="1183" t="s">
        <v>833</v>
      </c>
      <c r="E155" s="1206"/>
      <c r="F155" s="1206"/>
      <c r="G155" s="1207"/>
      <c r="H155" s="1177" t="s">
        <v>24</v>
      </c>
      <c r="I155" s="1170"/>
      <c r="J155" s="1185"/>
      <c r="K155" s="1185"/>
      <c r="L155" s="1185"/>
      <c r="M155" s="1185"/>
      <c r="N155" s="1195"/>
      <c r="P155" s="7"/>
    </row>
    <row r="156" spans="1:16" s="433" customFormat="1" x14ac:dyDescent="0.3">
      <c r="A156" s="184">
        <v>146</v>
      </c>
      <c r="B156" s="1226"/>
      <c r="C156" s="1197"/>
      <c r="D156" s="1190" t="s">
        <v>311</v>
      </c>
      <c r="E156" s="1228"/>
      <c r="F156" s="1228"/>
      <c r="G156" s="1229"/>
      <c r="H156" s="1230"/>
      <c r="I156" s="1191">
        <f>SUM(J156:N156)</f>
        <v>2550</v>
      </c>
      <c r="J156" s="1232"/>
      <c r="K156" s="1232"/>
      <c r="L156" s="1232"/>
      <c r="M156" s="1232"/>
      <c r="N156" s="1201">
        <v>2550</v>
      </c>
      <c r="P156" s="431"/>
    </row>
    <row r="157" spans="1:16" s="433" customFormat="1" x14ac:dyDescent="0.3">
      <c r="A157" s="184">
        <v>147</v>
      </c>
      <c r="B157" s="1226"/>
      <c r="C157" s="1197"/>
      <c r="D157" s="1163" t="s">
        <v>1064</v>
      </c>
      <c r="E157" s="1228"/>
      <c r="F157" s="1228"/>
      <c r="G157" s="1229"/>
      <c r="H157" s="1230"/>
      <c r="I157" s="1170">
        <f t="shared" ref="I157:I159" si="31">SUM(J157:N157)</f>
        <v>0</v>
      </c>
      <c r="J157" s="1232"/>
      <c r="K157" s="1232"/>
      <c r="L157" s="1232"/>
      <c r="M157" s="1232"/>
      <c r="N157" s="1202">
        <v>0</v>
      </c>
      <c r="P157" s="431"/>
    </row>
    <row r="158" spans="1:16" s="433" customFormat="1" x14ac:dyDescent="0.3">
      <c r="A158" s="184">
        <v>148</v>
      </c>
      <c r="B158" s="1226"/>
      <c r="C158" s="1197"/>
      <c r="D158" s="1174" t="s">
        <v>999</v>
      </c>
      <c r="E158" s="1228"/>
      <c r="F158" s="1228"/>
      <c r="G158" s="1229"/>
      <c r="H158" s="1230"/>
      <c r="I158" s="1178">
        <f t="shared" si="31"/>
        <v>0</v>
      </c>
      <c r="J158" s="1237"/>
      <c r="K158" s="1237"/>
      <c r="L158" s="1237"/>
      <c r="M158" s="1237"/>
      <c r="N158" s="1235"/>
      <c r="P158" s="431"/>
    </row>
    <row r="159" spans="1:16" s="433" customFormat="1" x14ac:dyDescent="0.3">
      <c r="A159" s="184">
        <v>149</v>
      </c>
      <c r="B159" s="1226"/>
      <c r="C159" s="1197"/>
      <c r="D159" s="1163" t="s">
        <v>1116</v>
      </c>
      <c r="E159" s="1228"/>
      <c r="F159" s="1228"/>
      <c r="G159" s="1229"/>
      <c r="H159" s="1230"/>
      <c r="I159" s="1170">
        <f t="shared" si="31"/>
        <v>0</v>
      </c>
      <c r="J159" s="1237"/>
      <c r="K159" s="1237"/>
      <c r="L159" s="1237"/>
      <c r="M159" s="1237"/>
      <c r="N159" s="1235">
        <f>SUM(N157:N158)</f>
        <v>0</v>
      </c>
      <c r="P159" s="431"/>
    </row>
    <row r="160" spans="1:16" s="3" customFormat="1" ht="16.5" x14ac:dyDescent="0.3">
      <c r="A160" s="184">
        <v>150</v>
      </c>
      <c r="B160" s="1181"/>
      <c r="C160" s="1182">
        <v>25</v>
      </c>
      <c r="D160" s="1183" t="s">
        <v>62</v>
      </c>
      <c r="E160" s="1175">
        <v>2500</v>
      </c>
      <c r="F160" s="1175">
        <v>2500</v>
      </c>
      <c r="G160" s="1207">
        <v>2500</v>
      </c>
      <c r="H160" s="1177" t="s">
        <v>24</v>
      </c>
      <c r="I160" s="1191"/>
      <c r="J160" s="1184"/>
      <c r="K160" s="1184"/>
      <c r="L160" s="1184"/>
      <c r="M160" s="1184"/>
      <c r="N160" s="1186"/>
      <c r="P160" s="7"/>
    </row>
    <row r="161" spans="1:16" s="3" customFormat="1" ht="16.5" x14ac:dyDescent="0.3">
      <c r="A161" s="184">
        <v>151</v>
      </c>
      <c r="B161" s="1181"/>
      <c r="C161" s="1182">
        <v>26</v>
      </c>
      <c r="D161" s="1183" t="s">
        <v>325</v>
      </c>
      <c r="E161" s="1175">
        <v>2500</v>
      </c>
      <c r="F161" s="1175">
        <v>2500</v>
      </c>
      <c r="G161" s="1176">
        <v>2500</v>
      </c>
      <c r="H161" s="1177" t="s">
        <v>24</v>
      </c>
      <c r="I161" s="1191"/>
      <c r="J161" s="1184"/>
      <c r="K161" s="1184"/>
      <c r="L161" s="1184"/>
      <c r="M161" s="1184"/>
      <c r="N161" s="1186"/>
      <c r="P161" s="7"/>
    </row>
    <row r="162" spans="1:16" s="3" customFormat="1" ht="16.5" x14ac:dyDescent="0.3">
      <c r="A162" s="184">
        <v>152</v>
      </c>
      <c r="B162" s="1181"/>
      <c r="C162" s="1182">
        <v>27</v>
      </c>
      <c r="D162" s="1183" t="s">
        <v>63</v>
      </c>
      <c r="E162" s="1175">
        <v>1500</v>
      </c>
      <c r="F162" s="1175">
        <v>1500</v>
      </c>
      <c r="G162" s="1176">
        <v>1500</v>
      </c>
      <c r="H162" s="1177" t="s">
        <v>24</v>
      </c>
      <c r="I162" s="1170"/>
      <c r="J162" s="1184"/>
      <c r="K162" s="1184"/>
      <c r="L162" s="1184"/>
      <c r="M162" s="1184"/>
      <c r="N162" s="1186"/>
      <c r="P162" s="7"/>
    </row>
    <row r="163" spans="1:16" s="431" customFormat="1" x14ac:dyDescent="0.3">
      <c r="A163" s="184">
        <v>153</v>
      </c>
      <c r="B163" s="1196"/>
      <c r="C163" s="1197"/>
      <c r="D163" s="1190" t="s">
        <v>311</v>
      </c>
      <c r="E163" s="1198"/>
      <c r="F163" s="1198"/>
      <c r="G163" s="1199"/>
      <c r="H163" s="1200"/>
      <c r="I163" s="1191">
        <f>SUM(J163:N163)</f>
        <v>1275</v>
      </c>
      <c r="J163" s="1192"/>
      <c r="K163" s="1192"/>
      <c r="L163" s="1192"/>
      <c r="M163" s="1192"/>
      <c r="N163" s="1201">
        <v>1275</v>
      </c>
    </row>
    <row r="164" spans="1:16" s="431" customFormat="1" x14ac:dyDescent="0.3">
      <c r="A164" s="184">
        <v>154</v>
      </c>
      <c r="B164" s="1196"/>
      <c r="C164" s="1197"/>
      <c r="D164" s="1163" t="s">
        <v>1064</v>
      </c>
      <c r="E164" s="1198"/>
      <c r="F164" s="1198"/>
      <c r="G164" s="1199"/>
      <c r="H164" s="1200"/>
      <c r="I164" s="1170">
        <f t="shared" ref="I164:I166" si="32">SUM(J164:N164)</f>
        <v>0</v>
      </c>
      <c r="J164" s="1192"/>
      <c r="K164" s="1192"/>
      <c r="L164" s="1192"/>
      <c r="M164" s="1192"/>
      <c r="N164" s="1202">
        <v>0</v>
      </c>
    </row>
    <row r="165" spans="1:16" s="431" customFormat="1" x14ac:dyDescent="0.3">
      <c r="A165" s="184">
        <v>155</v>
      </c>
      <c r="B165" s="1196"/>
      <c r="C165" s="1197"/>
      <c r="D165" s="1174" t="s">
        <v>1012</v>
      </c>
      <c r="E165" s="1198"/>
      <c r="F165" s="1198"/>
      <c r="G165" s="1199"/>
      <c r="H165" s="1200"/>
      <c r="I165" s="1178">
        <f t="shared" si="32"/>
        <v>0</v>
      </c>
      <c r="J165" s="1185"/>
      <c r="K165" s="1185"/>
      <c r="L165" s="1185"/>
      <c r="M165" s="1185"/>
      <c r="N165" s="1195"/>
    </row>
    <row r="166" spans="1:16" s="431" customFormat="1" x14ac:dyDescent="0.3">
      <c r="A166" s="184">
        <v>156</v>
      </c>
      <c r="B166" s="1196"/>
      <c r="C166" s="1197"/>
      <c r="D166" s="1163" t="s">
        <v>1116</v>
      </c>
      <c r="E166" s="1198"/>
      <c r="F166" s="1198"/>
      <c r="G166" s="1199"/>
      <c r="H166" s="1200"/>
      <c r="I166" s="1170">
        <f t="shared" si="32"/>
        <v>0</v>
      </c>
      <c r="J166" s="1180"/>
      <c r="K166" s="1180"/>
      <c r="L166" s="1180"/>
      <c r="M166" s="1180"/>
      <c r="N166" s="1202">
        <f>SUM(N164:N165)</f>
        <v>0</v>
      </c>
    </row>
    <row r="167" spans="1:16" s="3" customFormat="1" ht="16.5" x14ac:dyDescent="0.3">
      <c r="A167" s="184">
        <v>157</v>
      </c>
      <c r="B167" s="1181"/>
      <c r="C167" s="1182">
        <v>28</v>
      </c>
      <c r="D167" s="1183" t="s">
        <v>64</v>
      </c>
      <c r="E167" s="1175">
        <v>1000</v>
      </c>
      <c r="F167" s="1175">
        <v>1000</v>
      </c>
      <c r="G167" s="1176">
        <v>1000</v>
      </c>
      <c r="H167" s="1177" t="s">
        <v>24</v>
      </c>
      <c r="I167" s="1170"/>
      <c r="J167" s="1184"/>
      <c r="K167" s="1184"/>
      <c r="L167" s="1184"/>
      <c r="M167" s="1184"/>
      <c r="N167" s="1186"/>
      <c r="P167" s="7"/>
    </row>
    <row r="168" spans="1:16" s="431" customFormat="1" x14ac:dyDescent="0.3">
      <c r="A168" s="184">
        <v>158</v>
      </c>
      <c r="B168" s="1196"/>
      <c r="C168" s="1197"/>
      <c r="D168" s="1190" t="s">
        <v>311</v>
      </c>
      <c r="E168" s="1198"/>
      <c r="F168" s="1198"/>
      <c r="G168" s="1199"/>
      <c r="H168" s="1200"/>
      <c r="I168" s="1191">
        <f>SUM(J168:N168)</f>
        <v>850</v>
      </c>
      <c r="J168" s="1192"/>
      <c r="K168" s="1192"/>
      <c r="L168" s="1192"/>
      <c r="M168" s="1192"/>
      <c r="N168" s="1201">
        <v>850</v>
      </c>
    </row>
    <row r="169" spans="1:16" s="431" customFormat="1" x14ac:dyDescent="0.3">
      <c r="A169" s="184">
        <v>159</v>
      </c>
      <c r="B169" s="1196"/>
      <c r="C169" s="1197"/>
      <c r="D169" s="1163" t="s">
        <v>1064</v>
      </c>
      <c r="E169" s="1198"/>
      <c r="F169" s="1198"/>
      <c r="G169" s="1199"/>
      <c r="H169" s="1200"/>
      <c r="I169" s="1170">
        <f t="shared" ref="I169:I171" si="33">SUM(J169:N169)</f>
        <v>0</v>
      </c>
      <c r="J169" s="1192"/>
      <c r="K169" s="1192"/>
      <c r="L169" s="1192"/>
      <c r="M169" s="1192"/>
      <c r="N169" s="1202">
        <v>0</v>
      </c>
    </row>
    <row r="170" spans="1:16" s="431" customFormat="1" x14ac:dyDescent="0.3">
      <c r="A170" s="184">
        <v>160</v>
      </c>
      <c r="B170" s="1196"/>
      <c r="C170" s="1197"/>
      <c r="D170" s="1174" t="s">
        <v>1012</v>
      </c>
      <c r="E170" s="1198"/>
      <c r="F170" s="1198"/>
      <c r="G170" s="1199"/>
      <c r="H170" s="1200"/>
      <c r="I170" s="1178">
        <f t="shared" si="33"/>
        <v>0</v>
      </c>
      <c r="J170" s="1185"/>
      <c r="K170" s="1185"/>
      <c r="L170" s="1185"/>
      <c r="M170" s="1185"/>
      <c r="N170" s="1195"/>
    </row>
    <row r="171" spans="1:16" s="431" customFormat="1" x14ac:dyDescent="0.3">
      <c r="A171" s="184">
        <v>161</v>
      </c>
      <c r="B171" s="1196"/>
      <c r="C171" s="1197"/>
      <c r="D171" s="1163" t="s">
        <v>1116</v>
      </c>
      <c r="E171" s="1198"/>
      <c r="F171" s="1198"/>
      <c r="G171" s="1199"/>
      <c r="H171" s="1200"/>
      <c r="I171" s="1170">
        <f t="shared" si="33"/>
        <v>0</v>
      </c>
      <c r="J171" s="1180"/>
      <c r="K171" s="1180"/>
      <c r="L171" s="1180"/>
      <c r="M171" s="1180"/>
      <c r="N171" s="1202">
        <f>SUM(N169:N170)</f>
        <v>0</v>
      </c>
    </row>
    <row r="172" spans="1:16" s="3" customFormat="1" ht="16.5" x14ac:dyDescent="0.3">
      <c r="A172" s="184">
        <v>162</v>
      </c>
      <c r="B172" s="1181"/>
      <c r="C172" s="1182">
        <v>29</v>
      </c>
      <c r="D172" s="1183" t="s">
        <v>281</v>
      </c>
      <c r="E172" s="1175">
        <v>5000</v>
      </c>
      <c r="F172" s="1175">
        <v>5000</v>
      </c>
      <c r="G172" s="1176">
        <v>5000</v>
      </c>
      <c r="H172" s="1177" t="s">
        <v>24</v>
      </c>
      <c r="I172" s="1170"/>
      <c r="J172" s="1184"/>
      <c r="K172" s="1184"/>
      <c r="L172" s="1184"/>
      <c r="M172" s="1184"/>
      <c r="N172" s="1186"/>
      <c r="P172" s="7"/>
    </row>
    <row r="173" spans="1:16" s="431" customFormat="1" x14ac:dyDescent="0.3">
      <c r="A173" s="184">
        <v>163</v>
      </c>
      <c r="B173" s="1196"/>
      <c r="C173" s="1197"/>
      <c r="D173" s="1190" t="s">
        <v>311</v>
      </c>
      <c r="E173" s="1198"/>
      <c r="F173" s="1198"/>
      <c r="G173" s="1199"/>
      <c r="H173" s="1200"/>
      <c r="I173" s="1191">
        <f t="shared" ref="I173:I188" si="34">SUM(J173:N173)</f>
        <v>4250</v>
      </c>
      <c r="J173" s="1192"/>
      <c r="K173" s="1192"/>
      <c r="L173" s="1192"/>
      <c r="M173" s="1192"/>
      <c r="N173" s="1201">
        <v>4250</v>
      </c>
    </row>
    <row r="174" spans="1:16" s="431" customFormat="1" x14ac:dyDescent="0.3">
      <c r="A174" s="184">
        <v>164</v>
      </c>
      <c r="B174" s="1196"/>
      <c r="C174" s="1197"/>
      <c r="D174" s="1163" t="s">
        <v>1064</v>
      </c>
      <c r="E174" s="1198"/>
      <c r="F174" s="1198"/>
      <c r="G174" s="1199"/>
      <c r="H174" s="1200"/>
      <c r="I174" s="1170">
        <f t="shared" si="34"/>
        <v>4250</v>
      </c>
      <c r="J174" s="1192"/>
      <c r="K174" s="1192"/>
      <c r="L174" s="1192">
        <v>4250</v>
      </c>
      <c r="M174" s="1192"/>
      <c r="N174" s="1201"/>
    </row>
    <row r="175" spans="1:16" s="431" customFormat="1" x14ac:dyDescent="0.3">
      <c r="A175" s="184">
        <v>165</v>
      </c>
      <c r="B175" s="1196"/>
      <c r="C175" s="1197"/>
      <c r="D175" s="1174" t="s">
        <v>1012</v>
      </c>
      <c r="E175" s="1198"/>
      <c r="F175" s="1198"/>
      <c r="G175" s="1199"/>
      <c r="H175" s="1200"/>
      <c r="I175" s="1178">
        <f t="shared" si="34"/>
        <v>0</v>
      </c>
      <c r="J175" s="1185"/>
      <c r="K175" s="1185"/>
      <c r="L175" s="1185"/>
      <c r="M175" s="1185"/>
      <c r="N175" s="1195"/>
    </row>
    <row r="176" spans="1:16" s="431" customFormat="1" x14ac:dyDescent="0.3">
      <c r="A176" s="184">
        <v>166</v>
      </c>
      <c r="B176" s="1196"/>
      <c r="C176" s="1197"/>
      <c r="D176" s="1163" t="s">
        <v>1116</v>
      </c>
      <c r="E176" s="1198"/>
      <c r="F176" s="1198"/>
      <c r="G176" s="1199"/>
      <c r="H176" s="1200"/>
      <c r="I176" s="1170">
        <f t="shared" si="34"/>
        <v>4250</v>
      </c>
      <c r="J176" s="1192"/>
      <c r="K176" s="1192"/>
      <c r="L176" s="1180">
        <f>SUM(L174:L175)</f>
        <v>4250</v>
      </c>
      <c r="M176" s="1192"/>
      <c r="N176" s="1202">
        <f>SUM(N174:N175)</f>
        <v>0</v>
      </c>
    </row>
    <row r="177" spans="1:16" s="7" customFormat="1" ht="16.5" x14ac:dyDescent="0.3">
      <c r="A177" s="184">
        <v>167</v>
      </c>
      <c r="B177" s="1172"/>
      <c r="C177" s="1182">
        <v>30</v>
      </c>
      <c r="D177" s="1163" t="s">
        <v>520</v>
      </c>
      <c r="E177" s="1175">
        <v>2500</v>
      </c>
      <c r="F177" s="1175">
        <v>5000</v>
      </c>
      <c r="G177" s="1176">
        <v>3250</v>
      </c>
      <c r="H177" s="1177" t="s">
        <v>24</v>
      </c>
      <c r="I177" s="1191"/>
      <c r="J177" s="1184"/>
      <c r="K177" s="1184"/>
      <c r="L177" s="1184"/>
      <c r="M177" s="1184"/>
      <c r="N177" s="1186"/>
    </row>
    <row r="178" spans="1:16" s="7" customFormat="1" ht="16.5" x14ac:dyDescent="0.3">
      <c r="A178" s="184">
        <v>168</v>
      </c>
      <c r="B178" s="1250"/>
      <c r="C178" s="1182">
        <v>31</v>
      </c>
      <c r="D178" s="1163" t="s">
        <v>555</v>
      </c>
      <c r="E178" s="1164"/>
      <c r="F178" s="1164">
        <v>20000</v>
      </c>
      <c r="G178" s="1165">
        <v>16160</v>
      </c>
      <c r="H178" s="1177" t="s">
        <v>24</v>
      </c>
      <c r="I178" s="1170"/>
      <c r="J178" s="1168"/>
      <c r="K178" s="1168"/>
      <c r="L178" s="1168"/>
      <c r="M178" s="1168"/>
      <c r="N178" s="1169"/>
    </row>
    <row r="179" spans="1:16" s="431" customFormat="1" x14ac:dyDescent="0.3">
      <c r="A179" s="184">
        <v>169</v>
      </c>
      <c r="B179" s="1251"/>
      <c r="C179" s="1197"/>
      <c r="D179" s="1190" t="s">
        <v>311</v>
      </c>
      <c r="E179" s="1217"/>
      <c r="F179" s="1217"/>
      <c r="G179" s="1218"/>
      <c r="H179" s="1200"/>
      <c r="I179" s="1191">
        <f t="shared" si="34"/>
        <v>20000</v>
      </c>
      <c r="J179" s="1220"/>
      <c r="K179" s="1220"/>
      <c r="L179" s="1220"/>
      <c r="M179" s="1220"/>
      <c r="N179" s="1221">
        <v>20000</v>
      </c>
    </row>
    <row r="180" spans="1:16" s="431" customFormat="1" x14ac:dyDescent="0.3">
      <c r="A180" s="184">
        <v>170</v>
      </c>
      <c r="B180" s="1251"/>
      <c r="C180" s="1197"/>
      <c r="D180" s="1163" t="s">
        <v>1064</v>
      </c>
      <c r="E180" s="1217"/>
      <c r="F180" s="1217"/>
      <c r="G180" s="1218"/>
      <c r="H180" s="1200"/>
      <c r="I180" s="1170">
        <f t="shared" si="34"/>
        <v>0</v>
      </c>
      <c r="J180" s="1220"/>
      <c r="K180" s="1220"/>
      <c r="L180" s="1220"/>
      <c r="M180" s="1220"/>
      <c r="N180" s="1223">
        <v>0</v>
      </c>
    </row>
    <row r="181" spans="1:16" s="431" customFormat="1" x14ac:dyDescent="0.3">
      <c r="A181" s="184">
        <v>171</v>
      </c>
      <c r="B181" s="1251"/>
      <c r="C181" s="1197"/>
      <c r="D181" s="1174" t="s">
        <v>1012</v>
      </c>
      <c r="E181" s="1217"/>
      <c r="F181" s="1217"/>
      <c r="G181" s="1218"/>
      <c r="H181" s="1200"/>
      <c r="I181" s="1178">
        <f t="shared" si="34"/>
        <v>0</v>
      </c>
      <c r="J181" s="1171"/>
      <c r="K181" s="1171"/>
      <c r="L181" s="1171"/>
      <c r="M181" s="1171"/>
      <c r="N181" s="1222"/>
    </row>
    <row r="182" spans="1:16" s="431" customFormat="1" x14ac:dyDescent="0.3">
      <c r="A182" s="184">
        <v>172</v>
      </c>
      <c r="B182" s="1251"/>
      <c r="C182" s="1197"/>
      <c r="D182" s="1163" t="s">
        <v>1116</v>
      </c>
      <c r="E182" s="1217"/>
      <c r="F182" s="1217"/>
      <c r="G182" s="1218"/>
      <c r="H182" s="1200"/>
      <c r="I182" s="1170">
        <f t="shared" si="34"/>
        <v>0</v>
      </c>
      <c r="J182" s="1171"/>
      <c r="K182" s="1171"/>
      <c r="L182" s="1171"/>
      <c r="M182" s="1171"/>
      <c r="N182" s="1223">
        <f>SUM(N180:N181)</f>
        <v>0</v>
      </c>
    </row>
    <row r="183" spans="1:16" s="82" customFormat="1" ht="16.5" x14ac:dyDescent="0.3">
      <c r="A183" s="184">
        <v>173</v>
      </c>
      <c r="B183" s="1252"/>
      <c r="C183" s="1182">
        <v>32</v>
      </c>
      <c r="D183" s="1183" t="s">
        <v>273</v>
      </c>
      <c r="E183" s="1164">
        <v>45000</v>
      </c>
      <c r="F183" s="1164">
        <v>45000</v>
      </c>
      <c r="G183" s="1165">
        <v>45000</v>
      </c>
      <c r="H183" s="1177" t="s">
        <v>24</v>
      </c>
      <c r="I183" s="1191"/>
      <c r="J183" s="1168"/>
      <c r="K183" s="1168"/>
      <c r="L183" s="1168"/>
      <c r="M183" s="1168"/>
      <c r="N183" s="1169"/>
      <c r="O183" s="81"/>
      <c r="P183" s="7"/>
    </row>
    <row r="184" spans="1:16" s="3" customFormat="1" ht="16.5" x14ac:dyDescent="0.3">
      <c r="A184" s="184">
        <v>174</v>
      </c>
      <c r="B184" s="1181"/>
      <c r="C184" s="1182">
        <v>33</v>
      </c>
      <c r="D184" s="1183" t="s">
        <v>282</v>
      </c>
      <c r="E184" s="1175"/>
      <c r="F184" s="1175"/>
      <c r="G184" s="1176"/>
      <c r="H184" s="1177" t="s">
        <v>24</v>
      </c>
      <c r="I184" s="1170"/>
      <c r="J184" s="1184"/>
      <c r="K184" s="1184"/>
      <c r="L184" s="1184"/>
      <c r="M184" s="1184"/>
      <c r="N184" s="1186"/>
      <c r="P184" s="7"/>
    </row>
    <row r="185" spans="1:16" s="431" customFormat="1" x14ac:dyDescent="0.3">
      <c r="A185" s="184">
        <v>175</v>
      </c>
      <c r="B185" s="1196"/>
      <c r="C185" s="1197"/>
      <c r="D185" s="1190" t="s">
        <v>311</v>
      </c>
      <c r="E185" s="1198"/>
      <c r="F185" s="1198"/>
      <c r="G185" s="1199"/>
      <c r="H185" s="1200"/>
      <c r="I185" s="1191">
        <f t="shared" si="34"/>
        <v>2500</v>
      </c>
      <c r="J185" s="1192"/>
      <c r="K185" s="1192"/>
      <c r="L185" s="1192"/>
      <c r="M185" s="1192"/>
      <c r="N185" s="1201">
        <v>2500</v>
      </c>
    </row>
    <row r="186" spans="1:16" s="431" customFormat="1" x14ac:dyDescent="0.3">
      <c r="A186" s="184">
        <v>176</v>
      </c>
      <c r="B186" s="1196"/>
      <c r="C186" s="1197"/>
      <c r="D186" s="1163" t="s">
        <v>1064</v>
      </c>
      <c r="E186" s="1198"/>
      <c r="F186" s="1198"/>
      <c r="G186" s="1199"/>
      <c r="H186" s="1200"/>
      <c r="I186" s="1170">
        <f t="shared" si="34"/>
        <v>2500</v>
      </c>
      <c r="J186" s="1192"/>
      <c r="K186" s="1192"/>
      <c r="L186" s="1192"/>
      <c r="M186" s="1192"/>
      <c r="N186" s="1202">
        <v>2500</v>
      </c>
    </row>
    <row r="187" spans="1:16" s="431" customFormat="1" x14ac:dyDescent="0.3">
      <c r="A187" s="184">
        <v>177</v>
      </c>
      <c r="B187" s="1196"/>
      <c r="C187" s="1197"/>
      <c r="D187" s="1174" t="s">
        <v>999</v>
      </c>
      <c r="E187" s="1198"/>
      <c r="F187" s="1198"/>
      <c r="G187" s="1199"/>
      <c r="H187" s="1200"/>
      <c r="I187" s="1178">
        <f t="shared" si="34"/>
        <v>0</v>
      </c>
      <c r="J187" s="1185"/>
      <c r="K187" s="1185"/>
      <c r="L187" s="1185"/>
      <c r="M187" s="1185"/>
      <c r="N187" s="1195"/>
    </row>
    <row r="188" spans="1:16" s="431" customFormat="1" x14ac:dyDescent="0.3">
      <c r="A188" s="184">
        <v>178</v>
      </c>
      <c r="B188" s="1196"/>
      <c r="C188" s="1197"/>
      <c r="D188" s="1163" t="s">
        <v>1116</v>
      </c>
      <c r="E188" s="1198"/>
      <c r="F188" s="1198"/>
      <c r="G188" s="1199"/>
      <c r="H188" s="1200"/>
      <c r="I188" s="1170">
        <f t="shared" si="34"/>
        <v>2500</v>
      </c>
      <c r="J188" s="1180"/>
      <c r="K188" s="1180"/>
      <c r="L188" s="1180"/>
      <c r="M188" s="1180"/>
      <c r="N188" s="1202">
        <f>SUM(N186:N187)</f>
        <v>2500</v>
      </c>
    </row>
    <row r="189" spans="1:16" s="3" customFormat="1" ht="16.5" x14ac:dyDescent="0.3">
      <c r="A189" s="184">
        <v>179</v>
      </c>
      <c r="B189" s="1181"/>
      <c r="C189" s="1182">
        <v>34</v>
      </c>
      <c r="D189" s="1183" t="s">
        <v>66</v>
      </c>
      <c r="E189" s="1175">
        <v>316697</v>
      </c>
      <c r="F189" s="1175">
        <v>375300</v>
      </c>
      <c r="G189" s="1176">
        <v>378297</v>
      </c>
      <c r="H189" s="1177" t="s">
        <v>24</v>
      </c>
      <c r="I189" s="1170"/>
      <c r="J189" s="1184"/>
      <c r="K189" s="1184"/>
      <c r="L189" s="1184"/>
      <c r="M189" s="1184"/>
      <c r="N189" s="1186"/>
      <c r="P189" s="7"/>
    </row>
    <row r="190" spans="1:16" s="431" customFormat="1" x14ac:dyDescent="0.3">
      <c r="A190" s="184">
        <v>180</v>
      </c>
      <c r="B190" s="1196"/>
      <c r="C190" s="1197"/>
      <c r="D190" s="1190" t="s">
        <v>311</v>
      </c>
      <c r="E190" s="1198"/>
      <c r="F190" s="1198"/>
      <c r="G190" s="1199"/>
      <c r="H190" s="1200"/>
      <c r="I190" s="1191">
        <f>SUM(J190:N190)</f>
        <v>392700</v>
      </c>
      <c r="J190" s="1192"/>
      <c r="K190" s="1192"/>
      <c r="L190" s="1192">
        <v>140000</v>
      </c>
      <c r="M190" s="1192"/>
      <c r="N190" s="1201">
        <f>392700-140000</f>
        <v>252700</v>
      </c>
    </row>
    <row r="191" spans="1:16" s="431" customFormat="1" x14ac:dyDescent="0.3">
      <c r="A191" s="184">
        <v>181</v>
      </c>
      <c r="B191" s="1196"/>
      <c r="C191" s="1197"/>
      <c r="D191" s="1163" t="s">
        <v>1064</v>
      </c>
      <c r="E191" s="1198"/>
      <c r="F191" s="1198"/>
      <c r="G191" s="1199"/>
      <c r="H191" s="1200"/>
      <c r="I191" s="1170">
        <f>SUM(J191:N191)</f>
        <v>185276</v>
      </c>
      <c r="J191" s="1192"/>
      <c r="K191" s="1192"/>
      <c r="L191" s="1180">
        <f>71576-1076</f>
        <v>70500</v>
      </c>
      <c r="M191" s="1180"/>
      <c r="N191" s="1202">
        <f>113700+1076</f>
        <v>114776</v>
      </c>
    </row>
    <row r="192" spans="1:16" s="431" customFormat="1" x14ac:dyDescent="0.3">
      <c r="A192" s="184">
        <v>182</v>
      </c>
      <c r="B192" s="1196"/>
      <c r="C192" s="1197"/>
      <c r="D192" s="1174" t="s">
        <v>1012</v>
      </c>
      <c r="E192" s="1198"/>
      <c r="F192" s="1198"/>
      <c r="G192" s="1199"/>
      <c r="H192" s="1200"/>
      <c r="I192" s="1178">
        <f t="shared" ref="I192" si="35">SUM(J192:N192)</f>
        <v>0</v>
      </c>
      <c r="J192" s="1185"/>
      <c r="K192" s="1185"/>
      <c r="L192" s="1185"/>
      <c r="M192" s="1185"/>
      <c r="N192" s="1195"/>
    </row>
    <row r="193" spans="1:16" s="431" customFormat="1" x14ac:dyDescent="0.3">
      <c r="A193" s="184">
        <v>183</v>
      </c>
      <c r="B193" s="1196"/>
      <c r="C193" s="1197"/>
      <c r="D193" s="1163" t="s">
        <v>1116</v>
      </c>
      <c r="E193" s="1198"/>
      <c r="F193" s="1198"/>
      <c r="G193" s="1199"/>
      <c r="H193" s="1200"/>
      <c r="I193" s="1170">
        <f>SUM(J193:N193)</f>
        <v>185276</v>
      </c>
      <c r="J193" s="1180"/>
      <c r="K193" s="1180"/>
      <c r="L193" s="1180">
        <f>SUM(L191:L192)</f>
        <v>70500</v>
      </c>
      <c r="M193" s="1180"/>
      <c r="N193" s="1202">
        <f>SUM(N191:N192)</f>
        <v>114776</v>
      </c>
    </row>
    <row r="194" spans="1:16" s="3" customFormat="1" ht="16.5" x14ac:dyDescent="0.3">
      <c r="A194" s="184">
        <v>184</v>
      </c>
      <c r="B194" s="1181"/>
      <c r="C194" s="1182">
        <v>35</v>
      </c>
      <c r="D194" s="1183" t="s">
        <v>67</v>
      </c>
      <c r="E194" s="1175">
        <v>2000</v>
      </c>
      <c r="F194" s="1175">
        <v>2600</v>
      </c>
      <c r="G194" s="1176">
        <v>2600</v>
      </c>
      <c r="H194" s="1177" t="s">
        <v>23</v>
      </c>
      <c r="I194" s="1170"/>
      <c r="J194" s="1184"/>
      <c r="K194" s="1184"/>
      <c r="L194" s="1184"/>
      <c r="M194" s="1184"/>
      <c r="N194" s="1186"/>
      <c r="P194" s="7"/>
    </row>
    <row r="195" spans="1:16" s="431" customFormat="1" x14ac:dyDescent="0.3">
      <c r="A195" s="184">
        <v>185</v>
      </c>
      <c r="B195" s="1196"/>
      <c r="C195" s="1197"/>
      <c r="D195" s="1190" t="s">
        <v>311</v>
      </c>
      <c r="E195" s="1198"/>
      <c r="F195" s="1198"/>
      <c r="G195" s="1199"/>
      <c r="H195" s="1200"/>
      <c r="I195" s="1191">
        <f>SUM(J195:N195)</f>
        <v>2210</v>
      </c>
      <c r="J195" s="1192"/>
      <c r="K195" s="1192"/>
      <c r="L195" s="1192">
        <v>2210</v>
      </c>
      <c r="M195" s="1192"/>
      <c r="N195" s="1201"/>
    </row>
    <row r="196" spans="1:16" s="431" customFormat="1" x14ac:dyDescent="0.3">
      <c r="A196" s="184">
        <v>186</v>
      </c>
      <c r="B196" s="1196"/>
      <c r="C196" s="1197"/>
      <c r="D196" s="1163" t="s">
        <v>1064</v>
      </c>
      <c r="E196" s="1198"/>
      <c r="F196" s="1198"/>
      <c r="G196" s="1199"/>
      <c r="H196" s="1200"/>
      <c r="I196" s="1170">
        <f t="shared" ref="I196:I198" si="36">SUM(J196:N196)</f>
        <v>2210</v>
      </c>
      <c r="J196" s="1192"/>
      <c r="K196" s="1192"/>
      <c r="L196" s="1180">
        <v>2210</v>
      </c>
      <c r="M196" s="1192"/>
      <c r="N196" s="1201"/>
    </row>
    <row r="197" spans="1:16" s="431" customFormat="1" x14ac:dyDescent="0.3">
      <c r="A197" s="184">
        <v>187</v>
      </c>
      <c r="B197" s="1196"/>
      <c r="C197" s="1197"/>
      <c r="D197" s="1174" t="s">
        <v>999</v>
      </c>
      <c r="E197" s="1198"/>
      <c r="F197" s="1198"/>
      <c r="G197" s="1199"/>
      <c r="H197" s="1200"/>
      <c r="I197" s="1170">
        <f t="shared" si="36"/>
        <v>0</v>
      </c>
      <c r="J197" s="1180"/>
      <c r="K197" s="1180"/>
      <c r="L197" s="1180"/>
      <c r="M197" s="1180"/>
      <c r="N197" s="1202"/>
    </row>
    <row r="198" spans="1:16" s="431" customFormat="1" x14ac:dyDescent="0.3">
      <c r="A198" s="184">
        <v>188</v>
      </c>
      <c r="B198" s="1196"/>
      <c r="C198" s="1197"/>
      <c r="D198" s="1163" t="s">
        <v>1116</v>
      </c>
      <c r="E198" s="1198"/>
      <c r="F198" s="1198"/>
      <c r="G198" s="1199"/>
      <c r="H198" s="1200"/>
      <c r="I198" s="1170">
        <f t="shared" si="36"/>
        <v>2210</v>
      </c>
      <c r="J198" s="1180"/>
      <c r="K198" s="1180"/>
      <c r="L198" s="1180">
        <f>SUM(L196:L197)</f>
        <v>2210</v>
      </c>
      <c r="M198" s="1180"/>
      <c r="N198" s="1202"/>
    </row>
    <row r="199" spans="1:16" s="3" customFormat="1" ht="16.5" x14ac:dyDescent="0.3">
      <c r="A199" s="184">
        <v>189</v>
      </c>
      <c r="B199" s="1181"/>
      <c r="C199" s="1182">
        <v>36</v>
      </c>
      <c r="D199" s="1183" t="s">
        <v>68</v>
      </c>
      <c r="E199" s="1175">
        <v>9486</v>
      </c>
      <c r="F199" s="1175">
        <v>9000</v>
      </c>
      <c r="G199" s="1176">
        <v>7884</v>
      </c>
      <c r="H199" s="1177" t="s">
        <v>23</v>
      </c>
      <c r="I199" s="1170"/>
      <c r="J199" s="1184"/>
      <c r="K199" s="1184"/>
      <c r="L199" s="1184"/>
      <c r="M199" s="1184"/>
      <c r="N199" s="1186"/>
      <c r="P199" s="7"/>
    </row>
    <row r="200" spans="1:16" s="431" customFormat="1" x14ac:dyDescent="0.3">
      <c r="A200" s="184">
        <v>190</v>
      </c>
      <c r="B200" s="1196"/>
      <c r="C200" s="1197"/>
      <c r="D200" s="1190" t="s">
        <v>311</v>
      </c>
      <c r="E200" s="1198"/>
      <c r="F200" s="1198"/>
      <c r="G200" s="1199"/>
      <c r="H200" s="1200"/>
      <c r="I200" s="1191">
        <f>SUM(J200:N200)</f>
        <v>7650</v>
      </c>
      <c r="J200" s="1192"/>
      <c r="K200" s="1192"/>
      <c r="L200" s="1192">
        <v>7650</v>
      </c>
      <c r="M200" s="1192"/>
      <c r="N200" s="1201"/>
    </row>
    <row r="201" spans="1:16" s="431" customFormat="1" x14ac:dyDescent="0.3">
      <c r="A201" s="184">
        <v>191</v>
      </c>
      <c r="B201" s="1196"/>
      <c r="C201" s="1197"/>
      <c r="D201" s="1163" t="s">
        <v>1064</v>
      </c>
      <c r="E201" s="1198"/>
      <c r="F201" s="1198"/>
      <c r="G201" s="1199"/>
      <c r="H201" s="1200"/>
      <c r="I201" s="1170">
        <f t="shared" ref="I201:I203" si="37">SUM(J201:N201)</f>
        <v>7650</v>
      </c>
      <c r="J201" s="1192"/>
      <c r="K201" s="1192"/>
      <c r="L201" s="1180">
        <f>7650-3000</f>
        <v>4650</v>
      </c>
      <c r="M201" s="1180"/>
      <c r="N201" s="1202">
        <v>3000</v>
      </c>
    </row>
    <row r="202" spans="1:16" s="431" customFormat="1" x14ac:dyDescent="0.3">
      <c r="A202" s="184">
        <v>192</v>
      </c>
      <c r="B202" s="1196"/>
      <c r="C202" s="1197"/>
      <c r="D202" s="1174" t="s">
        <v>990</v>
      </c>
      <c r="E202" s="1198"/>
      <c r="F202" s="1198"/>
      <c r="G202" s="1199"/>
      <c r="H202" s="1200"/>
      <c r="I202" s="1170">
        <f t="shared" si="37"/>
        <v>0</v>
      </c>
      <c r="J202" s="1180"/>
      <c r="K202" s="1180"/>
      <c r="L202" s="1185">
        <v>3000</v>
      </c>
      <c r="M202" s="1185"/>
      <c r="N202" s="1195">
        <v>-3000</v>
      </c>
    </row>
    <row r="203" spans="1:16" s="431" customFormat="1" x14ac:dyDescent="0.3">
      <c r="A203" s="184">
        <v>193</v>
      </c>
      <c r="B203" s="1196"/>
      <c r="C203" s="1197"/>
      <c r="D203" s="1163" t="s">
        <v>1116</v>
      </c>
      <c r="E203" s="1198"/>
      <c r="F203" s="1198"/>
      <c r="G203" s="1199"/>
      <c r="H203" s="1200"/>
      <c r="I203" s="1170">
        <f t="shared" si="37"/>
        <v>7650</v>
      </c>
      <c r="J203" s="1180"/>
      <c r="K203" s="1180"/>
      <c r="L203" s="1180">
        <f>SUM(L201:L202)</f>
        <v>7650</v>
      </c>
      <c r="M203" s="1180"/>
      <c r="N203" s="1202">
        <f>SUM(N201:N202)</f>
        <v>0</v>
      </c>
    </row>
    <row r="204" spans="1:16" s="7" customFormat="1" ht="16.5" x14ac:dyDescent="0.3">
      <c r="A204" s="184">
        <v>194</v>
      </c>
      <c r="B204" s="1172"/>
      <c r="C204" s="1182">
        <v>37</v>
      </c>
      <c r="D204" s="1163" t="s">
        <v>440</v>
      </c>
      <c r="E204" s="1175">
        <v>41004</v>
      </c>
      <c r="F204" s="1175">
        <v>52450</v>
      </c>
      <c r="G204" s="1176">
        <v>43834</v>
      </c>
      <c r="H204" s="1177" t="s">
        <v>23</v>
      </c>
      <c r="I204" s="1170"/>
      <c r="J204" s="1184"/>
      <c r="K204" s="1184"/>
      <c r="L204" s="1184"/>
      <c r="M204" s="1184"/>
      <c r="N204" s="1186"/>
    </row>
    <row r="205" spans="1:16" s="431" customFormat="1" x14ac:dyDescent="0.3">
      <c r="A205" s="184">
        <v>195</v>
      </c>
      <c r="B205" s="1196"/>
      <c r="C205" s="1197"/>
      <c r="D205" s="1190" t="s">
        <v>311</v>
      </c>
      <c r="E205" s="1198"/>
      <c r="F205" s="1198"/>
      <c r="G205" s="1199"/>
      <c r="H205" s="1200"/>
      <c r="I205" s="1191">
        <f>SUM(J205:N205)</f>
        <v>46997</v>
      </c>
      <c r="J205" s="1192"/>
      <c r="K205" s="1192"/>
      <c r="L205" s="1192">
        <v>46997</v>
      </c>
      <c r="M205" s="1192"/>
      <c r="N205" s="1201"/>
    </row>
    <row r="206" spans="1:16" s="431" customFormat="1" x14ac:dyDescent="0.3">
      <c r="A206" s="184">
        <v>196</v>
      </c>
      <c r="B206" s="1196"/>
      <c r="C206" s="1197"/>
      <c r="D206" s="1163" t="s">
        <v>1064</v>
      </c>
      <c r="E206" s="1198"/>
      <c r="F206" s="1198"/>
      <c r="G206" s="1199"/>
      <c r="H206" s="1200"/>
      <c r="I206" s="1170">
        <f t="shared" ref="I206:I208" si="38">SUM(J206:N206)</f>
        <v>56997</v>
      </c>
      <c r="J206" s="1192"/>
      <c r="K206" s="1192"/>
      <c r="L206" s="1180">
        <v>56997</v>
      </c>
      <c r="M206" s="1192"/>
      <c r="N206" s="1201"/>
    </row>
    <row r="207" spans="1:16" s="431" customFormat="1" x14ac:dyDescent="0.3">
      <c r="A207" s="184">
        <v>197</v>
      </c>
      <c r="B207" s="1196"/>
      <c r="C207" s="1197"/>
      <c r="D207" s="1174" t="s">
        <v>1012</v>
      </c>
      <c r="E207" s="1198"/>
      <c r="F207" s="1198"/>
      <c r="G207" s="1199"/>
      <c r="H207" s="1200"/>
      <c r="I207" s="1178">
        <f t="shared" si="38"/>
        <v>0</v>
      </c>
      <c r="J207" s="1185"/>
      <c r="K207" s="1185"/>
      <c r="L207" s="1185"/>
      <c r="M207" s="1185"/>
      <c r="N207" s="1195"/>
    </row>
    <row r="208" spans="1:16" s="431" customFormat="1" x14ac:dyDescent="0.3">
      <c r="A208" s="184">
        <v>198</v>
      </c>
      <c r="B208" s="1196"/>
      <c r="C208" s="1197"/>
      <c r="D208" s="1163" t="s">
        <v>1116</v>
      </c>
      <c r="E208" s="1198"/>
      <c r="F208" s="1198"/>
      <c r="G208" s="1199"/>
      <c r="H208" s="1200"/>
      <c r="I208" s="1170">
        <f t="shared" si="38"/>
        <v>56997</v>
      </c>
      <c r="J208" s="1180"/>
      <c r="K208" s="1180"/>
      <c r="L208" s="1180">
        <f>SUM(L206:L207)</f>
        <v>56997</v>
      </c>
      <c r="M208" s="1180"/>
      <c r="N208" s="1202"/>
    </row>
    <row r="209" spans="1:16" s="3" customFormat="1" ht="16.5" x14ac:dyDescent="0.3">
      <c r="A209" s="184">
        <v>199</v>
      </c>
      <c r="B209" s="1181"/>
      <c r="C209" s="1182">
        <v>38</v>
      </c>
      <c r="D209" s="1183" t="s">
        <v>69</v>
      </c>
      <c r="E209" s="1175">
        <v>4781</v>
      </c>
      <c r="F209" s="1175">
        <v>2500</v>
      </c>
      <c r="G209" s="1176">
        <v>2920</v>
      </c>
      <c r="H209" s="1177" t="s">
        <v>23</v>
      </c>
      <c r="I209" s="1238"/>
      <c r="J209" s="1209"/>
      <c r="K209" s="1209"/>
      <c r="L209" s="1209"/>
      <c r="M209" s="1209"/>
      <c r="N209" s="1210"/>
      <c r="O209" s="7"/>
      <c r="P209" s="7"/>
    </row>
    <row r="210" spans="1:16" s="431" customFormat="1" x14ac:dyDescent="0.3">
      <c r="A210" s="184">
        <v>200</v>
      </c>
      <c r="B210" s="1196"/>
      <c r="C210" s="1197"/>
      <c r="D210" s="1190" t="s">
        <v>311</v>
      </c>
      <c r="E210" s="1198"/>
      <c r="F210" s="1198"/>
      <c r="G210" s="1199"/>
      <c r="H210" s="1200"/>
      <c r="I210" s="1191">
        <f>SUM(J210:N210)</f>
        <v>2125</v>
      </c>
      <c r="J210" s="1192"/>
      <c r="K210" s="1192"/>
      <c r="L210" s="1192">
        <v>2125</v>
      </c>
      <c r="M210" s="1192"/>
      <c r="N210" s="1201"/>
    </row>
    <row r="211" spans="1:16" s="431" customFormat="1" x14ac:dyDescent="0.3">
      <c r="A211" s="184">
        <v>201</v>
      </c>
      <c r="B211" s="1196"/>
      <c r="C211" s="1197"/>
      <c r="D211" s="1163" t="s">
        <v>1064</v>
      </c>
      <c r="E211" s="1198"/>
      <c r="F211" s="1198"/>
      <c r="G211" s="1199"/>
      <c r="H211" s="1200"/>
      <c r="I211" s="1170">
        <f t="shared" ref="I211:I213" si="39">SUM(J211:N211)</f>
        <v>2125</v>
      </c>
      <c r="J211" s="1192"/>
      <c r="K211" s="1192"/>
      <c r="L211" s="1180">
        <v>2125</v>
      </c>
      <c r="M211" s="1192"/>
      <c r="N211" s="1201"/>
    </row>
    <row r="212" spans="1:16" s="431" customFormat="1" x14ac:dyDescent="0.3">
      <c r="A212" s="184">
        <v>202</v>
      </c>
      <c r="B212" s="1196"/>
      <c r="C212" s="1197"/>
      <c r="D212" s="1174" t="s">
        <v>999</v>
      </c>
      <c r="E212" s="1198"/>
      <c r="F212" s="1198"/>
      <c r="G212" s="1199"/>
      <c r="H212" s="1200"/>
      <c r="I212" s="1178">
        <f t="shared" si="39"/>
        <v>0</v>
      </c>
      <c r="J212" s="1185"/>
      <c r="K212" s="1185"/>
      <c r="L212" s="1185"/>
      <c r="M212" s="1185"/>
      <c r="N212" s="1195"/>
    </row>
    <row r="213" spans="1:16" s="431" customFormat="1" x14ac:dyDescent="0.3">
      <c r="A213" s="184">
        <v>203</v>
      </c>
      <c r="B213" s="1196"/>
      <c r="C213" s="1197"/>
      <c r="D213" s="1163" t="s">
        <v>1116</v>
      </c>
      <c r="E213" s="1198"/>
      <c r="F213" s="1198"/>
      <c r="G213" s="1199"/>
      <c r="H213" s="1200"/>
      <c r="I213" s="1170">
        <f t="shared" si="39"/>
        <v>2125</v>
      </c>
      <c r="J213" s="1180"/>
      <c r="K213" s="1180"/>
      <c r="L213" s="1180">
        <f>SUM(L211:L212)</f>
        <v>2125</v>
      </c>
      <c r="M213" s="1180"/>
      <c r="N213" s="1202"/>
    </row>
    <row r="214" spans="1:16" s="506" customFormat="1" x14ac:dyDescent="0.35">
      <c r="A214" s="184">
        <v>204</v>
      </c>
      <c r="B214" s="1253"/>
      <c r="C214" s="1182">
        <v>39</v>
      </c>
      <c r="D214" s="1183" t="s">
        <v>11</v>
      </c>
      <c r="E214" s="1175">
        <v>37560</v>
      </c>
      <c r="F214" s="1175">
        <v>38100</v>
      </c>
      <c r="G214" s="1176">
        <v>38100</v>
      </c>
      <c r="H214" s="1177" t="s">
        <v>24</v>
      </c>
      <c r="I214" s="1238"/>
      <c r="J214" s="1209"/>
      <c r="K214" s="1209"/>
      <c r="L214" s="1209"/>
      <c r="M214" s="1209"/>
      <c r="N214" s="1210"/>
      <c r="O214" s="507"/>
      <c r="P214" s="507"/>
    </row>
    <row r="215" spans="1:16" s="431" customFormat="1" x14ac:dyDescent="0.3">
      <c r="A215" s="184">
        <v>205</v>
      </c>
      <c r="B215" s="1196"/>
      <c r="C215" s="1197"/>
      <c r="D215" s="1190" t="s">
        <v>311</v>
      </c>
      <c r="E215" s="1198"/>
      <c r="F215" s="1198"/>
      <c r="G215" s="1199"/>
      <c r="H215" s="1200"/>
      <c r="I215" s="1191">
        <f>SUM(J215:N215)</f>
        <v>38100</v>
      </c>
      <c r="J215" s="1192"/>
      <c r="K215" s="1192"/>
      <c r="L215" s="1192">
        <v>38100</v>
      </c>
      <c r="M215" s="1192"/>
      <c r="N215" s="1201"/>
    </row>
    <row r="216" spans="1:16" s="431" customFormat="1" x14ac:dyDescent="0.3">
      <c r="A216" s="184">
        <v>206</v>
      </c>
      <c r="B216" s="1196"/>
      <c r="C216" s="1197"/>
      <c r="D216" s="1163" t="s">
        <v>1064</v>
      </c>
      <c r="E216" s="1198"/>
      <c r="F216" s="1198"/>
      <c r="G216" s="1199"/>
      <c r="H216" s="1200"/>
      <c r="I216" s="1170">
        <f t="shared" ref="I216:I218" si="40">SUM(J216:N216)</f>
        <v>38100</v>
      </c>
      <c r="J216" s="1192"/>
      <c r="K216" s="1192"/>
      <c r="L216" s="1180">
        <v>38100</v>
      </c>
      <c r="M216" s="1192"/>
      <c r="N216" s="1201"/>
    </row>
    <row r="217" spans="1:16" s="431" customFormat="1" x14ac:dyDescent="0.3">
      <c r="A217" s="184">
        <v>207</v>
      </c>
      <c r="B217" s="1196"/>
      <c r="C217" s="1197"/>
      <c r="D217" s="1174" t="s">
        <v>999</v>
      </c>
      <c r="E217" s="1198"/>
      <c r="F217" s="1198"/>
      <c r="G217" s="1199"/>
      <c r="H217" s="1200"/>
      <c r="I217" s="1178">
        <f t="shared" si="40"/>
        <v>0</v>
      </c>
      <c r="J217" s="1185"/>
      <c r="K217" s="1185"/>
      <c r="L217" s="1185"/>
      <c r="M217" s="1185"/>
      <c r="N217" s="1195"/>
    </row>
    <row r="218" spans="1:16" s="431" customFormat="1" x14ac:dyDescent="0.3">
      <c r="A218" s="184">
        <v>208</v>
      </c>
      <c r="B218" s="1196"/>
      <c r="C218" s="1197"/>
      <c r="D218" s="1163" t="s">
        <v>1116</v>
      </c>
      <c r="E218" s="1198"/>
      <c r="F218" s="1198"/>
      <c r="G218" s="1199"/>
      <c r="H218" s="1200"/>
      <c r="I218" s="1170">
        <f t="shared" si="40"/>
        <v>38100</v>
      </c>
      <c r="J218" s="1180"/>
      <c r="K218" s="1180"/>
      <c r="L218" s="1180">
        <f>SUM(L216:L217)</f>
        <v>38100</v>
      </c>
      <c r="M218" s="1180"/>
      <c r="N218" s="1202"/>
    </row>
    <row r="219" spans="1:16" s="506" customFormat="1" x14ac:dyDescent="0.35">
      <c r="A219" s="184">
        <v>209</v>
      </c>
      <c r="B219" s="1253"/>
      <c r="C219" s="1182">
        <v>40</v>
      </c>
      <c r="D219" s="1183" t="s">
        <v>70</v>
      </c>
      <c r="E219" s="1175">
        <v>4582</v>
      </c>
      <c r="F219" s="1175">
        <v>4000</v>
      </c>
      <c r="G219" s="1176">
        <v>4366</v>
      </c>
      <c r="H219" s="1177" t="s">
        <v>24</v>
      </c>
      <c r="I219" s="1238"/>
      <c r="J219" s="1209"/>
      <c r="K219" s="1209"/>
      <c r="L219" s="1209"/>
      <c r="M219" s="1209"/>
      <c r="N219" s="1210"/>
      <c r="O219" s="507"/>
      <c r="P219" s="507"/>
    </row>
    <row r="220" spans="1:16" s="431" customFormat="1" x14ac:dyDescent="0.3">
      <c r="A220" s="184">
        <v>210</v>
      </c>
      <c r="B220" s="1196"/>
      <c r="C220" s="1197"/>
      <c r="D220" s="1190" t="s">
        <v>311</v>
      </c>
      <c r="E220" s="1198"/>
      <c r="F220" s="1198"/>
      <c r="G220" s="1199"/>
      <c r="H220" s="1200"/>
      <c r="I220" s="1191">
        <f>SUM(J220:N220)</f>
        <v>4250</v>
      </c>
      <c r="J220" s="1192"/>
      <c r="K220" s="1192"/>
      <c r="L220" s="1192">
        <v>4250</v>
      </c>
      <c r="M220" s="1192"/>
      <c r="N220" s="1201"/>
    </row>
    <row r="221" spans="1:16" s="431" customFormat="1" x14ac:dyDescent="0.3">
      <c r="A221" s="184">
        <v>211</v>
      </c>
      <c r="B221" s="1196"/>
      <c r="C221" s="1197"/>
      <c r="D221" s="1163" t="s">
        <v>1064</v>
      </c>
      <c r="E221" s="1198"/>
      <c r="F221" s="1198"/>
      <c r="G221" s="1199"/>
      <c r="H221" s="1200"/>
      <c r="I221" s="1170">
        <f t="shared" ref="I221:I223" si="41">SUM(J221:N221)</f>
        <v>4250</v>
      </c>
      <c r="J221" s="1192"/>
      <c r="K221" s="1192"/>
      <c r="L221" s="1180">
        <v>4250</v>
      </c>
      <c r="M221" s="1192"/>
      <c r="N221" s="1201"/>
    </row>
    <row r="222" spans="1:16" s="431" customFormat="1" x14ac:dyDescent="0.3">
      <c r="A222" s="184">
        <v>212</v>
      </c>
      <c r="B222" s="1196"/>
      <c r="C222" s="1197"/>
      <c r="D222" s="1174" t="s">
        <v>999</v>
      </c>
      <c r="E222" s="1198"/>
      <c r="F222" s="1198"/>
      <c r="G222" s="1199"/>
      <c r="H222" s="1200"/>
      <c r="I222" s="1178">
        <f t="shared" si="41"/>
        <v>0</v>
      </c>
      <c r="J222" s="1185"/>
      <c r="K222" s="1185"/>
      <c r="L222" s="1185"/>
      <c r="M222" s="1185"/>
      <c r="N222" s="1195"/>
    </row>
    <row r="223" spans="1:16" s="431" customFormat="1" x14ac:dyDescent="0.3">
      <c r="A223" s="184">
        <v>213</v>
      </c>
      <c r="B223" s="1196"/>
      <c r="C223" s="1197"/>
      <c r="D223" s="1163" t="s">
        <v>1116</v>
      </c>
      <c r="E223" s="1198"/>
      <c r="F223" s="1198"/>
      <c r="G223" s="1199"/>
      <c r="H223" s="1200"/>
      <c r="I223" s="1170">
        <f t="shared" si="41"/>
        <v>4250</v>
      </c>
      <c r="J223" s="1180"/>
      <c r="K223" s="1180"/>
      <c r="L223" s="1180">
        <f>SUM(L221:L222)</f>
        <v>4250</v>
      </c>
      <c r="M223" s="1180"/>
      <c r="N223" s="1202"/>
    </row>
    <row r="224" spans="1:16" s="506" customFormat="1" x14ac:dyDescent="0.35">
      <c r="A224" s="184">
        <v>214</v>
      </c>
      <c r="B224" s="1253"/>
      <c r="C224" s="1182">
        <v>41</v>
      </c>
      <c r="D224" s="1183" t="s">
        <v>71</v>
      </c>
      <c r="E224" s="1175">
        <f>SUM(E229,E234,E239,E244)</f>
        <v>6198</v>
      </c>
      <c r="F224" s="1175">
        <f>SUM(F229,F234,F239,F244)</f>
        <v>6100</v>
      </c>
      <c r="G224" s="1176">
        <f>SUM(G229,G234,G239,G244)</f>
        <v>6240</v>
      </c>
      <c r="H224" s="1177" t="s">
        <v>24</v>
      </c>
      <c r="I224" s="1238"/>
      <c r="J224" s="1209"/>
      <c r="K224" s="1209"/>
      <c r="L224" s="1209"/>
      <c r="M224" s="1209"/>
      <c r="N224" s="1210"/>
      <c r="O224" s="507"/>
      <c r="P224" s="507"/>
    </row>
    <row r="225" spans="1:16" s="431" customFormat="1" x14ac:dyDescent="0.3">
      <c r="A225" s="184">
        <v>215</v>
      </c>
      <c r="B225" s="1196"/>
      <c r="C225" s="1197"/>
      <c r="D225" s="1190" t="s">
        <v>311</v>
      </c>
      <c r="E225" s="1198"/>
      <c r="F225" s="1198"/>
      <c r="G225" s="1199"/>
      <c r="H225" s="1200"/>
      <c r="I225" s="1191">
        <f>SUM(J225:N225)</f>
        <v>9435</v>
      </c>
      <c r="J225" s="1243">
        <f t="shared" ref="J225:N226" si="42">SUM(J230,J235,J240,J245)</f>
        <v>0</v>
      </c>
      <c r="K225" s="1243">
        <f t="shared" si="42"/>
        <v>0</v>
      </c>
      <c r="L225" s="1243">
        <f t="shared" si="42"/>
        <v>425</v>
      </c>
      <c r="M225" s="1243">
        <f t="shared" si="42"/>
        <v>0</v>
      </c>
      <c r="N225" s="1201">
        <f t="shared" si="42"/>
        <v>9010</v>
      </c>
    </row>
    <row r="226" spans="1:16" s="431" customFormat="1" x14ac:dyDescent="0.3">
      <c r="A226" s="184">
        <v>216</v>
      </c>
      <c r="B226" s="1196"/>
      <c r="C226" s="1197"/>
      <c r="D226" s="1163" t="s">
        <v>1064</v>
      </c>
      <c r="E226" s="1198"/>
      <c r="F226" s="1198"/>
      <c r="G226" s="1199"/>
      <c r="H226" s="1200"/>
      <c r="I226" s="1170">
        <f t="shared" ref="I226:I228" si="43">SUM(J226:N226)</f>
        <v>0</v>
      </c>
      <c r="J226" s="1244">
        <f t="shared" si="42"/>
        <v>0</v>
      </c>
      <c r="K226" s="1244">
        <f t="shared" si="42"/>
        <v>0</v>
      </c>
      <c r="L226" s="1244">
        <f t="shared" si="42"/>
        <v>0</v>
      </c>
      <c r="M226" s="1244">
        <f t="shared" si="42"/>
        <v>0</v>
      </c>
      <c r="N226" s="1202">
        <f t="shared" si="42"/>
        <v>0</v>
      </c>
    </row>
    <row r="227" spans="1:16" s="431" customFormat="1" x14ac:dyDescent="0.3">
      <c r="A227" s="184">
        <v>217</v>
      </c>
      <c r="B227" s="1196"/>
      <c r="C227" s="1197"/>
      <c r="D227" s="1174" t="s">
        <v>999</v>
      </c>
      <c r="E227" s="1198"/>
      <c r="F227" s="1198"/>
      <c r="G227" s="1199"/>
      <c r="H227" s="1200"/>
      <c r="I227" s="1178">
        <f t="shared" si="43"/>
        <v>0</v>
      </c>
      <c r="J227" s="1209">
        <f>J232+J237+J242+J247</f>
        <v>0</v>
      </c>
      <c r="K227" s="1209">
        <f t="shared" ref="K227:N227" si="44">K232+K237+K242+K247</f>
        <v>0</v>
      </c>
      <c r="L227" s="1209">
        <f t="shared" si="44"/>
        <v>0</v>
      </c>
      <c r="M227" s="1209">
        <f t="shared" si="44"/>
        <v>0</v>
      </c>
      <c r="N227" s="1210">
        <f t="shared" si="44"/>
        <v>0</v>
      </c>
    </row>
    <row r="228" spans="1:16" s="431" customFormat="1" x14ac:dyDescent="0.3">
      <c r="A228" s="184">
        <v>218</v>
      </c>
      <c r="B228" s="1196"/>
      <c r="C228" s="1197"/>
      <c r="D228" s="1163" t="s">
        <v>1116</v>
      </c>
      <c r="E228" s="1198"/>
      <c r="F228" s="1198"/>
      <c r="G228" s="1199"/>
      <c r="H228" s="1200"/>
      <c r="I228" s="1170">
        <f t="shared" si="43"/>
        <v>0</v>
      </c>
      <c r="J228" s="1244">
        <f t="shared" ref="J228:K228" si="45">SUM(J225:J227)</f>
        <v>0</v>
      </c>
      <c r="K228" s="1244">
        <f t="shared" si="45"/>
        <v>0</v>
      </c>
      <c r="L228" s="1244">
        <f>SUM(L226:L227)</f>
        <v>0</v>
      </c>
      <c r="M228" s="1244">
        <f>SUM(M226:M227)</f>
        <v>0</v>
      </c>
      <c r="N228" s="1245">
        <f>SUM(N226:N227)</f>
        <v>0</v>
      </c>
    </row>
    <row r="229" spans="1:16" s="207" customFormat="1" ht="15" x14ac:dyDescent="0.3">
      <c r="A229" s="184">
        <v>219</v>
      </c>
      <c r="B229" s="1203"/>
      <c r="C229" s="1173"/>
      <c r="D229" s="1205" t="s">
        <v>72</v>
      </c>
      <c r="E229" s="1175"/>
      <c r="F229" s="1206"/>
      <c r="G229" s="1207"/>
      <c r="H229" s="1208"/>
      <c r="I229" s="1225"/>
      <c r="J229" s="1209"/>
      <c r="K229" s="1209"/>
      <c r="L229" s="1209"/>
      <c r="M229" s="1209"/>
      <c r="N229" s="1195"/>
      <c r="P229" s="208"/>
    </row>
    <row r="230" spans="1:16" s="434" customFormat="1" ht="15" x14ac:dyDescent="0.3">
      <c r="A230" s="184">
        <v>220</v>
      </c>
      <c r="B230" s="1226"/>
      <c r="C230" s="1197"/>
      <c r="D230" s="1247" t="s">
        <v>311</v>
      </c>
      <c r="E230" s="1198"/>
      <c r="F230" s="1228"/>
      <c r="G230" s="1229"/>
      <c r="H230" s="1230"/>
      <c r="I230" s="1231">
        <f>SUM(J230:N230)</f>
        <v>4250</v>
      </c>
      <c r="J230" s="1232"/>
      <c r="K230" s="1232"/>
      <c r="L230" s="1232"/>
      <c r="M230" s="1232"/>
      <c r="N230" s="1233">
        <v>4250</v>
      </c>
      <c r="P230" s="435"/>
    </row>
    <row r="231" spans="1:16" s="434" customFormat="1" ht="15" x14ac:dyDescent="0.3">
      <c r="A231" s="184">
        <v>221</v>
      </c>
      <c r="B231" s="1226"/>
      <c r="C231" s="1197"/>
      <c r="D231" s="1234" t="s">
        <v>1064</v>
      </c>
      <c r="E231" s="1198"/>
      <c r="F231" s="1228"/>
      <c r="G231" s="1229"/>
      <c r="H231" s="1230"/>
      <c r="I231" s="1225">
        <f t="shared" ref="I231:I233" si="46">SUM(J231:N231)</f>
        <v>0</v>
      </c>
      <c r="J231" s="1232"/>
      <c r="K231" s="1232"/>
      <c r="L231" s="1232"/>
      <c r="M231" s="1232"/>
      <c r="N231" s="1235">
        <v>0</v>
      </c>
      <c r="P231" s="435"/>
    </row>
    <row r="232" spans="1:16" s="434" customFormat="1" ht="15" x14ac:dyDescent="0.3">
      <c r="A232" s="184">
        <v>222</v>
      </c>
      <c r="B232" s="1226"/>
      <c r="C232" s="1197"/>
      <c r="D232" s="1236" t="s">
        <v>990</v>
      </c>
      <c r="E232" s="1198"/>
      <c r="F232" s="1228"/>
      <c r="G232" s="1229"/>
      <c r="H232" s="1230"/>
      <c r="I232" s="1178">
        <f t="shared" si="46"/>
        <v>0</v>
      </c>
      <c r="J232" s="1185"/>
      <c r="K232" s="1185"/>
      <c r="L232" s="1185"/>
      <c r="M232" s="1185"/>
      <c r="N232" s="1195"/>
      <c r="P232" s="435"/>
    </row>
    <row r="233" spans="1:16" s="434" customFormat="1" ht="15" x14ac:dyDescent="0.3">
      <c r="A233" s="184">
        <v>223</v>
      </c>
      <c r="B233" s="1226"/>
      <c r="C233" s="1197"/>
      <c r="D233" s="1234" t="s">
        <v>1116</v>
      </c>
      <c r="E233" s="1198"/>
      <c r="F233" s="1228"/>
      <c r="G233" s="1229"/>
      <c r="H233" s="1230"/>
      <c r="I233" s="1225">
        <f t="shared" si="46"/>
        <v>0</v>
      </c>
      <c r="J233" s="1237"/>
      <c r="K233" s="1237"/>
      <c r="L233" s="1237"/>
      <c r="M233" s="1237"/>
      <c r="N233" s="1235">
        <f>SUM(N231:N232)</f>
        <v>0</v>
      </c>
      <c r="P233" s="435"/>
    </row>
    <row r="234" spans="1:16" s="207" customFormat="1" ht="15" x14ac:dyDescent="0.3">
      <c r="A234" s="184">
        <v>224</v>
      </c>
      <c r="B234" s="1203"/>
      <c r="C234" s="1173"/>
      <c r="D234" s="1205" t="s">
        <v>73</v>
      </c>
      <c r="E234" s="1206">
        <v>5098</v>
      </c>
      <c r="F234" s="1206">
        <v>5000</v>
      </c>
      <c r="G234" s="1207">
        <v>5140</v>
      </c>
      <c r="H234" s="1208"/>
      <c r="I234" s="1238"/>
      <c r="J234" s="1209"/>
      <c r="K234" s="1209"/>
      <c r="L234" s="1209"/>
      <c r="M234" s="1209"/>
      <c r="N234" s="1210"/>
      <c r="P234" s="208"/>
    </row>
    <row r="235" spans="1:16" s="434" customFormat="1" ht="15" x14ac:dyDescent="0.3">
      <c r="A235" s="184">
        <v>225</v>
      </c>
      <c r="B235" s="1226"/>
      <c r="C235" s="1197"/>
      <c r="D235" s="1247" t="s">
        <v>311</v>
      </c>
      <c r="E235" s="1228"/>
      <c r="F235" s="1228"/>
      <c r="G235" s="1229"/>
      <c r="H235" s="1230"/>
      <c r="I235" s="1231">
        <f>SUM(J235:N235)</f>
        <v>4250</v>
      </c>
      <c r="J235" s="1232"/>
      <c r="K235" s="1232"/>
      <c r="L235" s="1232"/>
      <c r="M235" s="1232"/>
      <c r="N235" s="1233">
        <v>4250</v>
      </c>
      <c r="P235" s="435"/>
    </row>
    <row r="236" spans="1:16" s="434" customFormat="1" ht="15" x14ac:dyDescent="0.3">
      <c r="A236" s="184">
        <v>226</v>
      </c>
      <c r="B236" s="1226"/>
      <c r="C236" s="1197"/>
      <c r="D236" s="1234" t="s">
        <v>1064</v>
      </c>
      <c r="E236" s="1228"/>
      <c r="F236" s="1228"/>
      <c r="G236" s="1229"/>
      <c r="H236" s="1230"/>
      <c r="I236" s="1225">
        <f t="shared" ref="I236:I238" si="47">SUM(J236:N236)</f>
        <v>0</v>
      </c>
      <c r="J236" s="1232"/>
      <c r="K236" s="1232"/>
      <c r="L236" s="1232"/>
      <c r="M236" s="1232"/>
      <c r="N236" s="1235">
        <v>0</v>
      </c>
      <c r="P236" s="435"/>
    </row>
    <row r="237" spans="1:16" s="434" customFormat="1" ht="15" x14ac:dyDescent="0.3">
      <c r="A237" s="184">
        <v>227</v>
      </c>
      <c r="B237" s="1226"/>
      <c r="C237" s="1197"/>
      <c r="D237" s="1236" t="s">
        <v>999</v>
      </c>
      <c r="E237" s="1228"/>
      <c r="F237" s="1228"/>
      <c r="G237" s="1229"/>
      <c r="H237" s="1230"/>
      <c r="I237" s="1178">
        <f t="shared" si="47"/>
        <v>0</v>
      </c>
      <c r="J237" s="1185"/>
      <c r="K237" s="1185"/>
      <c r="L237" s="1185"/>
      <c r="M237" s="1185"/>
      <c r="N237" s="1195"/>
      <c r="P237" s="435"/>
    </row>
    <row r="238" spans="1:16" s="434" customFormat="1" ht="15" x14ac:dyDescent="0.3">
      <c r="A238" s="184">
        <v>228</v>
      </c>
      <c r="B238" s="1226"/>
      <c r="C238" s="1197"/>
      <c r="D238" s="1234" t="s">
        <v>1116</v>
      </c>
      <c r="E238" s="1228"/>
      <c r="F238" s="1228"/>
      <c r="G238" s="1229"/>
      <c r="H238" s="1230"/>
      <c r="I238" s="1225">
        <f t="shared" si="47"/>
        <v>0</v>
      </c>
      <c r="J238" s="1237"/>
      <c r="K238" s="1237"/>
      <c r="L238" s="1237"/>
      <c r="M238" s="1237"/>
      <c r="N238" s="1235">
        <f>SUM(N236:N237)</f>
        <v>0</v>
      </c>
      <c r="P238" s="435"/>
    </row>
    <row r="239" spans="1:16" s="207" customFormat="1" ht="15" x14ac:dyDescent="0.3">
      <c r="A239" s="184">
        <v>229</v>
      </c>
      <c r="B239" s="1203"/>
      <c r="C239" s="1173"/>
      <c r="D239" s="1205" t="s">
        <v>834</v>
      </c>
      <c r="E239" s="1206">
        <v>500</v>
      </c>
      <c r="F239" s="1206">
        <v>500</v>
      </c>
      <c r="G239" s="1207">
        <v>500</v>
      </c>
      <c r="H239" s="1208"/>
      <c r="I239" s="1238"/>
      <c r="J239" s="1209"/>
      <c r="K239" s="1209"/>
      <c r="L239" s="1209"/>
      <c r="M239" s="1209"/>
      <c r="N239" s="1210"/>
      <c r="P239" s="208"/>
    </row>
    <row r="240" spans="1:16" s="434" customFormat="1" ht="15" x14ac:dyDescent="0.3">
      <c r="A240" s="184">
        <v>230</v>
      </c>
      <c r="B240" s="1226"/>
      <c r="C240" s="1197"/>
      <c r="D240" s="1247" t="s">
        <v>311</v>
      </c>
      <c r="E240" s="1228"/>
      <c r="F240" s="1228"/>
      <c r="G240" s="1229"/>
      <c r="H240" s="1230"/>
      <c r="I240" s="1231">
        <f>SUM(J240:N240)</f>
        <v>425</v>
      </c>
      <c r="J240" s="1232"/>
      <c r="K240" s="1232"/>
      <c r="L240" s="1232">
        <v>425</v>
      </c>
      <c r="M240" s="1232"/>
      <c r="N240" s="1233"/>
      <c r="P240" s="435"/>
    </row>
    <row r="241" spans="1:16" s="434" customFormat="1" ht="15" x14ac:dyDescent="0.3">
      <c r="A241" s="184">
        <v>231</v>
      </c>
      <c r="B241" s="1226"/>
      <c r="C241" s="1197"/>
      <c r="D241" s="1234" t="s">
        <v>1064</v>
      </c>
      <c r="E241" s="1228"/>
      <c r="F241" s="1228"/>
      <c r="G241" s="1229"/>
      <c r="H241" s="1230"/>
      <c r="I241" s="1225">
        <f>SUM(J241:N241)</f>
        <v>0</v>
      </c>
      <c r="J241" s="1232"/>
      <c r="K241" s="1232"/>
      <c r="L241" s="1237">
        <f>425-425</f>
        <v>0</v>
      </c>
      <c r="M241" s="1232"/>
      <c r="N241" s="1233"/>
      <c r="P241" s="435"/>
    </row>
    <row r="242" spans="1:16" s="434" customFormat="1" ht="15" x14ac:dyDescent="0.3">
      <c r="A242" s="184">
        <v>232</v>
      </c>
      <c r="B242" s="1226"/>
      <c r="C242" s="1197"/>
      <c r="D242" s="1236" t="s">
        <v>999</v>
      </c>
      <c r="E242" s="1228"/>
      <c r="F242" s="1228"/>
      <c r="G242" s="1229"/>
      <c r="H242" s="1230"/>
      <c r="I242" s="1178">
        <f>SUM(J242:N242)</f>
        <v>0</v>
      </c>
      <c r="J242" s="1185"/>
      <c r="K242" s="1185"/>
      <c r="L242" s="1185"/>
      <c r="M242" s="1185"/>
      <c r="N242" s="1195"/>
      <c r="P242" s="435"/>
    </row>
    <row r="243" spans="1:16" s="434" customFormat="1" ht="15" x14ac:dyDescent="0.3">
      <c r="A243" s="184">
        <v>233</v>
      </c>
      <c r="B243" s="1226"/>
      <c r="C243" s="1197"/>
      <c r="D243" s="1234" t="s">
        <v>1116</v>
      </c>
      <c r="E243" s="1228"/>
      <c r="F243" s="1228"/>
      <c r="G243" s="1229"/>
      <c r="H243" s="1230"/>
      <c r="I243" s="1225">
        <f>SUM(J243:N243)</f>
        <v>0</v>
      </c>
      <c r="J243" s="1237"/>
      <c r="K243" s="1237"/>
      <c r="L243" s="1237">
        <f>SUM(L241:L242)</f>
        <v>0</v>
      </c>
      <c r="M243" s="1237"/>
      <c r="N243" s="1235"/>
      <c r="P243" s="435"/>
    </row>
    <row r="244" spans="1:16" s="207" customFormat="1" ht="15" x14ac:dyDescent="0.3">
      <c r="A244" s="184">
        <v>234</v>
      </c>
      <c r="B244" s="1203"/>
      <c r="C244" s="1173"/>
      <c r="D244" s="1205" t="s">
        <v>835</v>
      </c>
      <c r="E244" s="1206">
        <v>600</v>
      </c>
      <c r="F244" s="1206">
        <v>600</v>
      </c>
      <c r="G244" s="1207">
        <v>600</v>
      </c>
      <c r="H244" s="1208"/>
      <c r="I244" s="1238"/>
      <c r="J244" s="1209"/>
      <c r="K244" s="1209"/>
      <c r="L244" s="1209"/>
      <c r="M244" s="1209"/>
      <c r="N244" s="1210"/>
      <c r="P244" s="208"/>
    </row>
    <row r="245" spans="1:16" s="434" customFormat="1" ht="15" x14ac:dyDescent="0.3">
      <c r="A245" s="184">
        <v>235</v>
      </c>
      <c r="B245" s="1226"/>
      <c r="C245" s="1197"/>
      <c r="D245" s="1247" t="s">
        <v>311</v>
      </c>
      <c r="E245" s="1198"/>
      <c r="F245" s="1228"/>
      <c r="G245" s="1229"/>
      <c r="H245" s="1230"/>
      <c r="I245" s="1231">
        <f>SUM(J245:N245)</f>
        <v>510</v>
      </c>
      <c r="J245" s="1232"/>
      <c r="K245" s="1232"/>
      <c r="L245" s="1232"/>
      <c r="M245" s="1232"/>
      <c r="N245" s="1233">
        <v>510</v>
      </c>
      <c r="P245" s="435"/>
    </row>
    <row r="246" spans="1:16" s="434" customFormat="1" ht="15" x14ac:dyDescent="0.3">
      <c r="A246" s="184">
        <v>236</v>
      </c>
      <c r="B246" s="1226"/>
      <c r="C246" s="1197"/>
      <c r="D246" s="1234" t="s">
        <v>1064</v>
      </c>
      <c r="E246" s="1198"/>
      <c r="F246" s="1228"/>
      <c r="G246" s="1229"/>
      <c r="H246" s="1230"/>
      <c r="I246" s="1225">
        <f t="shared" ref="I246:I248" si="48">SUM(J246:N246)</f>
        <v>0</v>
      </c>
      <c r="J246" s="1232"/>
      <c r="K246" s="1232"/>
      <c r="L246" s="1232"/>
      <c r="M246" s="1232"/>
      <c r="N246" s="1235">
        <v>0</v>
      </c>
      <c r="P246" s="435"/>
    </row>
    <row r="247" spans="1:16" s="434" customFormat="1" ht="15" x14ac:dyDescent="0.3">
      <c r="A247" s="184">
        <v>237</v>
      </c>
      <c r="B247" s="1226"/>
      <c r="C247" s="1197"/>
      <c r="D247" s="1236" t="s">
        <v>990</v>
      </c>
      <c r="E247" s="1198"/>
      <c r="F247" s="1228"/>
      <c r="G247" s="1229"/>
      <c r="H247" s="1230"/>
      <c r="I247" s="1178">
        <f t="shared" si="48"/>
        <v>0</v>
      </c>
      <c r="J247" s="1185"/>
      <c r="K247" s="1185"/>
      <c r="L247" s="1185"/>
      <c r="M247" s="1185"/>
      <c r="N247" s="1195"/>
      <c r="P247" s="435"/>
    </row>
    <row r="248" spans="1:16" s="434" customFormat="1" ht="15" x14ac:dyDescent="0.3">
      <c r="A248" s="184">
        <v>238</v>
      </c>
      <c r="B248" s="1226"/>
      <c r="C248" s="1197"/>
      <c r="D248" s="1234" t="s">
        <v>1116</v>
      </c>
      <c r="E248" s="1198"/>
      <c r="F248" s="1228"/>
      <c r="G248" s="1229"/>
      <c r="H248" s="1230"/>
      <c r="I248" s="1225">
        <f t="shared" si="48"/>
        <v>0</v>
      </c>
      <c r="J248" s="1237"/>
      <c r="K248" s="1237"/>
      <c r="L248" s="1237"/>
      <c r="M248" s="1237"/>
      <c r="N248" s="1235">
        <f>SUM(N246:N247)</f>
        <v>0</v>
      </c>
      <c r="P248" s="435"/>
    </row>
    <row r="249" spans="1:16" s="506" customFormat="1" x14ac:dyDescent="0.35">
      <c r="A249" s="184">
        <v>239</v>
      </c>
      <c r="B249" s="1253"/>
      <c r="C249" s="1182">
        <v>42</v>
      </c>
      <c r="D249" s="1183" t="s">
        <v>441</v>
      </c>
      <c r="E249" s="1175">
        <f>SUM(E254,E259,E264,E269)</f>
        <v>15620</v>
      </c>
      <c r="F249" s="1175">
        <f>SUM(F254,F259,F264,F269)</f>
        <v>23600</v>
      </c>
      <c r="G249" s="1176">
        <f>SUM(G254,G259,G264,G269)</f>
        <v>13522</v>
      </c>
      <c r="H249" s="1177" t="s">
        <v>24</v>
      </c>
      <c r="I249" s="1238"/>
      <c r="J249" s="1209"/>
      <c r="K249" s="1209"/>
      <c r="L249" s="1209"/>
      <c r="M249" s="1209"/>
      <c r="N249" s="1210"/>
      <c r="O249" s="507"/>
      <c r="P249" s="507"/>
    </row>
    <row r="250" spans="1:16" s="431" customFormat="1" x14ac:dyDescent="0.3">
      <c r="A250" s="184">
        <v>240</v>
      </c>
      <c r="B250" s="1196"/>
      <c r="C250" s="1197"/>
      <c r="D250" s="1190" t="s">
        <v>311</v>
      </c>
      <c r="E250" s="1198"/>
      <c r="F250" s="1198"/>
      <c r="G250" s="1199"/>
      <c r="H250" s="1200"/>
      <c r="I250" s="1191">
        <f>SUM(J250:N250)</f>
        <v>20060</v>
      </c>
      <c r="J250" s="1243">
        <f t="shared" ref="J250:N251" si="49">SUM(J255,J260,J265,J270)</f>
        <v>0</v>
      </c>
      <c r="K250" s="1243">
        <f t="shared" si="49"/>
        <v>0</v>
      </c>
      <c r="L250" s="1243">
        <f t="shared" si="49"/>
        <v>3400</v>
      </c>
      <c r="M250" s="1243">
        <f t="shared" si="49"/>
        <v>0</v>
      </c>
      <c r="N250" s="1201">
        <f t="shared" si="49"/>
        <v>16660</v>
      </c>
    </row>
    <row r="251" spans="1:16" s="431" customFormat="1" x14ac:dyDescent="0.3">
      <c r="A251" s="184">
        <v>241</v>
      </c>
      <c r="B251" s="1196"/>
      <c r="C251" s="1197"/>
      <c r="D251" s="1163" t="s">
        <v>1064</v>
      </c>
      <c r="E251" s="1198"/>
      <c r="F251" s="1198"/>
      <c r="G251" s="1199"/>
      <c r="H251" s="1200"/>
      <c r="I251" s="1170">
        <f t="shared" ref="I251:I253" si="50">SUM(J251:N251)</f>
        <v>7555</v>
      </c>
      <c r="J251" s="1244">
        <f>SUM(J256,J261,J266,J271)</f>
        <v>0</v>
      </c>
      <c r="K251" s="1244">
        <f t="shared" si="49"/>
        <v>0</v>
      </c>
      <c r="L251" s="1244">
        <f t="shared" si="49"/>
        <v>2000</v>
      </c>
      <c r="M251" s="1244">
        <f t="shared" si="49"/>
        <v>0</v>
      </c>
      <c r="N251" s="1202">
        <f t="shared" si="49"/>
        <v>5555</v>
      </c>
    </row>
    <row r="252" spans="1:16" s="431" customFormat="1" x14ac:dyDescent="0.3">
      <c r="A252" s="184">
        <v>242</v>
      </c>
      <c r="B252" s="1196"/>
      <c r="C252" s="1197"/>
      <c r="D252" s="1174" t="s">
        <v>999</v>
      </c>
      <c r="E252" s="1198"/>
      <c r="F252" s="1198"/>
      <c r="G252" s="1199"/>
      <c r="H252" s="1200"/>
      <c r="I252" s="1178">
        <f t="shared" si="50"/>
        <v>0</v>
      </c>
      <c r="J252" s="1209">
        <f>J257+J262+J267+J272</f>
        <v>0</v>
      </c>
      <c r="K252" s="1209">
        <f t="shared" ref="K252:N252" si="51">K257+K262+K267+K272</f>
        <v>0</v>
      </c>
      <c r="L252" s="1209">
        <f t="shared" si="51"/>
        <v>0</v>
      </c>
      <c r="M252" s="1209">
        <f t="shared" si="51"/>
        <v>0</v>
      </c>
      <c r="N252" s="1210">
        <f t="shared" si="51"/>
        <v>0</v>
      </c>
    </row>
    <row r="253" spans="1:16" s="431" customFormat="1" x14ac:dyDescent="0.3">
      <c r="A253" s="184">
        <v>243</v>
      </c>
      <c r="B253" s="1196"/>
      <c r="C253" s="1197"/>
      <c r="D253" s="1163" t="s">
        <v>1116</v>
      </c>
      <c r="E253" s="1198"/>
      <c r="F253" s="1198"/>
      <c r="G253" s="1199"/>
      <c r="H253" s="1200"/>
      <c r="I253" s="1170">
        <f t="shared" si="50"/>
        <v>7555</v>
      </c>
      <c r="J253" s="1244">
        <f>SUM(J251:J252)</f>
        <v>0</v>
      </c>
      <c r="K253" s="1244">
        <f t="shared" ref="K253:N253" si="52">SUM(K251:K252)</f>
        <v>0</v>
      </c>
      <c r="L253" s="1244">
        <f t="shared" si="52"/>
        <v>2000</v>
      </c>
      <c r="M253" s="1244">
        <f t="shared" si="52"/>
        <v>0</v>
      </c>
      <c r="N253" s="1245">
        <f t="shared" si="52"/>
        <v>5555</v>
      </c>
    </row>
    <row r="254" spans="1:16" s="207" customFormat="1" ht="15" x14ac:dyDescent="0.3">
      <c r="A254" s="184">
        <v>244</v>
      </c>
      <c r="B254" s="1203"/>
      <c r="C254" s="1173"/>
      <c r="D254" s="1205" t="s">
        <v>283</v>
      </c>
      <c r="E254" s="1206">
        <v>4000</v>
      </c>
      <c r="F254" s="1206">
        <v>4000</v>
      </c>
      <c r="G254" s="1207">
        <v>4000</v>
      </c>
      <c r="H254" s="1208"/>
      <c r="I254" s="1225"/>
      <c r="J254" s="1185"/>
      <c r="K254" s="1185"/>
      <c r="L254" s="1185"/>
      <c r="M254" s="1185"/>
      <c r="N254" s="1195"/>
      <c r="P254" s="208"/>
    </row>
    <row r="255" spans="1:16" s="434" customFormat="1" ht="15" x14ac:dyDescent="0.3">
      <c r="A255" s="184">
        <v>245</v>
      </c>
      <c r="B255" s="1226"/>
      <c r="C255" s="1197"/>
      <c r="D255" s="1247" t="s">
        <v>311</v>
      </c>
      <c r="E255" s="1228"/>
      <c r="F255" s="1228"/>
      <c r="G255" s="1229"/>
      <c r="H255" s="1230"/>
      <c r="I255" s="1231">
        <f>SUM(J255:N255)</f>
        <v>3400</v>
      </c>
      <c r="J255" s="1232"/>
      <c r="K255" s="1232"/>
      <c r="L255" s="1232"/>
      <c r="M255" s="1232"/>
      <c r="N255" s="1233">
        <v>3400</v>
      </c>
      <c r="P255" s="435"/>
    </row>
    <row r="256" spans="1:16" s="434" customFormat="1" ht="15" x14ac:dyDescent="0.3">
      <c r="A256" s="184">
        <v>246</v>
      </c>
      <c r="B256" s="1226"/>
      <c r="C256" s="1197"/>
      <c r="D256" s="1234" t="s">
        <v>1064</v>
      </c>
      <c r="E256" s="1228"/>
      <c r="F256" s="1228"/>
      <c r="G256" s="1229"/>
      <c r="H256" s="1230"/>
      <c r="I256" s="1225">
        <f t="shared" ref="I256:I258" si="53">SUM(J256:N256)</f>
        <v>2000</v>
      </c>
      <c r="J256" s="1232"/>
      <c r="K256" s="1232"/>
      <c r="L256" s="1237">
        <f>0+2000</f>
        <v>2000</v>
      </c>
      <c r="M256" s="1232"/>
      <c r="N256" s="1235">
        <f>0</f>
        <v>0</v>
      </c>
      <c r="P256" s="435"/>
    </row>
    <row r="257" spans="1:16" s="434" customFormat="1" ht="15" x14ac:dyDescent="0.3">
      <c r="A257" s="184">
        <v>247</v>
      </c>
      <c r="B257" s="1226"/>
      <c r="C257" s="1197"/>
      <c r="D257" s="1236" t="s">
        <v>1012</v>
      </c>
      <c r="E257" s="1228"/>
      <c r="F257" s="1228"/>
      <c r="G257" s="1229"/>
      <c r="H257" s="1230"/>
      <c r="I257" s="1178">
        <f t="shared" si="53"/>
        <v>0</v>
      </c>
      <c r="J257" s="1185"/>
      <c r="K257" s="1185"/>
      <c r="L257" s="1185"/>
      <c r="M257" s="1185"/>
      <c r="N257" s="1195"/>
      <c r="P257" s="435"/>
    </row>
    <row r="258" spans="1:16" s="434" customFormat="1" ht="15" x14ac:dyDescent="0.3">
      <c r="A258" s="184">
        <v>248</v>
      </c>
      <c r="B258" s="1226"/>
      <c r="C258" s="1197"/>
      <c r="D258" s="1234" t="s">
        <v>1116</v>
      </c>
      <c r="E258" s="1228"/>
      <c r="F258" s="1228"/>
      <c r="G258" s="1229"/>
      <c r="H258" s="1230"/>
      <c r="I258" s="1225">
        <f t="shared" si="53"/>
        <v>2000</v>
      </c>
      <c r="J258" s="1237"/>
      <c r="K258" s="1237"/>
      <c r="L258" s="1237">
        <f>SUM(L256:L257)</f>
        <v>2000</v>
      </c>
      <c r="M258" s="1237"/>
      <c r="N258" s="1235">
        <f>SUM(N256:N257)</f>
        <v>0</v>
      </c>
      <c r="P258" s="435"/>
    </row>
    <row r="259" spans="1:16" s="207" customFormat="1" ht="15" x14ac:dyDescent="0.3">
      <c r="A259" s="184">
        <v>249</v>
      </c>
      <c r="B259" s="1203"/>
      <c r="C259" s="1173"/>
      <c r="D259" s="1205" t="s">
        <v>397</v>
      </c>
      <c r="E259" s="1206">
        <v>7500</v>
      </c>
      <c r="F259" s="1206">
        <v>14000</v>
      </c>
      <c r="G259" s="1207">
        <v>5100</v>
      </c>
      <c r="H259" s="1208"/>
      <c r="I259" s="1225"/>
      <c r="J259" s="1209"/>
      <c r="K259" s="1209"/>
      <c r="L259" s="1209"/>
      <c r="M259" s="1209"/>
      <c r="N259" s="1210"/>
      <c r="P259" s="208"/>
    </row>
    <row r="260" spans="1:16" s="434" customFormat="1" ht="15" x14ac:dyDescent="0.3">
      <c r="A260" s="184">
        <v>250</v>
      </c>
      <c r="B260" s="1226"/>
      <c r="C260" s="1197"/>
      <c r="D260" s="1247" t="s">
        <v>311</v>
      </c>
      <c r="E260" s="1228"/>
      <c r="F260" s="1228"/>
      <c r="G260" s="1229"/>
      <c r="H260" s="1230"/>
      <c r="I260" s="1231">
        <f>SUM(J260:N260)</f>
        <v>11900</v>
      </c>
      <c r="J260" s="1232"/>
      <c r="K260" s="1232"/>
      <c r="L260" s="1232"/>
      <c r="M260" s="1232"/>
      <c r="N260" s="1233">
        <v>11900</v>
      </c>
      <c r="P260" s="435"/>
    </row>
    <row r="261" spans="1:16" s="434" customFormat="1" ht="15" x14ac:dyDescent="0.3">
      <c r="A261" s="184">
        <v>251</v>
      </c>
      <c r="B261" s="1226"/>
      <c r="C261" s="1197"/>
      <c r="D261" s="1234" t="s">
        <v>1064</v>
      </c>
      <c r="E261" s="1228"/>
      <c r="F261" s="1228"/>
      <c r="G261" s="1229"/>
      <c r="H261" s="1230"/>
      <c r="I261" s="1225">
        <f t="shared" ref="I261:I263" si="54">SUM(J261:N261)</f>
        <v>5555</v>
      </c>
      <c r="J261" s="1232"/>
      <c r="K261" s="1232"/>
      <c r="L261" s="1232"/>
      <c r="M261" s="1232"/>
      <c r="N261" s="1915">
        <f>10000-4445</f>
        <v>5555</v>
      </c>
      <c r="P261" s="435"/>
    </row>
    <row r="262" spans="1:16" s="434" customFormat="1" ht="15" x14ac:dyDescent="0.3">
      <c r="A262" s="184">
        <v>252</v>
      </c>
      <c r="B262" s="1226"/>
      <c r="C262" s="1197"/>
      <c r="D262" s="1236" t="s">
        <v>1012</v>
      </c>
      <c r="E262" s="1228"/>
      <c r="F262" s="1228"/>
      <c r="G262" s="1229"/>
      <c r="H262" s="1230"/>
      <c r="I262" s="1178">
        <f t="shared" si="54"/>
        <v>0</v>
      </c>
      <c r="J262" s="1185"/>
      <c r="K262" s="1185"/>
      <c r="L262" s="1185"/>
      <c r="M262" s="1185"/>
      <c r="N262" s="1195"/>
      <c r="P262" s="435"/>
    </row>
    <row r="263" spans="1:16" s="434" customFormat="1" ht="15" x14ac:dyDescent="0.3">
      <c r="A263" s="184">
        <v>253</v>
      </c>
      <c r="B263" s="1226"/>
      <c r="C263" s="1197"/>
      <c r="D263" s="1234" t="s">
        <v>1116</v>
      </c>
      <c r="E263" s="1228"/>
      <c r="F263" s="1228"/>
      <c r="G263" s="1229"/>
      <c r="H263" s="1230"/>
      <c r="I263" s="1225">
        <f t="shared" si="54"/>
        <v>5555</v>
      </c>
      <c r="J263" s="1237"/>
      <c r="K263" s="1237"/>
      <c r="L263" s="1237"/>
      <c r="M263" s="1237"/>
      <c r="N263" s="1235">
        <f>SUM(N261:N262)</f>
        <v>5555</v>
      </c>
      <c r="P263" s="435"/>
    </row>
    <row r="264" spans="1:16" s="207" customFormat="1" ht="15" x14ac:dyDescent="0.3">
      <c r="A264" s="184">
        <v>254</v>
      </c>
      <c r="B264" s="1203"/>
      <c r="C264" s="1173"/>
      <c r="D264" s="1205" t="s">
        <v>285</v>
      </c>
      <c r="E264" s="1206">
        <v>2520</v>
      </c>
      <c r="F264" s="1206">
        <v>4000</v>
      </c>
      <c r="G264" s="1207">
        <v>2822</v>
      </c>
      <c r="H264" s="1208"/>
      <c r="I264" s="1225"/>
      <c r="J264" s="1209"/>
      <c r="K264" s="1209"/>
      <c r="L264" s="1209"/>
      <c r="M264" s="1209"/>
      <c r="N264" s="1210"/>
      <c r="P264" s="208"/>
    </row>
    <row r="265" spans="1:16" s="434" customFormat="1" ht="15" x14ac:dyDescent="0.3">
      <c r="A265" s="184">
        <v>255</v>
      </c>
      <c r="B265" s="1226"/>
      <c r="C265" s="1197"/>
      <c r="D265" s="1247" t="s">
        <v>311</v>
      </c>
      <c r="E265" s="1228"/>
      <c r="F265" s="1228"/>
      <c r="G265" s="1229"/>
      <c r="H265" s="1230"/>
      <c r="I265" s="1231">
        <f>SUM(J265:N265)</f>
        <v>3400</v>
      </c>
      <c r="J265" s="1232"/>
      <c r="K265" s="1232"/>
      <c r="L265" s="1232">
        <v>3400</v>
      </c>
      <c r="M265" s="1232"/>
      <c r="N265" s="1233"/>
      <c r="P265" s="435"/>
    </row>
    <row r="266" spans="1:16" s="434" customFormat="1" ht="15" x14ac:dyDescent="0.3">
      <c r="A266" s="184">
        <v>256</v>
      </c>
      <c r="B266" s="1226"/>
      <c r="C266" s="1197"/>
      <c r="D266" s="1234" t="s">
        <v>1064</v>
      </c>
      <c r="E266" s="1228"/>
      <c r="F266" s="1228"/>
      <c r="G266" s="1229"/>
      <c r="H266" s="1230"/>
      <c r="I266" s="1225">
        <f t="shared" ref="I266:I268" si="55">SUM(J266:N266)</f>
        <v>0</v>
      </c>
      <c r="J266" s="1232"/>
      <c r="K266" s="1232"/>
      <c r="L266" s="1237">
        <v>0</v>
      </c>
      <c r="M266" s="1232"/>
      <c r="N266" s="1233"/>
      <c r="P266" s="435"/>
    </row>
    <row r="267" spans="1:16" s="434" customFormat="1" ht="15" x14ac:dyDescent="0.3">
      <c r="A267" s="184">
        <v>257</v>
      </c>
      <c r="B267" s="1226"/>
      <c r="C267" s="1197"/>
      <c r="D267" s="1236" t="s">
        <v>1012</v>
      </c>
      <c r="E267" s="1228"/>
      <c r="F267" s="1228"/>
      <c r="G267" s="1229"/>
      <c r="H267" s="1230"/>
      <c r="I267" s="1178">
        <f t="shared" si="55"/>
        <v>0</v>
      </c>
      <c r="J267" s="1185"/>
      <c r="K267" s="1185"/>
      <c r="L267" s="1185"/>
      <c r="M267" s="1185"/>
      <c r="N267" s="1195"/>
      <c r="P267" s="435"/>
    </row>
    <row r="268" spans="1:16" s="434" customFormat="1" ht="15" x14ac:dyDescent="0.3">
      <c r="A268" s="184">
        <v>258</v>
      </c>
      <c r="B268" s="1226"/>
      <c r="C268" s="1197"/>
      <c r="D268" s="1234" t="s">
        <v>1116</v>
      </c>
      <c r="E268" s="1228"/>
      <c r="F268" s="1228"/>
      <c r="G268" s="1229"/>
      <c r="H268" s="1230"/>
      <c r="I268" s="1225">
        <f t="shared" si="55"/>
        <v>0</v>
      </c>
      <c r="J268" s="1237"/>
      <c r="K268" s="1237"/>
      <c r="L268" s="1237">
        <f>SUM(L266:L267)</f>
        <v>0</v>
      </c>
      <c r="M268" s="1237"/>
      <c r="N268" s="1235"/>
      <c r="P268" s="435"/>
    </row>
    <row r="269" spans="1:16" s="207" customFormat="1" ht="15" x14ac:dyDescent="0.3">
      <c r="A269" s="184">
        <v>259</v>
      </c>
      <c r="B269" s="1203"/>
      <c r="C269" s="1173"/>
      <c r="D269" s="1205" t="s">
        <v>284</v>
      </c>
      <c r="E269" s="1206">
        <v>1600</v>
      </c>
      <c r="F269" s="1206">
        <v>1600</v>
      </c>
      <c r="G269" s="1207">
        <v>1600</v>
      </c>
      <c r="H269" s="1208"/>
      <c r="I269" s="1225"/>
      <c r="J269" s="1209"/>
      <c r="K269" s="1209"/>
      <c r="L269" s="1209"/>
      <c r="M269" s="1209"/>
      <c r="N269" s="1210"/>
      <c r="P269" s="208"/>
    </row>
    <row r="270" spans="1:16" s="434" customFormat="1" ht="15" x14ac:dyDescent="0.3">
      <c r="A270" s="184">
        <v>260</v>
      </c>
      <c r="B270" s="1226"/>
      <c r="C270" s="1197"/>
      <c r="D270" s="1247" t="s">
        <v>311</v>
      </c>
      <c r="E270" s="1198"/>
      <c r="F270" s="1228"/>
      <c r="G270" s="1229"/>
      <c r="H270" s="1230"/>
      <c r="I270" s="1231">
        <f>SUM(J270:N270)</f>
        <v>1360</v>
      </c>
      <c r="J270" s="1232"/>
      <c r="K270" s="1232"/>
      <c r="L270" s="1232"/>
      <c r="M270" s="1232"/>
      <c r="N270" s="1233">
        <v>1360</v>
      </c>
      <c r="P270" s="435"/>
    </row>
    <row r="271" spans="1:16" s="434" customFormat="1" ht="15" x14ac:dyDescent="0.3">
      <c r="A271" s="184">
        <v>261</v>
      </c>
      <c r="B271" s="1226"/>
      <c r="C271" s="1197"/>
      <c r="D271" s="1234" t="s">
        <v>1064</v>
      </c>
      <c r="E271" s="1198"/>
      <c r="F271" s="1228"/>
      <c r="G271" s="1229"/>
      <c r="H271" s="1230"/>
      <c r="I271" s="1225">
        <f t="shared" ref="I271:I273" si="56">SUM(J271:N271)</f>
        <v>0</v>
      </c>
      <c r="J271" s="1232"/>
      <c r="K271" s="1232"/>
      <c r="L271" s="1232"/>
      <c r="M271" s="1232"/>
      <c r="N271" s="1235">
        <v>0</v>
      </c>
      <c r="P271" s="435"/>
    </row>
    <row r="272" spans="1:16" s="434" customFormat="1" ht="15" x14ac:dyDescent="0.3">
      <c r="A272" s="184">
        <v>262</v>
      </c>
      <c r="B272" s="1226"/>
      <c r="C272" s="1197"/>
      <c r="D272" s="1236" t="s">
        <v>1012</v>
      </c>
      <c r="E272" s="1198"/>
      <c r="F272" s="1228"/>
      <c r="G272" s="1229"/>
      <c r="H272" s="1230"/>
      <c r="I272" s="1178">
        <f t="shared" si="56"/>
        <v>0</v>
      </c>
      <c r="J272" s="1185"/>
      <c r="K272" s="1185"/>
      <c r="L272" s="1185"/>
      <c r="M272" s="1185"/>
      <c r="N272" s="1195"/>
      <c r="P272" s="435"/>
    </row>
    <row r="273" spans="1:16" s="434" customFormat="1" ht="15" x14ac:dyDescent="0.3">
      <c r="A273" s="184">
        <v>263</v>
      </c>
      <c r="B273" s="1226"/>
      <c r="C273" s="1197"/>
      <c r="D273" s="1234" t="s">
        <v>1116</v>
      </c>
      <c r="E273" s="1198"/>
      <c r="F273" s="1228"/>
      <c r="G273" s="1229"/>
      <c r="H273" s="1230"/>
      <c r="I273" s="1225">
        <f t="shared" si="56"/>
        <v>0</v>
      </c>
      <c r="J273" s="1237"/>
      <c r="K273" s="1237"/>
      <c r="L273" s="1237"/>
      <c r="M273" s="1237"/>
      <c r="N273" s="1235">
        <f>SUM(N271:N272)</f>
        <v>0</v>
      </c>
      <c r="P273" s="435"/>
    </row>
    <row r="274" spans="1:16" s="81" customFormat="1" x14ac:dyDescent="0.3">
      <c r="A274" s="184">
        <v>264</v>
      </c>
      <c r="B274" s="1254"/>
      <c r="C274" s="1182">
        <v>43</v>
      </c>
      <c r="D274" s="1183" t="s">
        <v>483</v>
      </c>
      <c r="E274" s="1175">
        <v>4400</v>
      </c>
      <c r="F274" s="1206">
        <v>5000</v>
      </c>
      <c r="G274" s="1207">
        <v>4667</v>
      </c>
      <c r="H274" s="1177" t="s">
        <v>24</v>
      </c>
      <c r="I274" s="1225"/>
      <c r="J274" s="1185"/>
      <c r="K274" s="1185"/>
      <c r="L274" s="1185"/>
      <c r="M274" s="1185"/>
      <c r="N274" s="1195"/>
      <c r="P274" s="507"/>
    </row>
    <row r="275" spans="1:16" s="433" customFormat="1" x14ac:dyDescent="0.3">
      <c r="A275" s="184">
        <v>265</v>
      </c>
      <c r="B275" s="1226"/>
      <c r="C275" s="1197"/>
      <c r="D275" s="1190" t="s">
        <v>311</v>
      </c>
      <c r="E275" s="1198"/>
      <c r="F275" s="1228"/>
      <c r="G275" s="1229"/>
      <c r="H275" s="1230"/>
      <c r="I275" s="1191">
        <f>SUM(J275:N275)</f>
        <v>4250</v>
      </c>
      <c r="J275" s="1232"/>
      <c r="K275" s="1232"/>
      <c r="L275" s="1232"/>
      <c r="M275" s="1232"/>
      <c r="N275" s="1201">
        <v>4250</v>
      </c>
      <c r="P275" s="431"/>
    </row>
    <row r="276" spans="1:16" s="433" customFormat="1" x14ac:dyDescent="0.3">
      <c r="A276" s="184">
        <v>266</v>
      </c>
      <c r="B276" s="1226"/>
      <c r="C276" s="1197"/>
      <c r="D276" s="1163" t="s">
        <v>1064</v>
      </c>
      <c r="E276" s="1198"/>
      <c r="F276" s="1228"/>
      <c r="G276" s="1229"/>
      <c r="H276" s="1230"/>
      <c r="I276" s="1170">
        <f>SUM(J276:N276)</f>
        <v>0</v>
      </c>
      <c r="J276" s="1232"/>
      <c r="K276" s="1232"/>
      <c r="L276" s="1232"/>
      <c r="M276" s="1232"/>
      <c r="N276" s="1202">
        <v>0</v>
      </c>
      <c r="P276" s="431"/>
    </row>
    <row r="277" spans="1:16" s="433" customFormat="1" x14ac:dyDescent="0.3">
      <c r="A277" s="184">
        <v>267</v>
      </c>
      <c r="B277" s="1226"/>
      <c r="C277" s="1197"/>
      <c r="D277" s="1174" t="s">
        <v>1012</v>
      </c>
      <c r="E277" s="1198"/>
      <c r="F277" s="1228"/>
      <c r="G277" s="1229"/>
      <c r="H277" s="1230"/>
      <c r="I277" s="1178">
        <f>SUM(J277:N277)</f>
        <v>0</v>
      </c>
      <c r="J277" s="1185"/>
      <c r="K277" s="1185"/>
      <c r="L277" s="1185"/>
      <c r="M277" s="1185"/>
      <c r="N277" s="1186"/>
      <c r="P277" s="431"/>
    </row>
    <row r="278" spans="1:16" s="433" customFormat="1" x14ac:dyDescent="0.3">
      <c r="A278" s="184">
        <v>268</v>
      </c>
      <c r="B278" s="1226"/>
      <c r="C278" s="1197"/>
      <c r="D278" s="1163" t="s">
        <v>1116</v>
      </c>
      <c r="E278" s="1198"/>
      <c r="F278" s="1228"/>
      <c r="G278" s="1229"/>
      <c r="H278" s="1230"/>
      <c r="I278" s="1170">
        <f>SUM(J278:N278)</f>
        <v>0</v>
      </c>
      <c r="J278" s="1237"/>
      <c r="K278" s="1237"/>
      <c r="L278" s="1237"/>
      <c r="M278" s="1237"/>
      <c r="N278" s="1202">
        <f>SUM(N276:N277)</f>
        <v>0</v>
      </c>
      <c r="P278" s="431"/>
    </row>
    <row r="279" spans="1:16" s="506" customFormat="1" x14ac:dyDescent="0.35">
      <c r="A279" s="184">
        <v>269</v>
      </c>
      <c r="B279" s="1253"/>
      <c r="C279" s="1182">
        <v>44</v>
      </c>
      <c r="D279" s="1183" t="s">
        <v>442</v>
      </c>
      <c r="E279" s="1175">
        <v>1323</v>
      </c>
      <c r="F279" s="1175">
        <v>2000</v>
      </c>
      <c r="G279" s="1176">
        <v>938</v>
      </c>
      <c r="H279" s="1177" t="s">
        <v>23</v>
      </c>
      <c r="I279" s="1225"/>
      <c r="J279" s="1209"/>
      <c r="K279" s="1209"/>
      <c r="L279" s="1209"/>
      <c r="M279" s="1209"/>
      <c r="N279" s="1210"/>
      <c r="O279" s="507"/>
      <c r="P279" s="507"/>
    </row>
    <row r="280" spans="1:16" s="431" customFormat="1" x14ac:dyDescent="0.3">
      <c r="A280" s="184">
        <v>270</v>
      </c>
      <c r="B280" s="1196"/>
      <c r="C280" s="1197"/>
      <c r="D280" s="1190" t="s">
        <v>311</v>
      </c>
      <c r="E280" s="1198"/>
      <c r="F280" s="1198"/>
      <c r="G280" s="1199"/>
      <c r="H280" s="1200"/>
      <c r="I280" s="1191">
        <f>SUM(J280:N280)</f>
        <v>1700</v>
      </c>
      <c r="J280" s="1192"/>
      <c r="K280" s="1192"/>
      <c r="L280" s="1192"/>
      <c r="M280" s="1192">
        <v>1700</v>
      </c>
      <c r="N280" s="1201"/>
    </row>
    <row r="281" spans="1:16" s="431" customFormat="1" x14ac:dyDescent="0.3">
      <c r="A281" s="184">
        <v>271</v>
      </c>
      <c r="B281" s="1196"/>
      <c r="C281" s="1197"/>
      <c r="D281" s="1163" t="s">
        <v>1064</v>
      </c>
      <c r="E281" s="1198"/>
      <c r="F281" s="1198"/>
      <c r="G281" s="1199"/>
      <c r="H281" s="1200"/>
      <c r="I281" s="1170">
        <f>SUM(J281:N281)</f>
        <v>1700</v>
      </c>
      <c r="J281" s="1192"/>
      <c r="K281" s="1192"/>
      <c r="L281" s="1192"/>
      <c r="M281" s="1180">
        <v>1700</v>
      </c>
      <c r="N281" s="1201"/>
    </row>
    <row r="282" spans="1:16" s="431" customFormat="1" x14ac:dyDescent="0.3">
      <c r="A282" s="184">
        <v>272</v>
      </c>
      <c r="B282" s="1196"/>
      <c r="C282" s="1197"/>
      <c r="D282" s="1174" t="s">
        <v>999</v>
      </c>
      <c r="E282" s="1198"/>
      <c r="F282" s="1198"/>
      <c r="G282" s="1199"/>
      <c r="H282" s="1200"/>
      <c r="I282" s="1178">
        <f t="shared" ref="I282:I283" si="57">SUM(J282:N282)</f>
        <v>0</v>
      </c>
      <c r="J282" s="1185"/>
      <c r="K282" s="1185"/>
      <c r="L282" s="1185"/>
      <c r="M282" s="1185"/>
      <c r="N282" s="1195"/>
    </row>
    <row r="283" spans="1:16" s="431" customFormat="1" x14ac:dyDescent="0.3">
      <c r="A283" s="184">
        <v>273</v>
      </c>
      <c r="B283" s="1196"/>
      <c r="C283" s="1197"/>
      <c r="D283" s="1163" t="s">
        <v>1116</v>
      </c>
      <c r="E283" s="1198"/>
      <c r="F283" s="1198"/>
      <c r="G283" s="1199"/>
      <c r="H283" s="1200"/>
      <c r="I283" s="1170">
        <f t="shared" si="57"/>
        <v>1700</v>
      </c>
      <c r="J283" s="1180"/>
      <c r="K283" s="1180"/>
      <c r="L283" s="1180"/>
      <c r="M283" s="1180">
        <f>SUM(M281:M282)</f>
        <v>1700</v>
      </c>
      <c r="N283" s="1202"/>
    </row>
    <row r="284" spans="1:16" s="506" customFormat="1" x14ac:dyDescent="0.35">
      <c r="A284" s="184">
        <v>274</v>
      </c>
      <c r="B284" s="1253"/>
      <c r="C284" s="1182">
        <v>45</v>
      </c>
      <c r="D284" s="1183" t="s">
        <v>286</v>
      </c>
      <c r="E284" s="1175"/>
      <c r="F284" s="1175">
        <v>100</v>
      </c>
      <c r="G284" s="1176"/>
      <c r="H284" s="1177" t="s">
        <v>23</v>
      </c>
      <c r="I284" s="1170"/>
      <c r="J284" s="1184"/>
      <c r="K284" s="1184"/>
      <c r="L284" s="1184"/>
      <c r="M284" s="1184"/>
      <c r="N284" s="1186"/>
      <c r="P284" s="507"/>
    </row>
    <row r="285" spans="1:16" s="431" customFormat="1" x14ac:dyDescent="0.3">
      <c r="A285" s="184">
        <v>275</v>
      </c>
      <c r="B285" s="1196"/>
      <c r="C285" s="1197"/>
      <c r="D285" s="1190" t="s">
        <v>311</v>
      </c>
      <c r="E285" s="1198"/>
      <c r="F285" s="1198"/>
      <c r="G285" s="1199"/>
      <c r="H285" s="1200"/>
      <c r="I285" s="1191">
        <f>SUM(J285:N285)</f>
        <v>85</v>
      </c>
      <c r="J285" s="1192"/>
      <c r="K285" s="1192"/>
      <c r="L285" s="1192"/>
      <c r="M285" s="1192">
        <v>85</v>
      </c>
      <c r="N285" s="1201"/>
    </row>
    <row r="286" spans="1:16" s="431" customFormat="1" x14ac:dyDescent="0.3">
      <c r="A286" s="184">
        <v>276</v>
      </c>
      <c r="B286" s="1196"/>
      <c r="C286" s="1197"/>
      <c r="D286" s="1163" t="s">
        <v>1064</v>
      </c>
      <c r="E286" s="1198"/>
      <c r="F286" s="1198"/>
      <c r="G286" s="1199"/>
      <c r="H286" s="1219"/>
      <c r="I286" s="1170">
        <f t="shared" ref="I286:I288" si="58">SUM(J286:N286)</f>
        <v>85</v>
      </c>
      <c r="J286" s="1192"/>
      <c r="K286" s="1192"/>
      <c r="L286" s="1192"/>
      <c r="M286" s="1180">
        <v>85</v>
      </c>
      <c r="N286" s="1201"/>
    </row>
    <row r="287" spans="1:16" s="431" customFormat="1" x14ac:dyDescent="0.3">
      <c r="A287" s="184">
        <v>277</v>
      </c>
      <c r="B287" s="1196"/>
      <c r="C287" s="1197"/>
      <c r="D287" s="1174" t="s">
        <v>999</v>
      </c>
      <c r="E287" s="1198"/>
      <c r="F287" s="1198"/>
      <c r="G287" s="1199"/>
      <c r="H287" s="1219"/>
      <c r="I287" s="1178">
        <f t="shared" si="58"/>
        <v>0</v>
      </c>
      <c r="J287" s="1185"/>
      <c r="K287" s="1185"/>
      <c r="L287" s="1185"/>
      <c r="M287" s="1185"/>
      <c r="N287" s="1195"/>
    </row>
    <row r="288" spans="1:16" s="431" customFormat="1" x14ac:dyDescent="0.3">
      <c r="A288" s="184">
        <v>278</v>
      </c>
      <c r="B288" s="1196"/>
      <c r="C288" s="1197"/>
      <c r="D288" s="1163" t="s">
        <v>1116</v>
      </c>
      <c r="E288" s="1198"/>
      <c r="F288" s="1198"/>
      <c r="G288" s="1199"/>
      <c r="H288" s="1219"/>
      <c r="I288" s="1170">
        <f t="shared" si="58"/>
        <v>85</v>
      </c>
      <c r="J288" s="1180"/>
      <c r="K288" s="1180"/>
      <c r="L288" s="1180"/>
      <c r="M288" s="1180">
        <f>SUM(M286:M287)</f>
        <v>85</v>
      </c>
      <c r="N288" s="1202"/>
    </row>
    <row r="289" spans="1:16" s="507" customFormat="1" x14ac:dyDescent="0.3">
      <c r="A289" s="184">
        <v>279</v>
      </c>
      <c r="B289" s="1255"/>
      <c r="C289" s="1182">
        <v>46</v>
      </c>
      <c r="D289" s="1163" t="s">
        <v>443</v>
      </c>
      <c r="E289" s="1175"/>
      <c r="F289" s="1175">
        <v>100</v>
      </c>
      <c r="G289" s="1176"/>
      <c r="H289" s="1166" t="s">
        <v>23</v>
      </c>
      <c r="I289" s="1170"/>
      <c r="J289" s="1184"/>
      <c r="K289" s="1184"/>
      <c r="L289" s="1184"/>
      <c r="M289" s="1184"/>
      <c r="N289" s="1186"/>
    </row>
    <row r="290" spans="1:16" s="431" customFormat="1" x14ac:dyDescent="0.3">
      <c r="A290" s="184">
        <v>280</v>
      </c>
      <c r="B290" s="1196"/>
      <c r="C290" s="1197"/>
      <c r="D290" s="1190" t="s">
        <v>311</v>
      </c>
      <c r="E290" s="1198"/>
      <c r="F290" s="1198"/>
      <c r="G290" s="1199"/>
      <c r="H290" s="1219"/>
      <c r="I290" s="1191">
        <f>SUM(J290:N290)</f>
        <v>85</v>
      </c>
      <c r="J290" s="1192"/>
      <c r="K290" s="1192"/>
      <c r="L290" s="1192">
        <v>85</v>
      </c>
      <c r="M290" s="1192"/>
      <c r="N290" s="1201"/>
    </row>
    <row r="291" spans="1:16" s="431" customFormat="1" x14ac:dyDescent="0.3">
      <c r="A291" s="184">
        <v>281</v>
      </c>
      <c r="B291" s="1196"/>
      <c r="C291" s="1197"/>
      <c r="D291" s="1163" t="s">
        <v>1064</v>
      </c>
      <c r="E291" s="1198"/>
      <c r="F291" s="1198"/>
      <c r="G291" s="1199"/>
      <c r="H291" s="1219"/>
      <c r="I291" s="1170">
        <f t="shared" ref="I291:I293" si="59">SUM(J291:N291)</f>
        <v>85</v>
      </c>
      <c r="J291" s="1192"/>
      <c r="K291" s="1192"/>
      <c r="L291" s="1180">
        <v>85</v>
      </c>
      <c r="M291" s="1192"/>
      <c r="N291" s="1201"/>
    </row>
    <row r="292" spans="1:16" s="431" customFormat="1" x14ac:dyDescent="0.3">
      <c r="A292" s="184">
        <v>282</v>
      </c>
      <c r="B292" s="1196"/>
      <c r="C292" s="1197"/>
      <c r="D292" s="1174" t="s">
        <v>999</v>
      </c>
      <c r="E292" s="1198"/>
      <c r="F292" s="1198"/>
      <c r="G292" s="1199"/>
      <c r="H292" s="1219"/>
      <c r="I292" s="1178">
        <f t="shared" si="59"/>
        <v>0</v>
      </c>
      <c r="J292" s="1185"/>
      <c r="K292" s="1185"/>
      <c r="L292" s="1185"/>
      <c r="M292" s="1185"/>
      <c r="N292" s="1195"/>
    </row>
    <row r="293" spans="1:16" s="431" customFormat="1" x14ac:dyDescent="0.3">
      <c r="A293" s="184">
        <v>283</v>
      </c>
      <c r="B293" s="1196"/>
      <c r="C293" s="1197"/>
      <c r="D293" s="1163" t="s">
        <v>1116</v>
      </c>
      <c r="E293" s="1198"/>
      <c r="F293" s="1198"/>
      <c r="G293" s="1199"/>
      <c r="H293" s="1219"/>
      <c r="I293" s="1170">
        <f t="shared" si="59"/>
        <v>85</v>
      </c>
      <c r="J293" s="1180"/>
      <c r="K293" s="1180"/>
      <c r="L293" s="1180">
        <f>SUM(L291:L292)</f>
        <v>85</v>
      </c>
      <c r="M293" s="1180"/>
      <c r="N293" s="1202"/>
    </row>
    <row r="294" spans="1:16" s="506" customFormat="1" x14ac:dyDescent="0.35">
      <c r="A294" s="184">
        <v>284</v>
      </c>
      <c r="B294" s="1253"/>
      <c r="C294" s="1182">
        <v>47</v>
      </c>
      <c r="D294" s="1183" t="s">
        <v>287</v>
      </c>
      <c r="E294" s="1175">
        <f>SUM(E299,E313,E318,E323,E328,E333,E338,E343)</f>
        <v>10952</v>
      </c>
      <c r="F294" s="1175">
        <f>SUM(F299,F313,F318,F323,F328,F333,F338,F343)+F308</f>
        <v>27650</v>
      </c>
      <c r="G294" s="1176">
        <f>SUM(G299,G313,G318,G323,G328,G333,G338,G343)+G308</f>
        <v>11293</v>
      </c>
      <c r="H294" s="1177"/>
      <c r="I294" s="1187"/>
      <c r="J294" s="1188"/>
      <c r="K294" s="1188"/>
      <c r="L294" s="1188"/>
      <c r="M294" s="1188"/>
      <c r="N294" s="1189"/>
      <c r="O294" s="507"/>
      <c r="P294" s="507"/>
    </row>
    <row r="295" spans="1:16" s="431" customFormat="1" x14ac:dyDescent="0.3">
      <c r="A295" s="184">
        <v>285</v>
      </c>
      <c r="B295" s="1196"/>
      <c r="C295" s="1197"/>
      <c r="D295" s="1190" t="s">
        <v>311</v>
      </c>
      <c r="E295" s="1198"/>
      <c r="F295" s="1198"/>
      <c r="G295" s="1199"/>
      <c r="H295" s="1200"/>
      <c r="I295" s="1191">
        <f>SUM(J295:N295)</f>
        <v>17553</v>
      </c>
      <c r="J295" s="1192">
        <f>SUM(J300,J314,J319,J324,J329,J334,J339,J344)</f>
        <v>0</v>
      </c>
      <c r="K295" s="1192">
        <f>SUM(K300,K314,K319,K324,K329,K334,K339,K344)</f>
        <v>0</v>
      </c>
      <c r="L295" s="1192">
        <f>SUM(L300,L314,L319,L324,L329,L334,L339,L344)</f>
        <v>0</v>
      </c>
      <c r="M295" s="1192">
        <f>SUM(M300,M314,M319,M324,M329,M334,M339,M344)+M309</f>
        <v>17553</v>
      </c>
      <c r="N295" s="1201">
        <f>SUM(N300,N314,N319,N324,N329,N334,N339,N344)</f>
        <v>0</v>
      </c>
    </row>
    <row r="296" spans="1:16" s="431" customFormat="1" x14ac:dyDescent="0.3">
      <c r="A296" s="184">
        <v>286</v>
      </c>
      <c r="B296" s="1196"/>
      <c r="C296" s="1197"/>
      <c r="D296" s="1163" t="s">
        <v>1064</v>
      </c>
      <c r="E296" s="1198"/>
      <c r="F296" s="1198"/>
      <c r="G296" s="1199"/>
      <c r="H296" s="1200"/>
      <c r="I296" s="1170">
        <f t="shared" ref="I296:I298" si="60">SUM(J296:N296)</f>
        <v>32553</v>
      </c>
      <c r="J296" s="1180">
        <f t="shared" ref="J296:L296" si="61">SUM(J301,J315,J320,J325,J330,J335,J340,J345)+J310+J305</f>
        <v>0</v>
      </c>
      <c r="K296" s="1180">
        <f t="shared" si="61"/>
        <v>0</v>
      </c>
      <c r="L296" s="1180">
        <f t="shared" si="61"/>
        <v>0</v>
      </c>
      <c r="M296" s="1180">
        <f>SUM(M301,M315,M320,M325,M330,M335,M340,M345)+M310+M305</f>
        <v>32553</v>
      </c>
      <c r="N296" s="1202">
        <f>SUM(N301,N315,N320,N325,N330,N335,N340,N345)+N310+N305</f>
        <v>0</v>
      </c>
    </row>
    <row r="297" spans="1:16" s="431" customFormat="1" x14ac:dyDescent="0.3">
      <c r="A297" s="184">
        <v>287</v>
      </c>
      <c r="B297" s="1196"/>
      <c r="C297" s="1197"/>
      <c r="D297" s="1174" t="s">
        <v>999</v>
      </c>
      <c r="E297" s="1198"/>
      <c r="F297" s="1198"/>
      <c r="G297" s="1199"/>
      <c r="H297" s="1200"/>
      <c r="I297" s="1178">
        <f t="shared" si="60"/>
        <v>-8400</v>
      </c>
      <c r="J297" s="1185">
        <f>J302+J311+J316+J321+J326+J331+J336+J341+J346+J306</f>
        <v>0</v>
      </c>
      <c r="K297" s="1185">
        <f t="shared" ref="K297:N297" si="62">K302+K311+K316+K321+K326+K331+K336+K341+K346+K306</f>
        <v>0</v>
      </c>
      <c r="L297" s="1185">
        <f t="shared" si="62"/>
        <v>0</v>
      </c>
      <c r="M297" s="1185">
        <f t="shared" si="62"/>
        <v>-8400</v>
      </c>
      <c r="N297" s="1195">
        <f t="shared" si="62"/>
        <v>0</v>
      </c>
    </row>
    <row r="298" spans="1:16" s="431" customFormat="1" x14ac:dyDescent="0.3">
      <c r="A298" s="184">
        <v>288</v>
      </c>
      <c r="B298" s="1196"/>
      <c r="C298" s="1197"/>
      <c r="D298" s="1163" t="s">
        <v>1116</v>
      </c>
      <c r="E298" s="1198"/>
      <c r="F298" s="1198"/>
      <c r="G298" s="1199"/>
      <c r="H298" s="1200"/>
      <c r="I298" s="1170">
        <f t="shared" si="60"/>
        <v>24153</v>
      </c>
      <c r="J298" s="1180">
        <f>SUM(J296:J297)</f>
        <v>0</v>
      </c>
      <c r="K298" s="1180">
        <f t="shared" ref="K298:N298" si="63">SUM(K296:K297)</f>
        <v>0</v>
      </c>
      <c r="L298" s="1180">
        <f t="shared" si="63"/>
        <v>0</v>
      </c>
      <c r="M298" s="1180">
        <f t="shared" si="63"/>
        <v>24153</v>
      </c>
      <c r="N298" s="1202">
        <f t="shared" si="63"/>
        <v>0</v>
      </c>
    </row>
    <row r="299" spans="1:16" s="207" customFormat="1" ht="15" x14ac:dyDescent="0.3">
      <c r="A299" s="184">
        <v>289</v>
      </c>
      <c r="B299" s="1203"/>
      <c r="C299" s="1173"/>
      <c r="D299" s="1205" t="s">
        <v>292</v>
      </c>
      <c r="E299" s="1206">
        <v>2100</v>
      </c>
      <c r="F299" s="1206">
        <v>2500</v>
      </c>
      <c r="G299" s="1207">
        <v>2021</v>
      </c>
      <c r="H299" s="1208" t="s">
        <v>23</v>
      </c>
      <c r="I299" s="1225"/>
      <c r="J299" s="1185"/>
      <c r="K299" s="1185"/>
      <c r="L299" s="1185"/>
      <c r="M299" s="1185"/>
      <c r="N299" s="1195"/>
      <c r="P299" s="208"/>
    </row>
    <row r="300" spans="1:16" s="434" customFormat="1" ht="15" x14ac:dyDescent="0.3">
      <c r="A300" s="184">
        <v>290</v>
      </c>
      <c r="B300" s="1226"/>
      <c r="C300" s="1197"/>
      <c r="D300" s="1247" t="s">
        <v>311</v>
      </c>
      <c r="E300" s="1228"/>
      <c r="F300" s="1228"/>
      <c r="G300" s="1229"/>
      <c r="H300" s="1230"/>
      <c r="I300" s="1231">
        <f>SUM(J300:N300)</f>
        <v>2125</v>
      </c>
      <c r="J300" s="1232"/>
      <c r="K300" s="1232"/>
      <c r="L300" s="1232"/>
      <c r="M300" s="1232">
        <v>2125</v>
      </c>
      <c r="N300" s="1233"/>
      <c r="P300" s="435"/>
    </row>
    <row r="301" spans="1:16" s="434" customFormat="1" ht="15" x14ac:dyDescent="0.3">
      <c r="A301" s="184">
        <v>291</v>
      </c>
      <c r="B301" s="1226"/>
      <c r="C301" s="1197"/>
      <c r="D301" s="1234" t="s">
        <v>1064</v>
      </c>
      <c r="E301" s="1228"/>
      <c r="F301" s="1228"/>
      <c r="G301" s="1229"/>
      <c r="H301" s="1230"/>
      <c r="I301" s="1225">
        <f t="shared" ref="I301:I307" si="64">SUM(J301:N301)</f>
        <v>2125</v>
      </c>
      <c r="J301" s="1232"/>
      <c r="K301" s="1232"/>
      <c r="L301" s="1232"/>
      <c r="M301" s="1237">
        <v>2125</v>
      </c>
      <c r="N301" s="1233"/>
      <c r="P301" s="435"/>
    </row>
    <row r="302" spans="1:16" s="434" customFormat="1" ht="15" x14ac:dyDescent="0.3">
      <c r="A302" s="184">
        <v>292</v>
      </c>
      <c r="B302" s="1226"/>
      <c r="C302" s="1197"/>
      <c r="D302" s="1236" t="s">
        <v>999</v>
      </c>
      <c r="E302" s="1228"/>
      <c r="F302" s="1228"/>
      <c r="G302" s="1229"/>
      <c r="H302" s="1230"/>
      <c r="I302" s="1178">
        <f t="shared" si="64"/>
        <v>0</v>
      </c>
      <c r="J302" s="1185"/>
      <c r="K302" s="1185"/>
      <c r="L302" s="1185"/>
      <c r="M302" s="1185"/>
      <c r="N302" s="1195"/>
      <c r="P302" s="435"/>
    </row>
    <row r="303" spans="1:16" s="434" customFormat="1" ht="15" x14ac:dyDescent="0.3">
      <c r="A303" s="184">
        <v>293</v>
      </c>
      <c r="B303" s="1226"/>
      <c r="C303" s="1197"/>
      <c r="D303" s="1234" t="s">
        <v>1116</v>
      </c>
      <c r="E303" s="1228"/>
      <c r="F303" s="1228"/>
      <c r="G303" s="1229"/>
      <c r="H303" s="1230"/>
      <c r="I303" s="1225">
        <f t="shared" si="64"/>
        <v>2125</v>
      </c>
      <c r="J303" s="1237"/>
      <c r="K303" s="1237"/>
      <c r="L303" s="1237"/>
      <c r="M303" s="1237">
        <f>SUM(M301:M302)</f>
        <v>2125</v>
      </c>
      <c r="N303" s="1235"/>
      <c r="P303" s="435"/>
    </row>
    <row r="304" spans="1:16" s="434" customFormat="1" ht="15" x14ac:dyDescent="0.3">
      <c r="A304" s="184">
        <v>294</v>
      </c>
      <c r="B304" s="1226"/>
      <c r="C304" s="1197"/>
      <c r="D304" s="1246" t="s">
        <v>1011</v>
      </c>
      <c r="E304" s="1228"/>
      <c r="F304" s="1228"/>
      <c r="G304" s="1229"/>
      <c r="H304" s="1208" t="s">
        <v>24</v>
      </c>
      <c r="I304" s="1225"/>
      <c r="J304" s="1237"/>
      <c r="K304" s="1237"/>
      <c r="L304" s="1237"/>
      <c r="M304" s="1237"/>
      <c r="N304" s="1235"/>
      <c r="P304" s="435"/>
    </row>
    <row r="305" spans="1:16" s="434" customFormat="1" ht="15" x14ac:dyDescent="0.3">
      <c r="A305" s="184">
        <v>295</v>
      </c>
      <c r="B305" s="1226"/>
      <c r="C305" s="1197"/>
      <c r="D305" s="1234" t="s">
        <v>1064</v>
      </c>
      <c r="E305" s="1228"/>
      <c r="F305" s="1228"/>
      <c r="G305" s="1229"/>
      <c r="H305" s="1208"/>
      <c r="I305" s="1225">
        <f t="shared" si="64"/>
        <v>15000</v>
      </c>
      <c r="J305" s="1237"/>
      <c r="K305" s="1237"/>
      <c r="L305" s="1237"/>
      <c r="M305" s="1237">
        <v>15000</v>
      </c>
      <c r="N305" s="1235"/>
      <c r="P305" s="435"/>
    </row>
    <row r="306" spans="1:16" s="434" customFormat="1" ht="15" x14ac:dyDescent="0.3">
      <c r="A306" s="184">
        <v>296</v>
      </c>
      <c r="B306" s="1226"/>
      <c r="C306" s="1197"/>
      <c r="D306" s="1236" t="s">
        <v>990</v>
      </c>
      <c r="E306" s="1228"/>
      <c r="F306" s="1228"/>
      <c r="G306" s="1229"/>
      <c r="H306" s="1230"/>
      <c r="I306" s="1178">
        <f t="shared" si="64"/>
        <v>-6500</v>
      </c>
      <c r="J306" s="1237"/>
      <c r="K306" s="1237"/>
      <c r="L306" s="1237"/>
      <c r="M306" s="1184">
        <v>-6500</v>
      </c>
      <c r="N306" s="1235"/>
      <c r="P306" s="435"/>
    </row>
    <row r="307" spans="1:16" s="434" customFormat="1" ht="15" x14ac:dyDescent="0.3">
      <c r="A307" s="184">
        <v>297</v>
      </c>
      <c r="B307" s="1226"/>
      <c r="C307" s="1197"/>
      <c r="D307" s="1234" t="s">
        <v>1116</v>
      </c>
      <c r="E307" s="1228"/>
      <c r="F307" s="1228"/>
      <c r="G307" s="1229"/>
      <c r="H307" s="1230"/>
      <c r="I307" s="1225">
        <f t="shared" si="64"/>
        <v>8500</v>
      </c>
      <c r="J307" s="1237"/>
      <c r="K307" s="1237"/>
      <c r="L307" s="1237"/>
      <c r="M307" s="1237">
        <f>SUM(M305:M306)</f>
        <v>8500</v>
      </c>
      <c r="N307" s="1235"/>
      <c r="P307" s="435"/>
    </row>
    <row r="308" spans="1:16" s="207" customFormat="1" ht="15" x14ac:dyDescent="0.3">
      <c r="A308" s="184">
        <v>298</v>
      </c>
      <c r="B308" s="1203"/>
      <c r="C308" s="1173"/>
      <c r="D308" s="1246" t="s">
        <v>621</v>
      </c>
      <c r="E308" s="1206"/>
      <c r="F308" s="1206">
        <v>12500</v>
      </c>
      <c r="G308" s="1207">
        <v>302</v>
      </c>
      <c r="H308" s="1208" t="s">
        <v>24</v>
      </c>
      <c r="I308" s="1225"/>
      <c r="J308" s="1185"/>
      <c r="K308" s="1185"/>
      <c r="L308" s="1185"/>
      <c r="M308" s="1185"/>
      <c r="N308" s="1195"/>
      <c r="P308" s="208"/>
    </row>
    <row r="309" spans="1:16" s="434" customFormat="1" ht="15" x14ac:dyDescent="0.3">
      <c r="A309" s="184">
        <v>299</v>
      </c>
      <c r="B309" s="1226"/>
      <c r="C309" s="1197"/>
      <c r="D309" s="1247" t="s">
        <v>311</v>
      </c>
      <c r="E309" s="1228"/>
      <c r="F309" s="1228"/>
      <c r="G309" s="1229"/>
      <c r="H309" s="1230"/>
      <c r="I309" s="1231">
        <f>SUM(J309:N309)</f>
        <v>4675</v>
      </c>
      <c r="J309" s="1232"/>
      <c r="K309" s="1232"/>
      <c r="L309" s="1232"/>
      <c r="M309" s="1232">
        <v>4675</v>
      </c>
      <c r="N309" s="1233"/>
      <c r="P309" s="435"/>
    </row>
    <row r="310" spans="1:16" s="434" customFormat="1" ht="15" x14ac:dyDescent="0.3">
      <c r="A310" s="184">
        <v>300</v>
      </c>
      <c r="B310" s="1226"/>
      <c r="C310" s="1197"/>
      <c r="D310" s="1234" t="s">
        <v>1064</v>
      </c>
      <c r="E310" s="1228"/>
      <c r="F310" s="1228"/>
      <c r="G310" s="1229"/>
      <c r="H310" s="1230"/>
      <c r="I310" s="1225">
        <f t="shared" ref="I310:I312" si="65">SUM(J310:N310)</f>
        <v>4675</v>
      </c>
      <c r="J310" s="1232"/>
      <c r="K310" s="1232"/>
      <c r="L310" s="1232"/>
      <c r="M310" s="1237">
        <v>4675</v>
      </c>
      <c r="N310" s="1233"/>
      <c r="P310" s="435"/>
    </row>
    <row r="311" spans="1:16" s="434" customFormat="1" ht="15" x14ac:dyDescent="0.3">
      <c r="A311" s="184">
        <v>301</v>
      </c>
      <c r="B311" s="1226"/>
      <c r="C311" s="1197"/>
      <c r="D311" s="1236" t="s">
        <v>990</v>
      </c>
      <c r="E311" s="1228"/>
      <c r="F311" s="1228"/>
      <c r="G311" s="1229"/>
      <c r="H311" s="1230"/>
      <c r="I311" s="1178">
        <f t="shared" si="65"/>
        <v>-1900</v>
      </c>
      <c r="J311" s="1185"/>
      <c r="K311" s="1185"/>
      <c r="L311" s="1185"/>
      <c r="M311" s="1185">
        <v>-1900</v>
      </c>
      <c r="N311" s="1195"/>
      <c r="P311" s="435"/>
    </row>
    <row r="312" spans="1:16" s="434" customFormat="1" ht="15" x14ac:dyDescent="0.3">
      <c r="A312" s="184">
        <v>302</v>
      </c>
      <c r="B312" s="1226"/>
      <c r="C312" s="1197"/>
      <c r="D312" s="1234" t="s">
        <v>1116</v>
      </c>
      <c r="E312" s="1228"/>
      <c r="F312" s="1228"/>
      <c r="G312" s="1229"/>
      <c r="H312" s="1230"/>
      <c r="I312" s="1225">
        <f t="shared" si="65"/>
        <v>2775</v>
      </c>
      <c r="J312" s="1237"/>
      <c r="K312" s="1237"/>
      <c r="L312" s="1237"/>
      <c r="M312" s="1237">
        <f>SUM(M310:M311)</f>
        <v>2775</v>
      </c>
      <c r="N312" s="1235"/>
      <c r="P312" s="435"/>
    </row>
    <row r="313" spans="1:16" s="207" customFormat="1" ht="15" x14ac:dyDescent="0.3">
      <c r="A313" s="184">
        <v>303</v>
      </c>
      <c r="B313" s="1203"/>
      <c r="C313" s="1173"/>
      <c r="D313" s="1246" t="s">
        <v>444</v>
      </c>
      <c r="E313" s="1206">
        <v>6360</v>
      </c>
      <c r="F313" s="1206">
        <v>8000</v>
      </c>
      <c r="G313" s="1207">
        <v>6288</v>
      </c>
      <c r="H313" s="1208" t="s">
        <v>24</v>
      </c>
      <c r="I313" s="1238"/>
      <c r="J313" s="1209"/>
      <c r="K313" s="1209"/>
      <c r="L313" s="1209"/>
      <c r="M313" s="1209"/>
      <c r="N313" s="1210"/>
      <c r="P313" s="208"/>
    </row>
    <row r="314" spans="1:16" s="434" customFormat="1" ht="15" x14ac:dyDescent="0.3">
      <c r="A314" s="184">
        <v>304</v>
      </c>
      <c r="B314" s="1226"/>
      <c r="C314" s="1197"/>
      <c r="D314" s="1247" t="s">
        <v>311</v>
      </c>
      <c r="E314" s="1228"/>
      <c r="F314" s="1228"/>
      <c r="G314" s="1229"/>
      <c r="H314" s="1230"/>
      <c r="I314" s="1231">
        <f>SUM(J314:N314)</f>
        <v>6800</v>
      </c>
      <c r="J314" s="1232"/>
      <c r="K314" s="1232"/>
      <c r="L314" s="1232"/>
      <c r="M314" s="1232">
        <v>6800</v>
      </c>
      <c r="N314" s="1233"/>
      <c r="P314" s="435"/>
    </row>
    <row r="315" spans="1:16" s="434" customFormat="1" ht="15" x14ac:dyDescent="0.3">
      <c r="A315" s="184">
        <v>305</v>
      </c>
      <c r="B315" s="1226"/>
      <c r="C315" s="1197"/>
      <c r="D315" s="1234" t="s">
        <v>1064</v>
      </c>
      <c r="E315" s="1228"/>
      <c r="F315" s="1228"/>
      <c r="G315" s="1229"/>
      <c r="H315" s="1230"/>
      <c r="I315" s="1225">
        <f t="shared" ref="I315:I317" si="66">SUM(J315:N315)</f>
        <v>6800</v>
      </c>
      <c r="J315" s="1232"/>
      <c r="K315" s="1232"/>
      <c r="L315" s="1232"/>
      <c r="M315" s="1237">
        <v>6800</v>
      </c>
      <c r="N315" s="1233"/>
      <c r="P315" s="435"/>
    </row>
    <row r="316" spans="1:16" s="434" customFormat="1" ht="15" x14ac:dyDescent="0.3">
      <c r="A316" s="184">
        <v>306</v>
      </c>
      <c r="B316" s="1226"/>
      <c r="C316" s="1197"/>
      <c r="D316" s="1236" t="s">
        <v>999</v>
      </c>
      <c r="E316" s="1228"/>
      <c r="F316" s="1228"/>
      <c r="G316" s="1229"/>
      <c r="H316" s="1230"/>
      <c r="I316" s="1178">
        <f t="shared" si="66"/>
        <v>0</v>
      </c>
      <c r="J316" s="1185"/>
      <c r="K316" s="1185"/>
      <c r="L316" s="1185"/>
      <c r="M316" s="1185"/>
      <c r="N316" s="1195"/>
      <c r="P316" s="435"/>
    </row>
    <row r="317" spans="1:16" s="434" customFormat="1" ht="15" x14ac:dyDescent="0.3">
      <c r="A317" s="184">
        <v>307</v>
      </c>
      <c r="B317" s="1226"/>
      <c r="C317" s="1197"/>
      <c r="D317" s="1234" t="s">
        <v>1116</v>
      </c>
      <c r="E317" s="1228"/>
      <c r="F317" s="1228"/>
      <c r="G317" s="1229"/>
      <c r="H317" s="1230"/>
      <c r="I317" s="1225">
        <f t="shared" si="66"/>
        <v>6800</v>
      </c>
      <c r="J317" s="1237"/>
      <c r="K317" s="1237"/>
      <c r="L317" s="1237"/>
      <c r="M317" s="1237">
        <f>SUM(M315:M316)</f>
        <v>6800</v>
      </c>
      <c r="N317" s="1235"/>
      <c r="P317" s="435"/>
    </row>
    <row r="318" spans="1:16" s="207" customFormat="1" ht="15" x14ac:dyDescent="0.3">
      <c r="A318" s="184">
        <v>308</v>
      </c>
      <c r="B318" s="1203"/>
      <c r="C318" s="1173"/>
      <c r="D318" s="1246" t="s">
        <v>445</v>
      </c>
      <c r="E318" s="1206"/>
      <c r="F318" s="1206">
        <v>100</v>
      </c>
      <c r="G318" s="1207"/>
      <c r="H318" s="1208" t="s">
        <v>24</v>
      </c>
      <c r="I318" s="1238"/>
      <c r="J318" s="1209"/>
      <c r="K318" s="1209"/>
      <c r="L318" s="1209"/>
      <c r="M318" s="1209"/>
      <c r="N318" s="1210"/>
      <c r="P318" s="208"/>
    </row>
    <row r="319" spans="1:16" s="434" customFormat="1" ht="15" x14ac:dyDescent="0.3">
      <c r="A319" s="184">
        <v>309</v>
      </c>
      <c r="B319" s="1226"/>
      <c r="C319" s="1197"/>
      <c r="D319" s="1247" t="s">
        <v>311</v>
      </c>
      <c r="E319" s="1228"/>
      <c r="F319" s="1228"/>
      <c r="G319" s="1229"/>
      <c r="H319" s="1230"/>
      <c r="I319" s="1231">
        <f>SUM(J319:N319)</f>
        <v>85</v>
      </c>
      <c r="J319" s="1232"/>
      <c r="K319" s="1232"/>
      <c r="L319" s="1232"/>
      <c r="M319" s="1232">
        <v>85</v>
      </c>
      <c r="N319" s="1233"/>
      <c r="P319" s="435"/>
    </row>
    <row r="320" spans="1:16" s="434" customFormat="1" ht="15" x14ac:dyDescent="0.3">
      <c r="A320" s="184">
        <v>310</v>
      </c>
      <c r="B320" s="1226"/>
      <c r="C320" s="1197"/>
      <c r="D320" s="1234" t="s">
        <v>1064</v>
      </c>
      <c r="E320" s="1228"/>
      <c r="F320" s="1228"/>
      <c r="G320" s="1229"/>
      <c r="H320" s="1230"/>
      <c r="I320" s="1225">
        <f t="shared" ref="I320:I322" si="67">SUM(J320:N320)</f>
        <v>85</v>
      </c>
      <c r="J320" s="1232"/>
      <c r="K320" s="1232"/>
      <c r="L320" s="1232"/>
      <c r="M320" s="1237">
        <v>85</v>
      </c>
      <c r="N320" s="1233"/>
      <c r="P320" s="435"/>
    </row>
    <row r="321" spans="1:16" s="434" customFormat="1" ht="15" x14ac:dyDescent="0.3">
      <c r="A321" s="184">
        <v>311</v>
      </c>
      <c r="B321" s="1226"/>
      <c r="C321" s="1197"/>
      <c r="D321" s="1236" t="s">
        <v>999</v>
      </c>
      <c r="E321" s="1228"/>
      <c r="F321" s="1228"/>
      <c r="G321" s="1229"/>
      <c r="H321" s="1230"/>
      <c r="I321" s="1178">
        <f t="shared" si="67"/>
        <v>0</v>
      </c>
      <c r="J321" s="1185"/>
      <c r="K321" s="1185"/>
      <c r="L321" s="1185"/>
      <c r="M321" s="1185"/>
      <c r="N321" s="1195"/>
      <c r="P321" s="435"/>
    </row>
    <row r="322" spans="1:16" s="434" customFormat="1" ht="15" x14ac:dyDescent="0.3">
      <c r="A322" s="184">
        <v>312</v>
      </c>
      <c r="B322" s="1226"/>
      <c r="C322" s="1197"/>
      <c r="D322" s="1234" t="s">
        <v>1116</v>
      </c>
      <c r="E322" s="1228"/>
      <c r="F322" s="1228"/>
      <c r="G322" s="1229"/>
      <c r="H322" s="1230"/>
      <c r="I322" s="1225">
        <f t="shared" si="67"/>
        <v>85</v>
      </c>
      <c r="J322" s="1237"/>
      <c r="K322" s="1237"/>
      <c r="L322" s="1237"/>
      <c r="M322" s="1237">
        <f>SUM(M320:M321)</f>
        <v>85</v>
      </c>
      <c r="N322" s="1235"/>
      <c r="P322" s="435"/>
    </row>
    <row r="323" spans="1:16" s="207" customFormat="1" ht="15" x14ac:dyDescent="0.3">
      <c r="A323" s="184">
        <v>313</v>
      </c>
      <c r="B323" s="1203"/>
      <c r="C323" s="1173"/>
      <c r="D323" s="1246" t="s">
        <v>446</v>
      </c>
      <c r="E323" s="1206">
        <v>1215</v>
      </c>
      <c r="F323" s="1206">
        <v>2000</v>
      </c>
      <c r="G323" s="1207">
        <v>1320</v>
      </c>
      <c r="H323" s="1208" t="s">
        <v>24</v>
      </c>
      <c r="I323" s="1238"/>
      <c r="J323" s="1209"/>
      <c r="K323" s="1209"/>
      <c r="L323" s="1209"/>
      <c r="M323" s="1209"/>
      <c r="N323" s="1210"/>
      <c r="P323" s="208"/>
    </row>
    <row r="324" spans="1:16" s="434" customFormat="1" ht="15" x14ac:dyDescent="0.3">
      <c r="A324" s="184">
        <v>314</v>
      </c>
      <c r="B324" s="1226"/>
      <c r="C324" s="1197"/>
      <c r="D324" s="1247" t="s">
        <v>311</v>
      </c>
      <c r="E324" s="1228"/>
      <c r="F324" s="1228"/>
      <c r="G324" s="1229"/>
      <c r="H324" s="1230"/>
      <c r="I324" s="1231">
        <f>SUM(J324:N324)</f>
        <v>1700</v>
      </c>
      <c r="J324" s="1232"/>
      <c r="K324" s="1232"/>
      <c r="L324" s="1232"/>
      <c r="M324" s="1232">
        <v>1700</v>
      </c>
      <c r="N324" s="1233"/>
      <c r="P324" s="435"/>
    </row>
    <row r="325" spans="1:16" s="434" customFormat="1" ht="15" x14ac:dyDescent="0.3">
      <c r="A325" s="184">
        <v>315</v>
      </c>
      <c r="B325" s="1226"/>
      <c r="C325" s="1197"/>
      <c r="D325" s="1234" t="s">
        <v>1064</v>
      </c>
      <c r="E325" s="1228"/>
      <c r="F325" s="1228"/>
      <c r="G325" s="1229"/>
      <c r="H325" s="1230"/>
      <c r="I325" s="1225">
        <f t="shared" ref="I325:I327" si="68">SUM(J325:N325)</f>
        <v>1700</v>
      </c>
      <c r="J325" s="1232"/>
      <c r="K325" s="1232"/>
      <c r="L325" s="1232"/>
      <c r="M325" s="1237">
        <v>1700</v>
      </c>
      <c r="N325" s="1233"/>
      <c r="P325" s="435"/>
    </row>
    <row r="326" spans="1:16" s="434" customFormat="1" ht="15" x14ac:dyDescent="0.3">
      <c r="A326" s="184">
        <v>316</v>
      </c>
      <c r="B326" s="1226"/>
      <c r="C326" s="1197"/>
      <c r="D326" s="1236" t="s">
        <v>999</v>
      </c>
      <c r="E326" s="1228"/>
      <c r="F326" s="1228"/>
      <c r="G326" s="1229"/>
      <c r="H326" s="1230"/>
      <c r="I326" s="1178">
        <f t="shared" si="68"/>
        <v>0</v>
      </c>
      <c r="J326" s="1185"/>
      <c r="K326" s="1185"/>
      <c r="L326" s="1185"/>
      <c r="M326" s="1185"/>
      <c r="N326" s="1195"/>
      <c r="P326" s="435"/>
    </row>
    <row r="327" spans="1:16" s="434" customFormat="1" ht="15" x14ac:dyDescent="0.3">
      <c r="A327" s="184">
        <v>317</v>
      </c>
      <c r="B327" s="1226"/>
      <c r="C327" s="1197"/>
      <c r="D327" s="1234" t="s">
        <v>1116</v>
      </c>
      <c r="E327" s="1228"/>
      <c r="F327" s="1228"/>
      <c r="G327" s="1229"/>
      <c r="H327" s="1230"/>
      <c r="I327" s="1225">
        <f t="shared" si="68"/>
        <v>1700</v>
      </c>
      <c r="J327" s="1237"/>
      <c r="K327" s="1237"/>
      <c r="L327" s="1237"/>
      <c r="M327" s="1237">
        <f>SUM(M325:M326)</f>
        <v>1700</v>
      </c>
      <c r="N327" s="1233"/>
      <c r="P327" s="435"/>
    </row>
    <row r="328" spans="1:16" s="207" customFormat="1" ht="15" x14ac:dyDescent="0.3">
      <c r="A328" s="184">
        <v>318</v>
      </c>
      <c r="B328" s="1203"/>
      <c r="C328" s="1173"/>
      <c r="D328" s="1246" t="s">
        <v>447</v>
      </c>
      <c r="E328" s="1206"/>
      <c r="F328" s="1206">
        <v>50</v>
      </c>
      <c r="G328" s="1207"/>
      <c r="H328" s="1208" t="s">
        <v>24</v>
      </c>
      <c r="I328" s="1238"/>
      <c r="J328" s="1209"/>
      <c r="K328" s="1209"/>
      <c r="L328" s="1209"/>
      <c r="M328" s="1209"/>
      <c r="N328" s="1210"/>
      <c r="P328" s="208"/>
    </row>
    <row r="329" spans="1:16" s="434" customFormat="1" ht="15" x14ac:dyDescent="0.3">
      <c r="A329" s="184">
        <v>319</v>
      </c>
      <c r="B329" s="1226"/>
      <c r="C329" s="1197"/>
      <c r="D329" s="1247" t="s">
        <v>311</v>
      </c>
      <c r="E329" s="1228"/>
      <c r="F329" s="1228"/>
      <c r="G329" s="1229"/>
      <c r="H329" s="1230"/>
      <c r="I329" s="1231">
        <f>SUM(J329:N329)</f>
        <v>43</v>
      </c>
      <c r="J329" s="1232"/>
      <c r="K329" s="1232"/>
      <c r="L329" s="1232"/>
      <c r="M329" s="1232">
        <v>43</v>
      </c>
      <c r="N329" s="1233"/>
      <c r="P329" s="435"/>
    </row>
    <row r="330" spans="1:16" s="434" customFormat="1" ht="15" x14ac:dyDescent="0.3">
      <c r="A330" s="184">
        <v>320</v>
      </c>
      <c r="B330" s="1226"/>
      <c r="C330" s="1197"/>
      <c r="D330" s="1234" t="s">
        <v>1064</v>
      </c>
      <c r="E330" s="1228"/>
      <c r="F330" s="1228"/>
      <c r="G330" s="1229"/>
      <c r="H330" s="1230"/>
      <c r="I330" s="1225">
        <f t="shared" ref="I330:I332" si="69">SUM(J330:N330)</f>
        <v>43</v>
      </c>
      <c r="J330" s="1232"/>
      <c r="K330" s="1232"/>
      <c r="L330" s="1232"/>
      <c r="M330" s="1237">
        <v>43</v>
      </c>
      <c r="N330" s="1233"/>
      <c r="P330" s="435"/>
    </row>
    <row r="331" spans="1:16" s="434" customFormat="1" ht="15" x14ac:dyDescent="0.3">
      <c r="A331" s="184">
        <v>321</v>
      </c>
      <c r="B331" s="1226"/>
      <c r="C331" s="1197"/>
      <c r="D331" s="1236" t="s">
        <v>999</v>
      </c>
      <c r="E331" s="1228"/>
      <c r="F331" s="1228"/>
      <c r="G331" s="1229"/>
      <c r="H331" s="1230"/>
      <c r="I331" s="1178">
        <f t="shared" si="69"/>
        <v>0</v>
      </c>
      <c r="J331" s="1185"/>
      <c r="K331" s="1185"/>
      <c r="L331" s="1185"/>
      <c r="M331" s="1185"/>
      <c r="N331" s="1195"/>
      <c r="P331" s="435"/>
    </row>
    <row r="332" spans="1:16" s="434" customFormat="1" ht="15" x14ac:dyDescent="0.3">
      <c r="A332" s="184">
        <v>322</v>
      </c>
      <c r="B332" s="1226"/>
      <c r="C332" s="1197"/>
      <c r="D332" s="1234" t="s">
        <v>1116</v>
      </c>
      <c r="E332" s="1228"/>
      <c r="F332" s="1228"/>
      <c r="G332" s="1229"/>
      <c r="H332" s="1230"/>
      <c r="I332" s="1225">
        <f t="shared" si="69"/>
        <v>43</v>
      </c>
      <c r="J332" s="1237"/>
      <c r="K332" s="1237"/>
      <c r="L332" s="1237"/>
      <c r="M332" s="1237">
        <f>SUM(M330:M331)</f>
        <v>43</v>
      </c>
      <c r="N332" s="1235"/>
      <c r="P332" s="435"/>
    </row>
    <row r="333" spans="1:16" s="207" customFormat="1" ht="15" x14ac:dyDescent="0.3">
      <c r="A333" s="184">
        <v>323</v>
      </c>
      <c r="B333" s="1203"/>
      <c r="C333" s="1173"/>
      <c r="D333" s="1246" t="s">
        <v>448</v>
      </c>
      <c r="E333" s="1206">
        <v>1080</v>
      </c>
      <c r="F333" s="1206">
        <v>1500</v>
      </c>
      <c r="G333" s="1207">
        <v>1320</v>
      </c>
      <c r="H333" s="1208" t="s">
        <v>24</v>
      </c>
      <c r="I333" s="1238"/>
      <c r="J333" s="1209"/>
      <c r="K333" s="1209"/>
      <c r="L333" s="1209"/>
      <c r="M333" s="1209"/>
      <c r="N333" s="1210"/>
      <c r="P333" s="208"/>
    </row>
    <row r="334" spans="1:16" s="434" customFormat="1" ht="15" x14ac:dyDescent="0.3">
      <c r="A334" s="184">
        <v>324</v>
      </c>
      <c r="B334" s="1226"/>
      <c r="C334" s="1197"/>
      <c r="D334" s="1247" t="s">
        <v>311</v>
      </c>
      <c r="E334" s="1228"/>
      <c r="F334" s="1228"/>
      <c r="G334" s="1229"/>
      <c r="H334" s="1230"/>
      <c r="I334" s="1231">
        <f>SUM(J334:N334)</f>
        <v>1275</v>
      </c>
      <c r="J334" s="1232"/>
      <c r="K334" s="1232"/>
      <c r="L334" s="1232"/>
      <c r="M334" s="1232">
        <v>1275</v>
      </c>
      <c r="N334" s="1233"/>
      <c r="P334" s="435"/>
    </row>
    <row r="335" spans="1:16" s="434" customFormat="1" ht="15" x14ac:dyDescent="0.3">
      <c r="A335" s="184">
        <v>325</v>
      </c>
      <c r="B335" s="1226"/>
      <c r="C335" s="1197"/>
      <c r="D335" s="1234" t="s">
        <v>1064</v>
      </c>
      <c r="E335" s="1228"/>
      <c r="F335" s="1228"/>
      <c r="G335" s="1229"/>
      <c r="H335" s="1230"/>
      <c r="I335" s="1225">
        <f t="shared" ref="I335:I337" si="70">SUM(J335:N335)</f>
        <v>1275</v>
      </c>
      <c r="J335" s="1232"/>
      <c r="K335" s="1232"/>
      <c r="L335" s="1232"/>
      <c r="M335" s="1237">
        <v>1275</v>
      </c>
      <c r="N335" s="1233"/>
      <c r="P335" s="435"/>
    </row>
    <row r="336" spans="1:16" s="434" customFormat="1" ht="15" x14ac:dyDescent="0.3">
      <c r="A336" s="184">
        <v>326</v>
      </c>
      <c r="B336" s="1226"/>
      <c r="C336" s="1197"/>
      <c r="D336" s="1236" t="s">
        <v>999</v>
      </c>
      <c r="E336" s="1228"/>
      <c r="F336" s="1228"/>
      <c r="G336" s="1229"/>
      <c r="H336" s="1230"/>
      <c r="I336" s="1178">
        <f t="shared" si="70"/>
        <v>0</v>
      </c>
      <c r="J336" s="1185"/>
      <c r="K336" s="1185"/>
      <c r="L336" s="1185"/>
      <c r="M336" s="1185"/>
      <c r="N336" s="1195"/>
      <c r="P336" s="435"/>
    </row>
    <row r="337" spans="1:16" s="434" customFormat="1" ht="15" x14ac:dyDescent="0.3">
      <c r="A337" s="184">
        <v>327</v>
      </c>
      <c r="B337" s="1226"/>
      <c r="C337" s="1197"/>
      <c r="D337" s="1234" t="s">
        <v>1116</v>
      </c>
      <c r="E337" s="1228"/>
      <c r="F337" s="1228"/>
      <c r="G337" s="1229"/>
      <c r="H337" s="1230"/>
      <c r="I337" s="1225">
        <f t="shared" si="70"/>
        <v>1275</v>
      </c>
      <c r="J337" s="1237"/>
      <c r="K337" s="1237"/>
      <c r="L337" s="1237"/>
      <c r="M337" s="1237">
        <f>SUM(M335:M336)</f>
        <v>1275</v>
      </c>
      <c r="N337" s="1235"/>
      <c r="P337" s="435"/>
    </row>
    <row r="338" spans="1:16" s="207" customFormat="1" ht="15" x14ac:dyDescent="0.3">
      <c r="A338" s="184">
        <v>328</v>
      </c>
      <c r="B338" s="1203"/>
      <c r="C338" s="1173"/>
      <c r="D338" s="1246" t="s">
        <v>449</v>
      </c>
      <c r="E338" s="1206"/>
      <c r="F338" s="1206">
        <v>400</v>
      </c>
      <c r="G338" s="1207"/>
      <c r="H338" s="1208" t="s">
        <v>24</v>
      </c>
      <c r="I338" s="1238"/>
      <c r="J338" s="1209"/>
      <c r="K338" s="1209"/>
      <c r="L338" s="1209"/>
      <c r="M338" s="1209"/>
      <c r="N338" s="1210"/>
      <c r="P338" s="208"/>
    </row>
    <row r="339" spans="1:16" s="434" customFormat="1" ht="15" x14ac:dyDescent="0.3">
      <c r="A339" s="184">
        <v>329</v>
      </c>
      <c r="B339" s="1226"/>
      <c r="C339" s="1197"/>
      <c r="D339" s="1247" t="s">
        <v>311</v>
      </c>
      <c r="E339" s="1198"/>
      <c r="F339" s="1228"/>
      <c r="G339" s="1229"/>
      <c r="H339" s="1230"/>
      <c r="I339" s="1231">
        <f>SUM(J339:N339)</f>
        <v>340</v>
      </c>
      <c r="J339" s="1232"/>
      <c r="K339" s="1232"/>
      <c r="L339" s="1232"/>
      <c r="M339" s="1232">
        <v>340</v>
      </c>
      <c r="N339" s="1233"/>
      <c r="P339" s="435"/>
    </row>
    <row r="340" spans="1:16" s="434" customFormat="1" ht="15" x14ac:dyDescent="0.3">
      <c r="A340" s="184">
        <v>330</v>
      </c>
      <c r="B340" s="1226"/>
      <c r="C340" s="1197"/>
      <c r="D340" s="1234" t="s">
        <v>1064</v>
      </c>
      <c r="E340" s="1198"/>
      <c r="F340" s="1228"/>
      <c r="G340" s="1229"/>
      <c r="H340" s="1230"/>
      <c r="I340" s="1225">
        <f t="shared" ref="I340:I342" si="71">SUM(J340:N340)</f>
        <v>340</v>
      </c>
      <c r="J340" s="1232"/>
      <c r="K340" s="1232"/>
      <c r="L340" s="1232"/>
      <c r="M340" s="1237">
        <v>340</v>
      </c>
      <c r="N340" s="1233"/>
      <c r="P340" s="435"/>
    </row>
    <row r="341" spans="1:16" s="434" customFormat="1" ht="15" x14ac:dyDescent="0.3">
      <c r="A341" s="184">
        <v>331</v>
      </c>
      <c r="B341" s="1226"/>
      <c r="C341" s="1197"/>
      <c r="D341" s="1236" t="s">
        <v>999</v>
      </c>
      <c r="E341" s="1198"/>
      <c r="F341" s="1228"/>
      <c r="G341" s="1229"/>
      <c r="H341" s="1230"/>
      <c r="I341" s="1178">
        <f t="shared" si="71"/>
        <v>0</v>
      </c>
      <c r="J341" s="1185"/>
      <c r="K341" s="1185"/>
      <c r="L341" s="1185"/>
      <c r="M341" s="1185"/>
      <c r="N341" s="1195"/>
      <c r="P341" s="435"/>
    </row>
    <row r="342" spans="1:16" s="434" customFormat="1" ht="15" x14ac:dyDescent="0.3">
      <c r="A342" s="184">
        <v>332</v>
      </c>
      <c r="B342" s="1226"/>
      <c r="C342" s="1197"/>
      <c r="D342" s="1234" t="s">
        <v>1116</v>
      </c>
      <c r="E342" s="1198"/>
      <c r="F342" s="1228"/>
      <c r="G342" s="1229"/>
      <c r="H342" s="1230"/>
      <c r="I342" s="1225">
        <f t="shared" si="71"/>
        <v>340</v>
      </c>
      <c r="J342" s="1237"/>
      <c r="K342" s="1237"/>
      <c r="L342" s="1237"/>
      <c r="M342" s="1237">
        <f>SUM(M340:M341)</f>
        <v>340</v>
      </c>
      <c r="N342" s="1235"/>
      <c r="P342" s="435"/>
    </row>
    <row r="343" spans="1:16" s="207" customFormat="1" ht="15" x14ac:dyDescent="0.3">
      <c r="A343" s="184">
        <v>333</v>
      </c>
      <c r="B343" s="1203"/>
      <c r="C343" s="1173"/>
      <c r="D343" s="1246" t="s">
        <v>450</v>
      </c>
      <c r="E343" s="1175">
        <v>197</v>
      </c>
      <c r="F343" s="1206">
        <v>600</v>
      </c>
      <c r="G343" s="1207">
        <v>42</v>
      </c>
      <c r="H343" s="1208" t="s">
        <v>24</v>
      </c>
      <c r="I343" s="1225"/>
      <c r="J343" s="1185"/>
      <c r="K343" s="1185"/>
      <c r="L343" s="1185"/>
      <c r="M343" s="1185"/>
      <c r="N343" s="1195"/>
      <c r="P343" s="208"/>
    </row>
    <row r="344" spans="1:16" s="434" customFormat="1" ht="15" x14ac:dyDescent="0.3">
      <c r="A344" s="184">
        <v>334</v>
      </c>
      <c r="B344" s="1226"/>
      <c r="C344" s="1197"/>
      <c r="D344" s="1247" t="s">
        <v>311</v>
      </c>
      <c r="E344" s="1198"/>
      <c r="F344" s="1228"/>
      <c r="G344" s="1229"/>
      <c r="H344" s="1230"/>
      <c r="I344" s="1231">
        <f>SUM(J344:N344)</f>
        <v>510</v>
      </c>
      <c r="J344" s="1232"/>
      <c r="K344" s="1232"/>
      <c r="L344" s="1232"/>
      <c r="M344" s="1232">
        <v>510</v>
      </c>
      <c r="N344" s="1233"/>
      <c r="P344" s="435"/>
    </row>
    <row r="345" spans="1:16" s="434" customFormat="1" ht="15" x14ac:dyDescent="0.3">
      <c r="A345" s="184">
        <v>335</v>
      </c>
      <c r="B345" s="1226"/>
      <c r="C345" s="1197"/>
      <c r="D345" s="1234" t="s">
        <v>1064</v>
      </c>
      <c r="E345" s="1198"/>
      <c r="F345" s="1228"/>
      <c r="G345" s="1229"/>
      <c r="H345" s="1230"/>
      <c r="I345" s="1225">
        <f t="shared" ref="I345:I347" si="72">SUM(J345:N345)</f>
        <v>510</v>
      </c>
      <c r="J345" s="1232"/>
      <c r="K345" s="1232"/>
      <c r="L345" s="1232"/>
      <c r="M345" s="1237">
        <v>510</v>
      </c>
      <c r="N345" s="1233"/>
      <c r="P345" s="435"/>
    </row>
    <row r="346" spans="1:16" s="434" customFormat="1" ht="15" x14ac:dyDescent="0.3">
      <c r="A346" s="184">
        <v>336</v>
      </c>
      <c r="B346" s="1226"/>
      <c r="C346" s="1197"/>
      <c r="D346" s="1236" t="s">
        <v>999</v>
      </c>
      <c r="E346" s="1198"/>
      <c r="F346" s="1228"/>
      <c r="G346" s="1229"/>
      <c r="H346" s="1230"/>
      <c r="I346" s="1178">
        <f t="shared" si="72"/>
        <v>0</v>
      </c>
      <c r="J346" s="1185"/>
      <c r="K346" s="1185"/>
      <c r="L346" s="1185"/>
      <c r="M346" s="1185"/>
      <c r="N346" s="1195"/>
      <c r="P346" s="435"/>
    </row>
    <row r="347" spans="1:16" s="434" customFormat="1" ht="15" x14ac:dyDescent="0.3">
      <c r="A347" s="184">
        <v>337</v>
      </c>
      <c r="B347" s="1226"/>
      <c r="C347" s="1197"/>
      <c r="D347" s="1234" t="s">
        <v>1116</v>
      </c>
      <c r="E347" s="1198"/>
      <c r="F347" s="1228"/>
      <c r="G347" s="1229"/>
      <c r="H347" s="1230"/>
      <c r="I347" s="1225">
        <f t="shared" si="72"/>
        <v>510</v>
      </c>
      <c r="J347" s="1237"/>
      <c r="K347" s="1237"/>
      <c r="L347" s="1237"/>
      <c r="M347" s="1237">
        <f>SUM(M345:M346)</f>
        <v>510</v>
      </c>
      <c r="N347" s="1235"/>
      <c r="P347" s="435"/>
    </row>
    <row r="348" spans="1:16" s="3" customFormat="1" ht="16.5" x14ac:dyDescent="0.3">
      <c r="A348" s="184">
        <v>338</v>
      </c>
      <c r="B348" s="1181"/>
      <c r="C348" s="1182">
        <v>48</v>
      </c>
      <c r="D348" s="1183" t="s">
        <v>74</v>
      </c>
      <c r="E348" s="1175">
        <v>4045</v>
      </c>
      <c r="F348" s="1175">
        <v>4500</v>
      </c>
      <c r="G348" s="1176">
        <v>2941</v>
      </c>
      <c r="H348" s="1177" t="s">
        <v>23</v>
      </c>
      <c r="I348" s="1170"/>
      <c r="J348" s="1184"/>
      <c r="K348" s="1184"/>
      <c r="L348" s="1184"/>
      <c r="M348" s="1184"/>
      <c r="N348" s="1186"/>
      <c r="P348" s="7"/>
    </row>
    <row r="349" spans="1:16" s="431" customFormat="1" x14ac:dyDescent="0.3">
      <c r="A349" s="184">
        <v>339</v>
      </c>
      <c r="B349" s="1196"/>
      <c r="C349" s="1197"/>
      <c r="D349" s="1190" t="s">
        <v>311</v>
      </c>
      <c r="E349" s="1198"/>
      <c r="F349" s="1198"/>
      <c r="G349" s="1199"/>
      <c r="H349" s="1200"/>
      <c r="I349" s="1191">
        <f>SUM(J349:N349)</f>
        <v>3825</v>
      </c>
      <c r="J349" s="1192"/>
      <c r="K349" s="1192"/>
      <c r="L349" s="1192"/>
      <c r="M349" s="1192">
        <v>3825</v>
      </c>
      <c r="N349" s="1201"/>
    </row>
    <row r="350" spans="1:16" s="431" customFormat="1" x14ac:dyDescent="0.3">
      <c r="A350" s="184">
        <v>340</v>
      </c>
      <c r="B350" s="1196"/>
      <c r="C350" s="1197"/>
      <c r="D350" s="1163" t="s">
        <v>1064</v>
      </c>
      <c r="E350" s="1198"/>
      <c r="F350" s="1198"/>
      <c r="G350" s="1199"/>
      <c r="H350" s="1200"/>
      <c r="I350" s="1170">
        <f t="shared" ref="I350:I352" si="73">SUM(J350:N350)</f>
        <v>4675</v>
      </c>
      <c r="J350" s="1192"/>
      <c r="K350" s="1192"/>
      <c r="L350" s="1192"/>
      <c r="M350" s="1180">
        <v>4675</v>
      </c>
      <c r="N350" s="1201"/>
    </row>
    <row r="351" spans="1:16" s="431" customFormat="1" x14ac:dyDescent="0.3">
      <c r="A351" s="184">
        <v>341</v>
      </c>
      <c r="B351" s="1196"/>
      <c r="C351" s="1197"/>
      <c r="D351" s="1174" t="s">
        <v>990</v>
      </c>
      <c r="E351" s="1198"/>
      <c r="F351" s="1198"/>
      <c r="G351" s="1199"/>
      <c r="H351" s="1200"/>
      <c r="I351" s="1178">
        <f t="shared" si="73"/>
        <v>1500</v>
      </c>
      <c r="J351" s="1185"/>
      <c r="K351" s="1185"/>
      <c r="L351" s="1185"/>
      <c r="M351" s="1185">
        <v>1500</v>
      </c>
      <c r="N351" s="1195"/>
    </row>
    <row r="352" spans="1:16" s="431" customFormat="1" x14ac:dyDescent="0.3">
      <c r="A352" s="184">
        <v>342</v>
      </c>
      <c r="B352" s="1196"/>
      <c r="C352" s="1197"/>
      <c r="D352" s="1163" t="s">
        <v>1116</v>
      </c>
      <c r="E352" s="1198"/>
      <c r="F352" s="1198"/>
      <c r="G352" s="1199"/>
      <c r="H352" s="1200"/>
      <c r="I352" s="1170">
        <f t="shared" si="73"/>
        <v>6175</v>
      </c>
      <c r="J352" s="1180"/>
      <c r="K352" s="1180"/>
      <c r="L352" s="1180"/>
      <c r="M352" s="1180">
        <f>SUM(M350:M351)</f>
        <v>6175</v>
      </c>
      <c r="N352" s="1202"/>
    </row>
    <row r="353" spans="1:16" s="506" customFormat="1" x14ac:dyDescent="0.35">
      <c r="A353" s="184">
        <v>343</v>
      </c>
      <c r="B353" s="1253"/>
      <c r="C353" s="1182">
        <v>49</v>
      </c>
      <c r="D353" s="1183" t="s">
        <v>75</v>
      </c>
      <c r="E353" s="1175">
        <v>8951</v>
      </c>
      <c r="F353" s="1175">
        <v>11447</v>
      </c>
      <c r="G353" s="1176">
        <v>9164</v>
      </c>
      <c r="H353" s="1177" t="s">
        <v>24</v>
      </c>
      <c r="I353" s="1170"/>
      <c r="J353" s="1184"/>
      <c r="K353" s="1184"/>
      <c r="L353" s="1184"/>
      <c r="M353" s="1184"/>
      <c r="N353" s="1186"/>
      <c r="P353" s="507"/>
    </row>
    <row r="354" spans="1:16" s="431" customFormat="1" x14ac:dyDescent="0.3">
      <c r="A354" s="184">
        <v>344</v>
      </c>
      <c r="B354" s="1196"/>
      <c r="C354" s="1197"/>
      <c r="D354" s="1190" t="s">
        <v>311</v>
      </c>
      <c r="E354" s="1198"/>
      <c r="F354" s="1198"/>
      <c r="G354" s="1199"/>
      <c r="H354" s="1200"/>
      <c r="I354" s="1191">
        <f>SUM(J354:N354)</f>
        <v>7650</v>
      </c>
      <c r="J354" s="1192">
        <v>6565</v>
      </c>
      <c r="K354" s="1192">
        <v>938</v>
      </c>
      <c r="L354" s="1192">
        <v>147</v>
      </c>
      <c r="M354" s="1192"/>
      <c r="N354" s="1201"/>
    </row>
    <row r="355" spans="1:16" s="431" customFormat="1" x14ac:dyDescent="0.3">
      <c r="A355" s="184">
        <v>345</v>
      </c>
      <c r="B355" s="1196"/>
      <c r="C355" s="1197"/>
      <c r="D355" s="1163" t="s">
        <v>1064</v>
      </c>
      <c r="E355" s="1198"/>
      <c r="F355" s="1198"/>
      <c r="G355" s="1199"/>
      <c r="H355" s="1200"/>
      <c r="I355" s="1170">
        <f>SUM(J355:N355)</f>
        <v>8099</v>
      </c>
      <c r="J355" s="1180">
        <v>6565</v>
      </c>
      <c r="K355" s="1180">
        <v>938</v>
      </c>
      <c r="L355" s="1180">
        <v>147</v>
      </c>
      <c r="M355" s="1180"/>
      <c r="N355" s="1202">
        <v>449</v>
      </c>
    </row>
    <row r="356" spans="1:16" s="431" customFormat="1" x14ac:dyDescent="0.3">
      <c r="A356" s="184">
        <v>346</v>
      </c>
      <c r="B356" s="1196"/>
      <c r="C356" s="1197"/>
      <c r="D356" s="1174" t="s">
        <v>1012</v>
      </c>
      <c r="E356" s="1198"/>
      <c r="F356" s="1198"/>
      <c r="G356" s="1199"/>
      <c r="H356" s="1200"/>
      <c r="I356" s="1178">
        <f t="shared" ref="I356:I357" si="74">SUM(J356:N356)</f>
        <v>0</v>
      </c>
      <c r="J356" s="1185"/>
      <c r="K356" s="1185"/>
      <c r="L356" s="1185"/>
      <c r="M356" s="1185"/>
      <c r="N356" s="1195"/>
    </row>
    <row r="357" spans="1:16" s="431" customFormat="1" x14ac:dyDescent="0.3">
      <c r="A357" s="184">
        <v>347</v>
      </c>
      <c r="B357" s="1196"/>
      <c r="C357" s="1197"/>
      <c r="D357" s="1163" t="s">
        <v>1116</v>
      </c>
      <c r="E357" s="1198"/>
      <c r="F357" s="1198"/>
      <c r="G357" s="1199"/>
      <c r="H357" s="1200"/>
      <c r="I357" s="1170">
        <f t="shared" si="74"/>
        <v>8099</v>
      </c>
      <c r="J357" s="1180">
        <f>SUM(J355:J356)</f>
        <v>6565</v>
      </c>
      <c r="K357" s="1180">
        <f t="shared" ref="K357:N357" si="75">SUM(K355:K356)</f>
        <v>938</v>
      </c>
      <c r="L357" s="1180">
        <f t="shared" si="75"/>
        <v>147</v>
      </c>
      <c r="M357" s="1180"/>
      <c r="N357" s="1202">
        <f t="shared" si="75"/>
        <v>449</v>
      </c>
    </row>
    <row r="358" spans="1:16" s="506" customFormat="1" x14ac:dyDescent="0.35">
      <c r="A358" s="184">
        <v>348</v>
      </c>
      <c r="B358" s="1253"/>
      <c r="C358" s="1182">
        <v>50</v>
      </c>
      <c r="D358" s="1183" t="s">
        <v>272</v>
      </c>
      <c r="E358" s="1175">
        <v>1129</v>
      </c>
      <c r="F358" s="1175">
        <v>1560</v>
      </c>
      <c r="G358" s="1176">
        <v>753</v>
      </c>
      <c r="H358" s="1177" t="s">
        <v>24</v>
      </c>
      <c r="I358" s="1170"/>
      <c r="J358" s="1184"/>
      <c r="K358" s="1184"/>
      <c r="L358" s="1184"/>
      <c r="M358" s="1184"/>
      <c r="N358" s="1186"/>
      <c r="P358" s="507"/>
    </row>
    <row r="359" spans="1:16" s="431" customFormat="1" x14ac:dyDescent="0.3">
      <c r="A359" s="184">
        <v>349</v>
      </c>
      <c r="B359" s="1196"/>
      <c r="C359" s="1197"/>
      <c r="D359" s="1190" t="s">
        <v>311</v>
      </c>
      <c r="E359" s="1198"/>
      <c r="F359" s="1198"/>
      <c r="G359" s="1199"/>
      <c r="H359" s="1200"/>
      <c r="I359" s="1191">
        <f>SUM(J359:N359)</f>
        <v>1560</v>
      </c>
      <c r="J359" s="1192">
        <v>1365</v>
      </c>
      <c r="K359" s="1192">
        <v>195</v>
      </c>
      <c r="L359" s="1192"/>
      <c r="M359" s="1192"/>
      <c r="N359" s="1201"/>
    </row>
    <row r="360" spans="1:16" s="431" customFormat="1" x14ac:dyDescent="0.3">
      <c r="A360" s="184">
        <v>350</v>
      </c>
      <c r="B360" s="1196"/>
      <c r="C360" s="1197"/>
      <c r="D360" s="1163" t="s">
        <v>1064</v>
      </c>
      <c r="E360" s="1198"/>
      <c r="F360" s="1198"/>
      <c r="G360" s="1199"/>
      <c r="H360" s="1200"/>
      <c r="I360" s="1170">
        <f t="shared" ref="I360:I362" si="76">SUM(J360:N360)</f>
        <v>1560</v>
      </c>
      <c r="J360" s="1180">
        <v>1365</v>
      </c>
      <c r="K360" s="1180">
        <v>195</v>
      </c>
      <c r="L360" s="1192"/>
      <c r="M360" s="1192"/>
      <c r="N360" s="1201"/>
    </row>
    <row r="361" spans="1:16" s="431" customFormat="1" x14ac:dyDescent="0.3">
      <c r="A361" s="184">
        <v>351</v>
      </c>
      <c r="B361" s="1196"/>
      <c r="C361" s="1197"/>
      <c r="D361" s="1174" t="s">
        <v>999</v>
      </c>
      <c r="E361" s="1198"/>
      <c r="F361" s="1198"/>
      <c r="G361" s="1199"/>
      <c r="H361" s="1200"/>
      <c r="I361" s="1178">
        <f t="shared" si="76"/>
        <v>0</v>
      </c>
      <c r="J361" s="1185"/>
      <c r="K361" s="1185"/>
      <c r="L361" s="1185"/>
      <c r="M361" s="1185"/>
      <c r="N361" s="1195"/>
    </row>
    <row r="362" spans="1:16" s="431" customFormat="1" x14ac:dyDescent="0.3">
      <c r="A362" s="184">
        <v>352</v>
      </c>
      <c r="B362" s="1196"/>
      <c r="C362" s="1197"/>
      <c r="D362" s="1163" t="s">
        <v>1116</v>
      </c>
      <c r="E362" s="1198"/>
      <c r="F362" s="1198"/>
      <c r="G362" s="1199"/>
      <c r="H362" s="1200"/>
      <c r="I362" s="1170">
        <f t="shared" si="76"/>
        <v>1560</v>
      </c>
      <c r="J362" s="1180">
        <f>SUM(J360:J361)</f>
        <v>1365</v>
      </c>
      <c r="K362" s="1180">
        <f>SUM(K360:K361)</f>
        <v>195</v>
      </c>
      <c r="L362" s="1180"/>
      <c r="M362" s="1180"/>
      <c r="N362" s="1202"/>
    </row>
    <row r="363" spans="1:16" s="506" customFormat="1" x14ac:dyDescent="0.35">
      <c r="A363" s="184">
        <v>353</v>
      </c>
      <c r="B363" s="1253"/>
      <c r="C363" s="1182">
        <v>51</v>
      </c>
      <c r="D363" s="1183" t="s">
        <v>76</v>
      </c>
      <c r="E363" s="1175">
        <v>2</v>
      </c>
      <c r="F363" s="1175">
        <v>100</v>
      </c>
      <c r="G363" s="1176"/>
      <c r="H363" s="1177" t="s">
        <v>24</v>
      </c>
      <c r="I363" s="1170"/>
      <c r="J363" s="1184"/>
      <c r="K363" s="1184"/>
      <c r="L363" s="1184"/>
      <c r="M363" s="1184"/>
      <c r="N363" s="1186"/>
      <c r="P363" s="507"/>
    </row>
    <row r="364" spans="1:16" s="431" customFormat="1" x14ac:dyDescent="0.3">
      <c r="A364" s="184">
        <v>354</v>
      </c>
      <c r="B364" s="1196"/>
      <c r="C364" s="1197"/>
      <c r="D364" s="1190" t="s">
        <v>311</v>
      </c>
      <c r="E364" s="1198"/>
      <c r="F364" s="1198"/>
      <c r="G364" s="1199"/>
      <c r="H364" s="1200"/>
      <c r="I364" s="1191">
        <f>SUM(J364:N364)</f>
        <v>85</v>
      </c>
      <c r="J364" s="1192"/>
      <c r="K364" s="1192"/>
      <c r="L364" s="1192"/>
      <c r="M364" s="1192">
        <v>85</v>
      </c>
      <c r="N364" s="1201"/>
    </row>
    <row r="365" spans="1:16" s="431" customFormat="1" x14ac:dyDescent="0.3">
      <c r="A365" s="184">
        <v>355</v>
      </c>
      <c r="B365" s="1196"/>
      <c r="C365" s="1197"/>
      <c r="D365" s="1163" t="s">
        <v>1064</v>
      </c>
      <c r="E365" s="1198"/>
      <c r="F365" s="1198"/>
      <c r="G365" s="1199"/>
      <c r="H365" s="1200"/>
      <c r="I365" s="1170">
        <f t="shared" ref="I365:I367" si="77">SUM(J365:N365)</f>
        <v>85</v>
      </c>
      <c r="J365" s="1192"/>
      <c r="K365" s="1192"/>
      <c r="L365" s="1192"/>
      <c r="M365" s="1180">
        <v>85</v>
      </c>
      <c r="N365" s="1201"/>
    </row>
    <row r="366" spans="1:16" s="431" customFormat="1" x14ac:dyDescent="0.3">
      <c r="A366" s="184">
        <v>356</v>
      </c>
      <c r="B366" s="1196"/>
      <c r="C366" s="1197"/>
      <c r="D366" s="1174" t="s">
        <v>999</v>
      </c>
      <c r="E366" s="1198"/>
      <c r="F366" s="1198"/>
      <c r="G366" s="1199"/>
      <c r="H366" s="1200"/>
      <c r="I366" s="1178">
        <f t="shared" si="77"/>
        <v>0</v>
      </c>
      <c r="J366" s="1185"/>
      <c r="K366" s="1185"/>
      <c r="L366" s="1185"/>
      <c r="M366" s="1185"/>
      <c r="N366" s="1195"/>
    </row>
    <row r="367" spans="1:16" s="431" customFormat="1" x14ac:dyDescent="0.3">
      <c r="A367" s="184">
        <v>357</v>
      </c>
      <c r="B367" s="1196"/>
      <c r="C367" s="1197"/>
      <c r="D367" s="1163" t="s">
        <v>1116</v>
      </c>
      <c r="E367" s="1198"/>
      <c r="F367" s="1198"/>
      <c r="G367" s="1199"/>
      <c r="H367" s="1200"/>
      <c r="I367" s="1170">
        <f t="shared" si="77"/>
        <v>85</v>
      </c>
      <c r="J367" s="1180"/>
      <c r="K367" s="1180"/>
      <c r="L367" s="1180"/>
      <c r="M367" s="1180">
        <f>SUM(M365:M366)</f>
        <v>85</v>
      </c>
      <c r="N367" s="1202"/>
    </row>
    <row r="368" spans="1:16" s="506" customFormat="1" x14ac:dyDescent="0.35">
      <c r="A368" s="184">
        <v>358</v>
      </c>
      <c r="B368" s="1253"/>
      <c r="C368" s="1182">
        <v>52</v>
      </c>
      <c r="D368" s="1183" t="s">
        <v>294</v>
      </c>
      <c r="E368" s="1175">
        <v>6000</v>
      </c>
      <c r="F368" s="1175">
        <v>6000</v>
      </c>
      <c r="G368" s="1176">
        <v>6000</v>
      </c>
      <c r="H368" s="1177" t="s">
        <v>23</v>
      </c>
      <c r="I368" s="1170"/>
      <c r="J368" s="1184"/>
      <c r="K368" s="1184"/>
      <c r="L368" s="1184"/>
      <c r="M368" s="1184"/>
      <c r="N368" s="1186"/>
      <c r="P368" s="507"/>
    </row>
    <row r="369" spans="1:16" s="431" customFormat="1" x14ac:dyDescent="0.3">
      <c r="A369" s="184">
        <v>359</v>
      </c>
      <c r="B369" s="1196"/>
      <c r="C369" s="1197"/>
      <c r="D369" s="1190" t="s">
        <v>311</v>
      </c>
      <c r="E369" s="1198"/>
      <c r="F369" s="1198"/>
      <c r="G369" s="1199"/>
      <c r="H369" s="1200"/>
      <c r="I369" s="1191">
        <f>SUM(J369:N369)</f>
        <v>5100</v>
      </c>
      <c r="J369" s="1192"/>
      <c r="K369" s="1192"/>
      <c r="L369" s="1192">
        <v>5100</v>
      </c>
      <c r="M369" s="1192"/>
      <c r="N369" s="1201"/>
    </row>
    <row r="370" spans="1:16" s="431" customFormat="1" x14ac:dyDescent="0.3">
      <c r="A370" s="184">
        <v>360</v>
      </c>
      <c r="B370" s="1196"/>
      <c r="C370" s="1197"/>
      <c r="D370" s="1163" t="s">
        <v>1064</v>
      </c>
      <c r="E370" s="1198"/>
      <c r="F370" s="1198"/>
      <c r="G370" s="1199"/>
      <c r="H370" s="1200"/>
      <c r="I370" s="1170">
        <f t="shared" ref="I370:I372" si="78">SUM(J370:N370)</f>
        <v>6000</v>
      </c>
      <c r="J370" s="1192"/>
      <c r="K370" s="1192"/>
      <c r="L370" s="1180">
        <v>6000</v>
      </c>
      <c r="M370" s="1192"/>
      <c r="N370" s="1201"/>
    </row>
    <row r="371" spans="1:16" s="431" customFormat="1" x14ac:dyDescent="0.3">
      <c r="A371" s="184">
        <v>361</v>
      </c>
      <c r="B371" s="1196"/>
      <c r="C371" s="1197"/>
      <c r="D371" s="1174" t="s">
        <v>1012</v>
      </c>
      <c r="E371" s="1198"/>
      <c r="F371" s="1198"/>
      <c r="G371" s="1199"/>
      <c r="H371" s="1200"/>
      <c r="I371" s="1178">
        <f t="shared" si="78"/>
        <v>0</v>
      </c>
      <c r="J371" s="1185"/>
      <c r="K371" s="1185"/>
      <c r="L371" s="1185"/>
      <c r="M371" s="1185"/>
      <c r="N371" s="1195"/>
    </row>
    <row r="372" spans="1:16" s="431" customFormat="1" x14ac:dyDescent="0.3">
      <c r="A372" s="184">
        <v>362</v>
      </c>
      <c r="B372" s="1196"/>
      <c r="C372" s="1197"/>
      <c r="D372" s="1163" t="s">
        <v>1116</v>
      </c>
      <c r="E372" s="1198"/>
      <c r="F372" s="1198"/>
      <c r="G372" s="1199"/>
      <c r="H372" s="1200"/>
      <c r="I372" s="1170">
        <f t="shared" si="78"/>
        <v>6000</v>
      </c>
      <c r="J372" s="1180"/>
      <c r="K372" s="1180"/>
      <c r="L372" s="1180">
        <f>SUM(L370:L371)</f>
        <v>6000</v>
      </c>
      <c r="M372" s="1180"/>
      <c r="N372" s="1202"/>
    </row>
    <row r="373" spans="1:16" s="506" customFormat="1" x14ac:dyDescent="0.35">
      <c r="A373" s="184">
        <v>363</v>
      </c>
      <c r="B373" s="1253"/>
      <c r="C373" s="1182">
        <v>53</v>
      </c>
      <c r="D373" s="1183" t="s">
        <v>309</v>
      </c>
      <c r="E373" s="1175">
        <v>12000</v>
      </c>
      <c r="F373" s="1175">
        <v>12000</v>
      </c>
      <c r="G373" s="1176">
        <v>12000</v>
      </c>
      <c r="H373" s="1177" t="s">
        <v>23</v>
      </c>
      <c r="I373" s="1170"/>
      <c r="J373" s="1184"/>
      <c r="K373" s="1184"/>
      <c r="L373" s="1184"/>
      <c r="M373" s="1184"/>
      <c r="N373" s="1186"/>
      <c r="P373" s="507"/>
    </row>
    <row r="374" spans="1:16" s="431" customFormat="1" x14ac:dyDescent="0.3">
      <c r="A374" s="184">
        <v>364</v>
      </c>
      <c r="B374" s="1196"/>
      <c r="C374" s="1197"/>
      <c r="D374" s="1190" t="s">
        <v>311</v>
      </c>
      <c r="E374" s="1198"/>
      <c r="F374" s="1198"/>
      <c r="G374" s="1199"/>
      <c r="H374" s="1200"/>
      <c r="I374" s="1191">
        <f>SUM(J374:N374)</f>
        <v>10200</v>
      </c>
      <c r="J374" s="1192"/>
      <c r="K374" s="1192"/>
      <c r="L374" s="1192"/>
      <c r="M374" s="1192"/>
      <c r="N374" s="1201">
        <v>10200</v>
      </c>
    </row>
    <row r="375" spans="1:16" s="431" customFormat="1" x14ac:dyDescent="0.3">
      <c r="A375" s="184">
        <v>365</v>
      </c>
      <c r="B375" s="1196"/>
      <c r="C375" s="1197"/>
      <c r="D375" s="1163" t="s">
        <v>1064</v>
      </c>
      <c r="E375" s="1198"/>
      <c r="F375" s="1198"/>
      <c r="G375" s="1199"/>
      <c r="H375" s="1200"/>
      <c r="I375" s="1170">
        <f t="shared" ref="I375:I377" si="79">SUM(J375:N375)</f>
        <v>10200</v>
      </c>
      <c r="J375" s="1192"/>
      <c r="K375" s="1192"/>
      <c r="L375" s="1192"/>
      <c r="M375" s="1192"/>
      <c r="N375" s="1202">
        <v>10200</v>
      </c>
    </row>
    <row r="376" spans="1:16" s="431" customFormat="1" x14ac:dyDescent="0.3">
      <c r="A376" s="184">
        <v>366</v>
      </c>
      <c r="B376" s="1196"/>
      <c r="C376" s="1197"/>
      <c r="D376" s="1174" t="s">
        <v>999</v>
      </c>
      <c r="E376" s="1198"/>
      <c r="F376" s="1198"/>
      <c r="G376" s="1199"/>
      <c r="H376" s="1200"/>
      <c r="I376" s="1178">
        <f t="shared" si="79"/>
        <v>0</v>
      </c>
      <c r="J376" s="1185"/>
      <c r="K376" s="1185"/>
      <c r="L376" s="1185"/>
      <c r="M376" s="1185"/>
      <c r="N376" s="1195"/>
    </row>
    <row r="377" spans="1:16" s="431" customFormat="1" x14ac:dyDescent="0.3">
      <c r="A377" s="184">
        <v>367</v>
      </c>
      <c r="B377" s="1196"/>
      <c r="C377" s="1197"/>
      <c r="D377" s="1163" t="s">
        <v>1116</v>
      </c>
      <c r="E377" s="1198"/>
      <c r="F377" s="1198"/>
      <c r="G377" s="1199"/>
      <c r="H377" s="1200"/>
      <c r="I377" s="1170">
        <f t="shared" si="79"/>
        <v>10200</v>
      </c>
      <c r="J377" s="1180"/>
      <c r="K377" s="1180"/>
      <c r="L377" s="1180"/>
      <c r="M377" s="1180"/>
      <c r="N377" s="1202">
        <f>SUM(N375:N376)</f>
        <v>10200</v>
      </c>
    </row>
    <row r="378" spans="1:16" s="506" customFormat="1" x14ac:dyDescent="0.35">
      <c r="A378" s="184">
        <v>368</v>
      </c>
      <c r="B378" s="1253"/>
      <c r="C378" s="1182">
        <v>54</v>
      </c>
      <c r="D378" s="1183" t="s">
        <v>78</v>
      </c>
      <c r="E378" s="1175">
        <v>60000</v>
      </c>
      <c r="F378" s="1175">
        <v>60000</v>
      </c>
      <c r="G378" s="1176">
        <v>60000</v>
      </c>
      <c r="H378" s="1177" t="s">
        <v>23</v>
      </c>
      <c r="I378" s="1170"/>
      <c r="J378" s="1184"/>
      <c r="K378" s="1184"/>
      <c r="L378" s="1184"/>
      <c r="M378" s="1184"/>
      <c r="N378" s="1186"/>
      <c r="P378" s="507"/>
    </row>
    <row r="379" spans="1:16" s="431" customFormat="1" x14ac:dyDescent="0.3">
      <c r="A379" s="184">
        <v>369</v>
      </c>
      <c r="B379" s="1196"/>
      <c r="C379" s="1197"/>
      <c r="D379" s="1190" t="s">
        <v>311</v>
      </c>
      <c r="E379" s="1198"/>
      <c r="F379" s="1198"/>
      <c r="G379" s="1199"/>
      <c r="H379" s="1200"/>
      <c r="I379" s="1191">
        <f>SUM(J379:N379)</f>
        <v>60000</v>
      </c>
      <c r="J379" s="1192"/>
      <c r="K379" s="1192"/>
      <c r="L379" s="1192"/>
      <c r="M379" s="1192"/>
      <c r="N379" s="1201">
        <v>60000</v>
      </c>
    </row>
    <row r="380" spans="1:16" s="431" customFormat="1" x14ac:dyDescent="0.3">
      <c r="A380" s="184">
        <v>370</v>
      </c>
      <c r="B380" s="1196"/>
      <c r="C380" s="1197"/>
      <c r="D380" s="1163" t="s">
        <v>1064</v>
      </c>
      <c r="E380" s="1198"/>
      <c r="F380" s="1198"/>
      <c r="G380" s="1199"/>
      <c r="H380" s="1200"/>
      <c r="I380" s="1170">
        <f t="shared" ref="I380:I382" si="80">SUM(J380:N380)</f>
        <v>60000</v>
      </c>
      <c r="J380" s="1192"/>
      <c r="K380" s="1192"/>
      <c r="L380" s="1192"/>
      <c r="M380" s="1192"/>
      <c r="N380" s="1202">
        <v>60000</v>
      </c>
    </row>
    <row r="381" spans="1:16" s="431" customFormat="1" x14ac:dyDescent="0.3">
      <c r="A381" s="184">
        <v>371</v>
      </c>
      <c r="B381" s="1196"/>
      <c r="C381" s="1197"/>
      <c r="D381" s="1174" t="s">
        <v>999</v>
      </c>
      <c r="E381" s="1198"/>
      <c r="F381" s="1198"/>
      <c r="G381" s="1199"/>
      <c r="H381" s="1200"/>
      <c r="I381" s="1178">
        <f t="shared" si="80"/>
        <v>0</v>
      </c>
      <c r="J381" s="1185"/>
      <c r="K381" s="1185"/>
      <c r="L381" s="1185"/>
      <c r="M381" s="1185"/>
      <c r="N381" s="1195"/>
    </row>
    <row r="382" spans="1:16" s="431" customFormat="1" x14ac:dyDescent="0.3">
      <c r="A382" s="184">
        <v>372</v>
      </c>
      <c r="B382" s="1196"/>
      <c r="C382" s="1197"/>
      <c r="D382" s="1163" t="s">
        <v>1116</v>
      </c>
      <c r="E382" s="1198"/>
      <c r="F382" s="1198"/>
      <c r="G382" s="1199"/>
      <c r="H382" s="1200"/>
      <c r="I382" s="1170">
        <f t="shared" si="80"/>
        <v>60000</v>
      </c>
      <c r="J382" s="1180"/>
      <c r="K382" s="1180"/>
      <c r="L382" s="1180"/>
      <c r="M382" s="1180"/>
      <c r="N382" s="1202">
        <f>SUM(N380:N381)</f>
        <v>60000</v>
      </c>
    </row>
    <row r="383" spans="1:16" s="506" customFormat="1" x14ac:dyDescent="0.35">
      <c r="A383" s="184">
        <v>373</v>
      </c>
      <c r="B383" s="1253"/>
      <c r="C383" s="1182">
        <v>55</v>
      </c>
      <c r="D383" s="1183" t="s">
        <v>524</v>
      </c>
      <c r="E383" s="1175">
        <v>411191</v>
      </c>
      <c r="F383" s="1175">
        <v>401644</v>
      </c>
      <c r="G383" s="1176">
        <v>458587</v>
      </c>
      <c r="H383" s="1177" t="s">
        <v>23</v>
      </c>
      <c r="I383" s="1170"/>
      <c r="J383" s="1184"/>
      <c r="K383" s="1184"/>
      <c r="L383" s="1184"/>
      <c r="M383" s="1184"/>
      <c r="N383" s="1186"/>
      <c r="P383" s="507"/>
    </row>
    <row r="384" spans="1:16" s="431" customFormat="1" x14ac:dyDescent="0.3">
      <c r="A384" s="184">
        <v>374</v>
      </c>
      <c r="B384" s="1196"/>
      <c r="C384" s="1197"/>
      <c r="D384" s="1190" t="s">
        <v>311</v>
      </c>
      <c r="E384" s="1198"/>
      <c r="F384" s="1198"/>
      <c r="G384" s="1199"/>
      <c r="H384" s="1200"/>
      <c r="I384" s="1191">
        <f>SUM(J384:N384)</f>
        <v>454892</v>
      </c>
      <c r="J384" s="1192"/>
      <c r="K384" s="1192"/>
      <c r="L384" s="1192"/>
      <c r="M384" s="1192"/>
      <c r="N384" s="1201">
        <v>454892</v>
      </c>
    </row>
    <row r="385" spans="1:16" s="431" customFormat="1" x14ac:dyDescent="0.3">
      <c r="A385" s="184">
        <v>375</v>
      </c>
      <c r="B385" s="1196"/>
      <c r="C385" s="1197"/>
      <c r="D385" s="1163" t="s">
        <v>1064</v>
      </c>
      <c r="E385" s="1198"/>
      <c r="F385" s="1198"/>
      <c r="G385" s="1199"/>
      <c r="H385" s="1200"/>
      <c r="I385" s="1170">
        <f t="shared" ref="I385:I390" si="81">SUM(J385:N385)</f>
        <v>516441</v>
      </c>
      <c r="J385" s="1192"/>
      <c r="K385" s="1192"/>
      <c r="L385" s="1192"/>
      <c r="M385" s="1192"/>
      <c r="N385" s="1202">
        <v>516441</v>
      </c>
    </row>
    <row r="386" spans="1:16" s="431" customFormat="1" x14ac:dyDescent="0.3">
      <c r="A386" s="184">
        <v>376</v>
      </c>
      <c r="B386" s="1196"/>
      <c r="C386" s="1197"/>
      <c r="D386" s="738" t="s">
        <v>1172</v>
      </c>
      <c r="E386" s="1198"/>
      <c r="F386" s="1198"/>
      <c r="G386" s="1199"/>
      <c r="H386" s="1200"/>
      <c r="I386" s="1178">
        <f t="shared" si="81"/>
        <v>27762</v>
      </c>
      <c r="J386" s="1185"/>
      <c r="K386" s="1185"/>
      <c r="L386" s="1185"/>
      <c r="M386" s="1185"/>
      <c r="N386" s="1195">
        <f>756+6564+5670+860+13912</f>
        <v>27762</v>
      </c>
    </row>
    <row r="387" spans="1:16" s="431" customFormat="1" x14ac:dyDescent="0.3">
      <c r="A387" s="184">
        <v>377</v>
      </c>
      <c r="B387" s="1196"/>
      <c r="C387" s="1197"/>
      <c r="D387" s="738" t="s">
        <v>1173</v>
      </c>
      <c r="E387" s="1916"/>
      <c r="F387" s="1916"/>
      <c r="G387" s="1917"/>
      <c r="H387" s="1918"/>
      <c r="I387" s="1178">
        <f t="shared" si="81"/>
        <v>-24039</v>
      </c>
      <c r="J387" s="1919"/>
      <c r="K387" s="1919"/>
      <c r="L387" s="1919"/>
      <c r="M387" s="1919"/>
      <c r="N387" s="1195">
        <f>-27762+3723</f>
        <v>-24039</v>
      </c>
    </row>
    <row r="388" spans="1:16" s="431" customFormat="1" x14ac:dyDescent="0.3">
      <c r="A388" s="184">
        <v>378</v>
      </c>
      <c r="B388" s="1196"/>
      <c r="C388" s="1197"/>
      <c r="D388" s="738" t="s">
        <v>1120</v>
      </c>
      <c r="E388" s="1198"/>
      <c r="F388" s="1198"/>
      <c r="G388" s="1199"/>
      <c r="H388" s="1200"/>
      <c r="I388" s="1178">
        <f t="shared" si="81"/>
        <v>19898</v>
      </c>
      <c r="J388" s="1185"/>
      <c r="K388" s="1185"/>
      <c r="L388" s="1185"/>
      <c r="M388" s="1185"/>
      <c r="N388" s="1195">
        <v>19898</v>
      </c>
    </row>
    <row r="389" spans="1:16" s="431" customFormat="1" x14ac:dyDescent="0.3">
      <c r="A389" s="184">
        <v>379</v>
      </c>
      <c r="B389" s="1196"/>
      <c r="C389" s="1197"/>
      <c r="D389" s="738" t="s">
        <v>1174</v>
      </c>
      <c r="E389" s="1198"/>
      <c r="F389" s="1198"/>
      <c r="G389" s="1199"/>
      <c r="H389" s="1200"/>
      <c r="I389" s="1178">
        <f t="shared" si="81"/>
        <v>791</v>
      </c>
      <c r="J389" s="1185"/>
      <c r="K389" s="1185"/>
      <c r="L389" s="1185"/>
      <c r="M389" s="1185"/>
      <c r="N389" s="1195">
        <v>791</v>
      </c>
    </row>
    <row r="390" spans="1:16" s="431" customFormat="1" x14ac:dyDescent="0.3">
      <c r="A390" s="184">
        <v>380</v>
      </c>
      <c r="B390" s="1196"/>
      <c r="C390" s="1197"/>
      <c r="D390" s="738" t="s">
        <v>1115</v>
      </c>
      <c r="E390" s="1198"/>
      <c r="F390" s="1198"/>
      <c r="G390" s="1199"/>
      <c r="H390" s="1200"/>
      <c r="I390" s="1178">
        <f t="shared" si="81"/>
        <v>195</v>
      </c>
      <c r="J390" s="1185"/>
      <c r="K390" s="1185"/>
      <c r="L390" s="1185"/>
      <c r="M390" s="1185"/>
      <c r="N390" s="1195">
        <v>195</v>
      </c>
    </row>
    <row r="391" spans="1:16" s="506" customFormat="1" x14ac:dyDescent="0.35">
      <c r="A391" s="184">
        <v>381</v>
      </c>
      <c r="B391" s="1196"/>
      <c r="C391" s="1197"/>
      <c r="D391" s="1163" t="s">
        <v>1116</v>
      </c>
      <c r="E391" s="1198"/>
      <c r="F391" s="1198"/>
      <c r="G391" s="1199"/>
      <c r="H391" s="1200"/>
      <c r="I391" s="1170">
        <f>SUM(J391:N391)</f>
        <v>541048</v>
      </c>
      <c r="J391" s="1180"/>
      <c r="K391" s="1180"/>
      <c r="L391" s="1180"/>
      <c r="M391" s="1180"/>
      <c r="N391" s="1202">
        <f>SUM(N385:N390)</f>
        <v>541048</v>
      </c>
      <c r="P391" s="507"/>
    </row>
    <row r="392" spans="1:16" s="431" customFormat="1" x14ac:dyDescent="0.3">
      <c r="A392" s="184">
        <v>382</v>
      </c>
      <c r="B392" s="1253"/>
      <c r="C392" s="1182">
        <v>56</v>
      </c>
      <c r="D392" s="1183" t="s">
        <v>391</v>
      </c>
      <c r="E392" s="1175">
        <v>47940</v>
      </c>
      <c r="F392" s="1175">
        <v>68578</v>
      </c>
      <c r="G392" s="1176">
        <v>68585</v>
      </c>
      <c r="H392" s="1177" t="s">
        <v>23</v>
      </c>
      <c r="I392" s="1170"/>
      <c r="J392" s="1184"/>
      <c r="K392" s="1184"/>
      <c r="L392" s="1184"/>
      <c r="M392" s="1184"/>
      <c r="N392" s="1186"/>
    </row>
    <row r="393" spans="1:16" s="431" customFormat="1" x14ac:dyDescent="0.3">
      <c r="A393" s="184">
        <v>383</v>
      </c>
      <c r="B393" s="1196"/>
      <c r="C393" s="1197"/>
      <c r="D393" s="1190" t="s">
        <v>311</v>
      </c>
      <c r="E393" s="1198"/>
      <c r="F393" s="1198"/>
      <c r="G393" s="1199"/>
      <c r="H393" s="1200"/>
      <c r="I393" s="1191">
        <f>SUM(J393:N393)</f>
        <v>98406</v>
      </c>
      <c r="J393" s="1192"/>
      <c r="K393" s="1192"/>
      <c r="L393" s="1192">
        <f>80578+17828</f>
        <v>98406</v>
      </c>
      <c r="M393" s="1192"/>
      <c r="N393" s="1201"/>
    </row>
    <row r="394" spans="1:16" s="431" customFormat="1" x14ac:dyDescent="0.3">
      <c r="A394" s="184">
        <v>384</v>
      </c>
      <c r="B394" s="1196"/>
      <c r="C394" s="1197"/>
      <c r="D394" s="1163" t="s">
        <v>1064</v>
      </c>
      <c r="E394" s="1198"/>
      <c r="F394" s="1198"/>
      <c r="G394" s="1199"/>
      <c r="H394" s="1200"/>
      <c r="I394" s="1170">
        <f t="shared" ref="I394:I396" si="82">SUM(J394:N394)</f>
        <v>98406</v>
      </c>
      <c r="J394" s="1192"/>
      <c r="K394" s="1192"/>
      <c r="L394" s="1180">
        <v>98406</v>
      </c>
      <c r="M394" s="1192"/>
      <c r="N394" s="1201"/>
    </row>
    <row r="395" spans="1:16" s="431" customFormat="1" x14ac:dyDescent="0.3">
      <c r="A395" s="184">
        <v>385</v>
      </c>
      <c r="B395" s="1196"/>
      <c r="C395" s="1197"/>
      <c r="D395" s="1174" t="s">
        <v>1012</v>
      </c>
      <c r="E395" s="1198"/>
      <c r="F395" s="1198"/>
      <c r="G395" s="1199"/>
      <c r="H395" s="1200"/>
      <c r="I395" s="1178">
        <f t="shared" si="82"/>
        <v>0</v>
      </c>
      <c r="J395" s="1185"/>
      <c r="K395" s="1185"/>
      <c r="L395" s="1185"/>
      <c r="M395" s="1185"/>
      <c r="N395" s="1195"/>
    </row>
    <row r="396" spans="1:16" s="7" customFormat="1" ht="16.5" x14ac:dyDescent="0.3">
      <c r="A396" s="184">
        <v>386</v>
      </c>
      <c r="B396" s="1196"/>
      <c r="C396" s="1197"/>
      <c r="D396" s="1163" t="s">
        <v>1116</v>
      </c>
      <c r="E396" s="1198"/>
      <c r="F396" s="1198"/>
      <c r="G396" s="1199"/>
      <c r="H396" s="1200"/>
      <c r="I396" s="1170">
        <f t="shared" si="82"/>
        <v>98406</v>
      </c>
      <c r="J396" s="1180"/>
      <c r="K396" s="1180"/>
      <c r="L396" s="1180">
        <f>SUM(L394:L395)</f>
        <v>98406</v>
      </c>
      <c r="M396" s="1180"/>
      <c r="N396" s="1202"/>
    </row>
    <row r="397" spans="1:16" s="431" customFormat="1" x14ac:dyDescent="0.3">
      <c r="A397" s="184">
        <v>387</v>
      </c>
      <c r="B397" s="1172"/>
      <c r="C397" s="1182">
        <v>57</v>
      </c>
      <c r="D397" s="1163" t="s">
        <v>479</v>
      </c>
      <c r="E397" s="1175">
        <v>937</v>
      </c>
      <c r="F397" s="1175">
        <v>3840</v>
      </c>
      <c r="G397" s="1176">
        <v>2180</v>
      </c>
      <c r="H397" s="1177" t="s">
        <v>24</v>
      </c>
      <c r="I397" s="1170"/>
      <c r="J397" s="1184"/>
      <c r="K397" s="1184"/>
      <c r="L397" s="1184"/>
      <c r="M397" s="1184"/>
      <c r="N397" s="1186"/>
    </row>
    <row r="398" spans="1:16" s="431" customFormat="1" x14ac:dyDescent="0.3">
      <c r="A398" s="184">
        <v>388</v>
      </c>
      <c r="B398" s="1196"/>
      <c r="C398" s="1197"/>
      <c r="D398" s="1190" t="s">
        <v>311</v>
      </c>
      <c r="E398" s="1198"/>
      <c r="F398" s="1198"/>
      <c r="G398" s="1199"/>
      <c r="H398" s="1200"/>
      <c r="I398" s="1191">
        <f>SUM(J398:N398)</f>
        <v>3264</v>
      </c>
      <c r="J398" s="1192"/>
      <c r="K398" s="1192"/>
      <c r="L398" s="1192"/>
      <c r="M398" s="1192"/>
      <c r="N398" s="1201">
        <v>3264</v>
      </c>
    </row>
    <row r="399" spans="1:16" s="431" customFormat="1" x14ac:dyDescent="0.3">
      <c r="A399" s="184">
        <v>389</v>
      </c>
      <c r="B399" s="1196"/>
      <c r="C399" s="1197"/>
      <c r="D399" s="1163" t="s">
        <v>1064</v>
      </c>
      <c r="E399" s="1198"/>
      <c r="F399" s="1198"/>
      <c r="G399" s="1199"/>
      <c r="H399" s="1200"/>
      <c r="I399" s="1170">
        <f t="shared" ref="I399:I401" si="83">SUM(J399:N399)</f>
        <v>3264</v>
      </c>
      <c r="J399" s="1192"/>
      <c r="K399" s="1192"/>
      <c r="L399" s="1180">
        <v>3264</v>
      </c>
      <c r="M399" s="1180"/>
      <c r="N399" s="1202">
        <v>0</v>
      </c>
    </row>
    <row r="400" spans="1:16" s="431" customFormat="1" x14ac:dyDescent="0.3">
      <c r="A400" s="184">
        <v>390</v>
      </c>
      <c r="B400" s="1196"/>
      <c r="C400" s="1197"/>
      <c r="D400" s="1174" t="s">
        <v>1012</v>
      </c>
      <c r="E400" s="1198"/>
      <c r="F400" s="1198"/>
      <c r="G400" s="1199"/>
      <c r="H400" s="1200"/>
      <c r="I400" s="1178">
        <f t="shared" si="83"/>
        <v>0</v>
      </c>
      <c r="J400" s="1185"/>
      <c r="K400" s="1185"/>
      <c r="L400" s="1185"/>
      <c r="M400" s="1185"/>
      <c r="N400" s="1195"/>
    </row>
    <row r="401" spans="1:16" s="7" customFormat="1" ht="16.5" x14ac:dyDescent="0.3">
      <c r="A401" s="184">
        <v>391</v>
      </c>
      <c r="B401" s="1196"/>
      <c r="C401" s="1197"/>
      <c r="D401" s="1163" t="s">
        <v>1116</v>
      </c>
      <c r="E401" s="1198"/>
      <c r="F401" s="1198"/>
      <c r="G401" s="1199"/>
      <c r="H401" s="1200"/>
      <c r="I401" s="1170">
        <f t="shared" si="83"/>
        <v>3264</v>
      </c>
      <c r="J401" s="1180"/>
      <c r="K401" s="1180"/>
      <c r="L401" s="1180">
        <f>SUM(L399:L400)</f>
        <v>3264</v>
      </c>
      <c r="M401" s="1180"/>
      <c r="N401" s="1202">
        <f>SUM(N399:N400)</f>
        <v>0</v>
      </c>
    </row>
    <row r="402" spans="1:16" s="431" customFormat="1" x14ac:dyDescent="0.3">
      <c r="A402" s="184">
        <v>392</v>
      </c>
      <c r="B402" s="1172"/>
      <c r="C402" s="1182">
        <v>58</v>
      </c>
      <c r="D402" s="1163" t="s">
        <v>480</v>
      </c>
      <c r="E402" s="1175">
        <v>2448</v>
      </c>
      <c r="F402" s="1175">
        <v>4000</v>
      </c>
      <c r="G402" s="1176"/>
      <c r="H402" s="1177" t="s">
        <v>24</v>
      </c>
      <c r="I402" s="1170"/>
      <c r="J402" s="1184"/>
      <c r="K402" s="1184"/>
      <c r="L402" s="1184"/>
      <c r="M402" s="1184"/>
      <c r="N402" s="1186"/>
    </row>
    <row r="403" spans="1:16" s="431" customFormat="1" x14ac:dyDescent="0.3">
      <c r="A403" s="184">
        <v>393</v>
      </c>
      <c r="B403" s="1196"/>
      <c r="C403" s="1197"/>
      <c r="D403" s="1190" t="s">
        <v>311</v>
      </c>
      <c r="E403" s="1198"/>
      <c r="F403" s="1198"/>
      <c r="G403" s="1199"/>
      <c r="H403" s="1200"/>
      <c r="I403" s="1191">
        <f>SUM(J403:N403)</f>
        <v>3400</v>
      </c>
      <c r="J403" s="1192"/>
      <c r="K403" s="1192"/>
      <c r="L403" s="1192"/>
      <c r="M403" s="1192"/>
      <c r="N403" s="1201">
        <v>3400</v>
      </c>
    </row>
    <row r="404" spans="1:16" s="431" customFormat="1" x14ac:dyDescent="0.3">
      <c r="A404" s="184">
        <v>394</v>
      </c>
      <c r="B404" s="1196"/>
      <c r="C404" s="1197"/>
      <c r="D404" s="1163" t="s">
        <v>1064</v>
      </c>
      <c r="E404" s="1198"/>
      <c r="F404" s="1198"/>
      <c r="G404" s="1199"/>
      <c r="H404" s="1200"/>
      <c r="I404" s="1170">
        <f t="shared" ref="I404:I406" si="84">SUM(J404:N404)</f>
        <v>0</v>
      </c>
      <c r="J404" s="1192"/>
      <c r="K404" s="1192"/>
      <c r="L404" s="1192"/>
      <c r="M404" s="1192"/>
      <c r="N404" s="1202">
        <v>0</v>
      </c>
    </row>
    <row r="405" spans="1:16" s="431" customFormat="1" x14ac:dyDescent="0.3">
      <c r="A405" s="184">
        <v>395</v>
      </c>
      <c r="B405" s="1196"/>
      <c r="C405" s="1197"/>
      <c r="D405" s="1174" t="s">
        <v>1012</v>
      </c>
      <c r="E405" s="1198"/>
      <c r="F405" s="1198"/>
      <c r="G405" s="1199"/>
      <c r="H405" s="1200"/>
      <c r="I405" s="1178">
        <f t="shared" si="84"/>
        <v>0</v>
      </c>
      <c r="J405" s="1185"/>
      <c r="K405" s="1185"/>
      <c r="L405" s="1185"/>
      <c r="M405" s="1185"/>
      <c r="N405" s="1195"/>
    </row>
    <row r="406" spans="1:16" s="3" customFormat="1" ht="16.5" x14ac:dyDescent="0.3">
      <c r="A406" s="184">
        <v>396</v>
      </c>
      <c r="B406" s="1196"/>
      <c r="C406" s="1197"/>
      <c r="D406" s="1163" t="s">
        <v>1116</v>
      </c>
      <c r="E406" s="1198"/>
      <c r="F406" s="1198"/>
      <c r="G406" s="1199"/>
      <c r="H406" s="1200"/>
      <c r="I406" s="1170">
        <f t="shared" si="84"/>
        <v>0</v>
      </c>
      <c r="J406" s="1180"/>
      <c r="K406" s="1180"/>
      <c r="L406" s="1180"/>
      <c r="M406" s="1180"/>
      <c r="N406" s="1202">
        <f>SUM(N404:N405)</f>
        <v>0</v>
      </c>
      <c r="P406" s="7"/>
    </row>
    <row r="407" spans="1:16" s="431" customFormat="1" x14ac:dyDescent="0.3">
      <c r="A407" s="184">
        <v>397</v>
      </c>
      <c r="B407" s="1181"/>
      <c r="C407" s="1182">
        <v>59</v>
      </c>
      <c r="D407" s="1183" t="s">
        <v>80</v>
      </c>
      <c r="E407" s="1175">
        <v>1700</v>
      </c>
      <c r="F407" s="1175">
        <v>1700</v>
      </c>
      <c r="G407" s="1176">
        <v>1700</v>
      </c>
      <c r="H407" s="1177" t="s">
        <v>24</v>
      </c>
      <c r="I407" s="1170"/>
      <c r="J407" s="1184"/>
      <c r="K407" s="1184"/>
      <c r="L407" s="1184"/>
      <c r="M407" s="1184"/>
      <c r="N407" s="1186"/>
    </row>
    <row r="408" spans="1:16" s="431" customFormat="1" x14ac:dyDescent="0.3">
      <c r="A408" s="184">
        <v>398</v>
      </c>
      <c r="B408" s="1196"/>
      <c r="C408" s="1197"/>
      <c r="D408" s="1190" t="s">
        <v>311</v>
      </c>
      <c r="E408" s="1198"/>
      <c r="F408" s="1198"/>
      <c r="G408" s="1199"/>
      <c r="H408" s="1200"/>
      <c r="I408" s="1191">
        <f>SUM(J408:N408)</f>
        <v>1445</v>
      </c>
      <c r="J408" s="1192"/>
      <c r="K408" s="1192"/>
      <c r="L408" s="1192">
        <v>1445</v>
      </c>
      <c r="M408" s="1192"/>
      <c r="N408" s="1201"/>
    </row>
    <row r="409" spans="1:16" s="431" customFormat="1" x14ac:dyDescent="0.3">
      <c r="A409" s="184">
        <v>399</v>
      </c>
      <c r="B409" s="1196"/>
      <c r="C409" s="1197"/>
      <c r="D409" s="1163" t="s">
        <v>1064</v>
      </c>
      <c r="E409" s="1198"/>
      <c r="F409" s="1198"/>
      <c r="G409" s="1199"/>
      <c r="H409" s="1200"/>
      <c r="I409" s="1170">
        <f t="shared" ref="I409:I411" si="85">SUM(J409:N409)</f>
        <v>1445</v>
      </c>
      <c r="J409" s="1192"/>
      <c r="K409" s="1192"/>
      <c r="L409" s="1180">
        <v>1445</v>
      </c>
      <c r="M409" s="1192"/>
      <c r="N409" s="1201"/>
    </row>
    <row r="410" spans="1:16" s="431" customFormat="1" x14ac:dyDescent="0.3">
      <c r="A410" s="184">
        <v>400</v>
      </c>
      <c r="B410" s="1196"/>
      <c r="C410" s="1197"/>
      <c r="D410" s="1174" t="s">
        <v>999</v>
      </c>
      <c r="E410" s="1198"/>
      <c r="F410" s="1198"/>
      <c r="G410" s="1199"/>
      <c r="H410" s="1200"/>
      <c r="I410" s="1178">
        <f t="shared" si="85"/>
        <v>0</v>
      </c>
      <c r="J410" s="1185"/>
      <c r="K410" s="1185"/>
      <c r="L410" s="1185"/>
      <c r="M410" s="1185"/>
      <c r="N410" s="1195"/>
    </row>
    <row r="411" spans="1:16" s="3" customFormat="1" ht="16.5" x14ac:dyDescent="0.3">
      <c r="A411" s="184">
        <v>401</v>
      </c>
      <c r="B411" s="1196"/>
      <c r="C411" s="1197"/>
      <c r="D411" s="1163" t="s">
        <v>1116</v>
      </c>
      <c r="E411" s="1198"/>
      <c r="F411" s="1198"/>
      <c r="G411" s="1199"/>
      <c r="H411" s="1200"/>
      <c r="I411" s="1170">
        <f t="shared" si="85"/>
        <v>1445</v>
      </c>
      <c r="J411" s="1180"/>
      <c r="K411" s="1180"/>
      <c r="L411" s="1180">
        <f>SUM(L409:L410)</f>
        <v>1445</v>
      </c>
      <c r="M411" s="1180"/>
      <c r="N411" s="1202"/>
      <c r="P411" s="7"/>
    </row>
    <row r="412" spans="1:16" s="431" customFormat="1" x14ac:dyDescent="0.3">
      <c r="A412" s="184">
        <v>402</v>
      </c>
      <c r="B412" s="1181"/>
      <c r="C412" s="1182">
        <v>60</v>
      </c>
      <c r="D412" s="1183" t="s">
        <v>451</v>
      </c>
      <c r="E412" s="1175"/>
      <c r="F412" s="1175">
        <v>1000</v>
      </c>
      <c r="G412" s="1176"/>
      <c r="H412" s="1177" t="s">
        <v>24</v>
      </c>
      <c r="I412" s="1170"/>
      <c r="J412" s="1184"/>
      <c r="K412" s="1184"/>
      <c r="L412" s="1184"/>
      <c r="M412" s="1184"/>
      <c r="N412" s="1186"/>
    </row>
    <row r="413" spans="1:16" s="431" customFormat="1" x14ac:dyDescent="0.3">
      <c r="A413" s="184">
        <v>403</v>
      </c>
      <c r="B413" s="1196"/>
      <c r="C413" s="1197"/>
      <c r="D413" s="1190" t="s">
        <v>311</v>
      </c>
      <c r="E413" s="1198"/>
      <c r="F413" s="1198"/>
      <c r="G413" s="1199"/>
      <c r="H413" s="1200"/>
      <c r="I413" s="1191">
        <f>SUM(J413:N413)</f>
        <v>850</v>
      </c>
      <c r="J413" s="1192"/>
      <c r="K413" s="1192"/>
      <c r="L413" s="1192">
        <v>850</v>
      </c>
      <c r="M413" s="1192"/>
      <c r="N413" s="1201"/>
    </row>
    <row r="414" spans="1:16" s="431" customFormat="1" x14ac:dyDescent="0.3">
      <c r="A414" s="184">
        <v>404</v>
      </c>
      <c r="B414" s="1196"/>
      <c r="C414" s="1197"/>
      <c r="D414" s="1163" t="s">
        <v>1064</v>
      </c>
      <c r="E414" s="1198"/>
      <c r="F414" s="1198"/>
      <c r="G414" s="1199"/>
      <c r="H414" s="1200"/>
      <c r="I414" s="1170">
        <f t="shared" ref="I414:I416" si="86">SUM(J414:N414)</f>
        <v>0</v>
      </c>
      <c r="J414" s="1192"/>
      <c r="K414" s="1192"/>
      <c r="L414" s="1180">
        <v>0</v>
      </c>
      <c r="M414" s="1192"/>
      <c r="N414" s="1201"/>
    </row>
    <row r="415" spans="1:16" s="431" customFormat="1" x14ac:dyDescent="0.3">
      <c r="A415" s="184">
        <v>405</v>
      </c>
      <c r="B415" s="1196"/>
      <c r="C415" s="1197"/>
      <c r="D415" s="1174" t="s">
        <v>1012</v>
      </c>
      <c r="E415" s="1198"/>
      <c r="F415" s="1198"/>
      <c r="G415" s="1199"/>
      <c r="H415" s="1200"/>
      <c r="I415" s="1178">
        <f t="shared" si="86"/>
        <v>0</v>
      </c>
      <c r="J415" s="1185"/>
      <c r="K415" s="1185"/>
      <c r="L415" s="1185"/>
      <c r="M415" s="1185"/>
      <c r="N415" s="1195"/>
    </row>
    <row r="416" spans="1:16" s="3" customFormat="1" ht="16.5" x14ac:dyDescent="0.3">
      <c r="A416" s="184">
        <v>406</v>
      </c>
      <c r="B416" s="1196"/>
      <c r="C416" s="1197"/>
      <c r="D416" s="1163" t="s">
        <v>1116</v>
      </c>
      <c r="E416" s="1198"/>
      <c r="F416" s="1198"/>
      <c r="G416" s="1199"/>
      <c r="H416" s="1200"/>
      <c r="I416" s="1170">
        <f t="shared" si="86"/>
        <v>0</v>
      </c>
      <c r="J416" s="1180"/>
      <c r="K416" s="1180"/>
      <c r="L416" s="1180">
        <f>SUM(L414:L415)</f>
        <v>0</v>
      </c>
      <c r="M416" s="1180"/>
      <c r="N416" s="1202"/>
      <c r="P416" s="7"/>
    </row>
    <row r="417" spans="1:16" s="431" customFormat="1" x14ac:dyDescent="0.3">
      <c r="A417" s="184">
        <v>407</v>
      </c>
      <c r="B417" s="1181"/>
      <c r="C417" s="1182">
        <v>61</v>
      </c>
      <c r="D417" s="1183" t="s">
        <v>81</v>
      </c>
      <c r="E417" s="1175">
        <v>1000</v>
      </c>
      <c r="F417" s="1175">
        <v>1000</v>
      </c>
      <c r="G417" s="1176">
        <v>1000</v>
      </c>
      <c r="H417" s="1177" t="s">
        <v>24</v>
      </c>
      <c r="I417" s="1170"/>
      <c r="J417" s="1184"/>
      <c r="K417" s="1184"/>
      <c r="L417" s="1184"/>
      <c r="M417" s="1184"/>
      <c r="N417" s="1186"/>
    </row>
    <row r="418" spans="1:16" s="431" customFormat="1" x14ac:dyDescent="0.3">
      <c r="A418" s="184">
        <v>408</v>
      </c>
      <c r="B418" s="1196"/>
      <c r="C418" s="1197"/>
      <c r="D418" s="1190" t="s">
        <v>311</v>
      </c>
      <c r="E418" s="1198"/>
      <c r="F418" s="1198"/>
      <c r="G418" s="1199"/>
      <c r="H418" s="1200"/>
      <c r="I418" s="1191">
        <f>SUM(J418:N418)</f>
        <v>850</v>
      </c>
      <c r="J418" s="1192"/>
      <c r="K418" s="1192"/>
      <c r="L418" s="1192">
        <v>850</v>
      </c>
      <c r="M418" s="1192"/>
      <c r="N418" s="1201"/>
    </row>
    <row r="419" spans="1:16" s="431" customFormat="1" x14ac:dyDescent="0.3">
      <c r="A419" s="184">
        <v>409</v>
      </c>
      <c r="B419" s="1196"/>
      <c r="C419" s="1197"/>
      <c r="D419" s="1163" t="s">
        <v>1064</v>
      </c>
      <c r="E419" s="1198"/>
      <c r="F419" s="1198"/>
      <c r="G419" s="1199"/>
      <c r="H419" s="1200"/>
      <c r="I419" s="1170">
        <f t="shared" ref="I419:I421" si="87">SUM(J419:N419)</f>
        <v>850</v>
      </c>
      <c r="J419" s="1192"/>
      <c r="K419" s="1192"/>
      <c r="L419" s="1180">
        <v>850</v>
      </c>
      <c r="M419" s="1192"/>
      <c r="N419" s="1201"/>
    </row>
    <row r="420" spans="1:16" s="431" customFormat="1" x14ac:dyDescent="0.3">
      <c r="A420" s="184">
        <v>410</v>
      </c>
      <c r="B420" s="1196"/>
      <c r="C420" s="1197"/>
      <c r="D420" s="1174" t="s">
        <v>999</v>
      </c>
      <c r="E420" s="1198"/>
      <c r="F420" s="1198"/>
      <c r="G420" s="1199"/>
      <c r="H420" s="1200"/>
      <c r="I420" s="1178">
        <f t="shared" si="87"/>
        <v>0</v>
      </c>
      <c r="J420" s="1185"/>
      <c r="K420" s="1185"/>
      <c r="L420" s="1185"/>
      <c r="M420" s="1185"/>
      <c r="N420" s="1195"/>
    </row>
    <row r="421" spans="1:16" s="7" customFormat="1" ht="16.5" x14ac:dyDescent="0.3">
      <c r="A421" s="184">
        <v>411</v>
      </c>
      <c r="B421" s="1196"/>
      <c r="C421" s="1197"/>
      <c r="D421" s="1163" t="s">
        <v>1116</v>
      </c>
      <c r="E421" s="1198"/>
      <c r="F421" s="1198"/>
      <c r="G421" s="1199"/>
      <c r="H421" s="1200"/>
      <c r="I421" s="1170">
        <f t="shared" si="87"/>
        <v>850</v>
      </c>
      <c r="J421" s="1180"/>
      <c r="K421" s="1180"/>
      <c r="L421" s="1180">
        <f>SUM(L419:L420)</f>
        <v>850</v>
      </c>
      <c r="M421" s="1180"/>
      <c r="N421" s="1202"/>
    </row>
    <row r="422" spans="1:16" s="431" customFormat="1" x14ac:dyDescent="0.3">
      <c r="A422" s="184">
        <v>412</v>
      </c>
      <c r="B422" s="1172"/>
      <c r="C422" s="1182">
        <v>62</v>
      </c>
      <c r="D422" s="1183" t="s">
        <v>836</v>
      </c>
      <c r="E422" s="1175"/>
      <c r="F422" s="1175"/>
      <c r="G422" s="1176"/>
      <c r="H422" s="1177" t="s">
        <v>24</v>
      </c>
      <c r="I422" s="1170"/>
      <c r="J422" s="1184"/>
      <c r="K422" s="1184"/>
      <c r="L422" s="1184"/>
      <c r="M422" s="1184"/>
      <c r="N422" s="1186"/>
    </row>
    <row r="423" spans="1:16" s="431" customFormat="1" x14ac:dyDescent="0.3">
      <c r="A423" s="184">
        <v>413</v>
      </c>
      <c r="B423" s="1196"/>
      <c r="C423" s="1197"/>
      <c r="D423" s="1190" t="s">
        <v>311</v>
      </c>
      <c r="E423" s="1198"/>
      <c r="F423" s="1198"/>
      <c r="G423" s="1199"/>
      <c r="H423" s="1200"/>
      <c r="I423" s="1191">
        <f>SUM(J423:N423)</f>
        <v>1275</v>
      </c>
      <c r="J423" s="1192"/>
      <c r="K423" s="1192"/>
      <c r="L423" s="1192"/>
      <c r="M423" s="1192"/>
      <c r="N423" s="1201">
        <v>1275</v>
      </c>
    </row>
    <row r="424" spans="1:16" s="431" customFormat="1" x14ac:dyDescent="0.3">
      <c r="A424" s="184">
        <v>414</v>
      </c>
      <c r="B424" s="1196"/>
      <c r="C424" s="1197"/>
      <c r="D424" s="1163" t="s">
        <v>1064</v>
      </c>
      <c r="E424" s="1198"/>
      <c r="F424" s="1198"/>
      <c r="G424" s="1199"/>
      <c r="H424" s="1200"/>
      <c r="I424" s="1170">
        <f t="shared" ref="I424:I426" si="88">SUM(J424:N424)</f>
        <v>1275</v>
      </c>
      <c r="J424" s="1192"/>
      <c r="K424" s="1192"/>
      <c r="L424" s="1192"/>
      <c r="M424" s="1192"/>
      <c r="N424" s="1202">
        <v>1275</v>
      </c>
    </row>
    <row r="425" spans="1:16" s="431" customFormat="1" x14ac:dyDescent="0.3">
      <c r="A425" s="184">
        <v>415</v>
      </c>
      <c r="B425" s="1196"/>
      <c r="C425" s="1197"/>
      <c r="D425" s="1174" t="s">
        <v>999</v>
      </c>
      <c r="E425" s="1198"/>
      <c r="F425" s="1198"/>
      <c r="G425" s="1199"/>
      <c r="H425" s="1200"/>
      <c r="I425" s="1178">
        <f t="shared" si="88"/>
        <v>0</v>
      </c>
      <c r="J425" s="1185"/>
      <c r="K425" s="1185"/>
      <c r="L425" s="1185"/>
      <c r="M425" s="1185"/>
      <c r="N425" s="1195"/>
    </row>
    <row r="426" spans="1:16" s="3" customFormat="1" ht="16.5" x14ac:dyDescent="0.3">
      <c r="A426" s="184">
        <v>416</v>
      </c>
      <c r="B426" s="1196"/>
      <c r="C426" s="1197"/>
      <c r="D426" s="1163" t="s">
        <v>1116</v>
      </c>
      <c r="E426" s="1198"/>
      <c r="F426" s="1198"/>
      <c r="G426" s="1199"/>
      <c r="H426" s="1200"/>
      <c r="I426" s="1170">
        <f t="shared" si="88"/>
        <v>1275</v>
      </c>
      <c r="J426" s="1180"/>
      <c r="K426" s="1180"/>
      <c r="L426" s="1180"/>
      <c r="M426" s="1180"/>
      <c r="N426" s="1202">
        <f>SUM(N424:N425)</f>
        <v>1275</v>
      </c>
      <c r="P426" s="7"/>
    </row>
    <row r="427" spans="1:16" s="431" customFormat="1" x14ac:dyDescent="0.3">
      <c r="A427" s="184">
        <v>417</v>
      </c>
      <c r="B427" s="1181"/>
      <c r="C427" s="1182">
        <v>63</v>
      </c>
      <c r="D427" s="1183" t="s">
        <v>82</v>
      </c>
      <c r="E427" s="1175">
        <v>4958</v>
      </c>
      <c r="F427" s="1175">
        <v>5500</v>
      </c>
      <c r="G427" s="1176">
        <v>5500</v>
      </c>
      <c r="H427" s="1177" t="s">
        <v>23</v>
      </c>
      <c r="I427" s="1170"/>
      <c r="J427" s="1184"/>
      <c r="K427" s="1184"/>
      <c r="L427" s="1184"/>
      <c r="M427" s="1184"/>
      <c r="N427" s="1186"/>
    </row>
    <row r="428" spans="1:16" s="431" customFormat="1" x14ac:dyDescent="0.3">
      <c r="A428" s="184">
        <v>418</v>
      </c>
      <c r="B428" s="1196"/>
      <c r="C428" s="1197"/>
      <c r="D428" s="1190" t="s">
        <v>311</v>
      </c>
      <c r="E428" s="1198"/>
      <c r="F428" s="1198"/>
      <c r="G428" s="1199"/>
      <c r="H428" s="1200"/>
      <c r="I428" s="1191">
        <f>SUM(J428:N428)</f>
        <v>5500</v>
      </c>
      <c r="J428" s="1192"/>
      <c r="K428" s="1192"/>
      <c r="L428" s="1192">
        <v>5500</v>
      </c>
      <c r="M428" s="1192"/>
      <c r="N428" s="1201"/>
    </row>
    <row r="429" spans="1:16" s="431" customFormat="1" x14ac:dyDescent="0.3">
      <c r="A429" s="184">
        <v>419</v>
      </c>
      <c r="B429" s="1196"/>
      <c r="C429" s="1197"/>
      <c r="D429" s="1163" t="s">
        <v>1064</v>
      </c>
      <c r="E429" s="1198"/>
      <c r="F429" s="1198"/>
      <c r="G429" s="1199"/>
      <c r="H429" s="1200"/>
      <c r="I429" s="1170">
        <f t="shared" ref="I429:I431" si="89">SUM(J429:N429)</f>
        <v>5500</v>
      </c>
      <c r="J429" s="1192"/>
      <c r="K429" s="1192"/>
      <c r="L429" s="1180">
        <v>5500</v>
      </c>
      <c r="M429" s="1192"/>
      <c r="N429" s="1201"/>
    </row>
    <row r="430" spans="1:16" s="431" customFormat="1" x14ac:dyDescent="0.3">
      <c r="A430" s="184">
        <v>420</v>
      </c>
      <c r="B430" s="1196"/>
      <c r="C430" s="1197"/>
      <c r="D430" s="1174" t="s">
        <v>999</v>
      </c>
      <c r="E430" s="1198"/>
      <c r="F430" s="1198"/>
      <c r="G430" s="1199"/>
      <c r="H430" s="1200"/>
      <c r="I430" s="1178">
        <f t="shared" si="89"/>
        <v>0</v>
      </c>
      <c r="J430" s="1185"/>
      <c r="K430" s="1185"/>
      <c r="L430" s="1185"/>
      <c r="M430" s="1185"/>
      <c r="N430" s="1195"/>
    </row>
    <row r="431" spans="1:16" s="3" customFormat="1" ht="16.5" x14ac:dyDescent="0.3">
      <c r="A431" s="184">
        <v>421</v>
      </c>
      <c r="B431" s="1196"/>
      <c r="C431" s="1197"/>
      <c r="D431" s="1163" t="s">
        <v>1116</v>
      </c>
      <c r="E431" s="1198"/>
      <c r="F431" s="1198"/>
      <c r="G431" s="1199"/>
      <c r="H431" s="1200"/>
      <c r="I431" s="1170">
        <f t="shared" si="89"/>
        <v>5500</v>
      </c>
      <c r="J431" s="1180"/>
      <c r="K431" s="1180"/>
      <c r="L431" s="1180">
        <f>SUM(L429:L430)</f>
        <v>5500</v>
      </c>
      <c r="M431" s="1180"/>
      <c r="N431" s="1202"/>
      <c r="P431" s="7"/>
    </row>
    <row r="432" spans="1:16" s="431" customFormat="1" x14ac:dyDescent="0.3">
      <c r="A432" s="184">
        <v>422</v>
      </c>
      <c r="B432" s="1181"/>
      <c r="C432" s="1182">
        <v>64</v>
      </c>
      <c r="D432" s="1183" t="s">
        <v>83</v>
      </c>
      <c r="E432" s="1175">
        <v>4500</v>
      </c>
      <c r="F432" s="1175">
        <v>4800</v>
      </c>
      <c r="G432" s="1176">
        <v>4800</v>
      </c>
      <c r="H432" s="1177" t="s">
        <v>23</v>
      </c>
      <c r="I432" s="1170"/>
      <c r="J432" s="1184"/>
      <c r="K432" s="1184"/>
      <c r="L432" s="1184"/>
      <c r="M432" s="1184"/>
      <c r="N432" s="1186"/>
    </row>
    <row r="433" spans="1:16" s="431" customFormat="1" x14ac:dyDescent="0.3">
      <c r="A433" s="184">
        <v>423</v>
      </c>
      <c r="B433" s="1196"/>
      <c r="C433" s="1197"/>
      <c r="D433" s="1190" t="s">
        <v>311</v>
      </c>
      <c r="E433" s="1198"/>
      <c r="F433" s="1198"/>
      <c r="G433" s="1199"/>
      <c r="H433" s="1200"/>
      <c r="I433" s="1191">
        <f>SUM(J433:N433)</f>
        <v>5200</v>
      </c>
      <c r="J433" s="1192"/>
      <c r="K433" s="1192"/>
      <c r="L433" s="1192">
        <v>5200</v>
      </c>
      <c r="M433" s="1192"/>
      <c r="N433" s="1201"/>
    </row>
    <row r="434" spans="1:16" s="431" customFormat="1" x14ac:dyDescent="0.3">
      <c r="A434" s="184">
        <v>424</v>
      </c>
      <c r="B434" s="1196"/>
      <c r="C434" s="1197"/>
      <c r="D434" s="1163" t="s">
        <v>1064</v>
      </c>
      <c r="E434" s="1198"/>
      <c r="F434" s="1198"/>
      <c r="G434" s="1199"/>
      <c r="H434" s="1200"/>
      <c r="I434" s="1170">
        <f t="shared" ref="I434:I436" si="90">SUM(J434:N434)</f>
        <v>5200</v>
      </c>
      <c r="J434" s="1192"/>
      <c r="K434" s="1192"/>
      <c r="L434" s="1180">
        <v>5200</v>
      </c>
      <c r="M434" s="1192"/>
      <c r="N434" s="1201"/>
    </row>
    <row r="435" spans="1:16" s="431" customFormat="1" x14ac:dyDescent="0.3">
      <c r="A435" s="184">
        <v>425</v>
      </c>
      <c r="B435" s="1196"/>
      <c r="C435" s="1197"/>
      <c r="D435" s="1174" t="s">
        <v>999</v>
      </c>
      <c r="E435" s="1198"/>
      <c r="F435" s="1198"/>
      <c r="G435" s="1199"/>
      <c r="H435" s="1200"/>
      <c r="I435" s="1178">
        <f t="shared" si="90"/>
        <v>0</v>
      </c>
      <c r="J435" s="1185"/>
      <c r="K435" s="1185"/>
      <c r="L435" s="1185"/>
      <c r="M435" s="1185"/>
      <c r="N435" s="1195"/>
    </row>
    <row r="436" spans="1:16" s="3" customFormat="1" ht="16.5" x14ac:dyDescent="0.3">
      <c r="A436" s="184">
        <v>426</v>
      </c>
      <c r="B436" s="1196"/>
      <c r="C436" s="1197"/>
      <c r="D436" s="1163" t="s">
        <v>1116</v>
      </c>
      <c r="E436" s="1198"/>
      <c r="F436" s="1198"/>
      <c r="G436" s="1199"/>
      <c r="H436" s="1200"/>
      <c r="I436" s="1170">
        <f t="shared" si="90"/>
        <v>5200</v>
      </c>
      <c r="J436" s="1180"/>
      <c r="K436" s="1180"/>
      <c r="L436" s="1180">
        <f>SUM(L434:L435)</f>
        <v>5200</v>
      </c>
      <c r="M436" s="1180"/>
      <c r="N436" s="1202"/>
      <c r="P436" s="7"/>
    </row>
    <row r="437" spans="1:16" s="431" customFormat="1" x14ac:dyDescent="0.3">
      <c r="A437" s="184">
        <v>427</v>
      </c>
      <c r="B437" s="1181"/>
      <c r="C437" s="1182">
        <v>65</v>
      </c>
      <c r="D437" s="1183" t="s">
        <v>84</v>
      </c>
      <c r="E437" s="1175">
        <v>1391</v>
      </c>
      <c r="F437" s="1175">
        <v>2845</v>
      </c>
      <c r="G437" s="1176">
        <v>1763</v>
      </c>
      <c r="H437" s="1177" t="s">
        <v>24</v>
      </c>
      <c r="I437" s="1170"/>
      <c r="J437" s="1184"/>
      <c r="K437" s="1184"/>
      <c r="L437" s="1184"/>
      <c r="M437" s="1184"/>
      <c r="N437" s="1186"/>
    </row>
    <row r="438" spans="1:16" s="431" customFormat="1" x14ac:dyDescent="0.3">
      <c r="A438" s="184">
        <v>428</v>
      </c>
      <c r="B438" s="1196"/>
      <c r="C438" s="1197"/>
      <c r="D438" s="1190" t="s">
        <v>311</v>
      </c>
      <c r="E438" s="1198"/>
      <c r="F438" s="1198"/>
      <c r="G438" s="1199"/>
      <c r="H438" s="1200"/>
      <c r="I438" s="1191">
        <f>SUM(J438:N438)</f>
        <v>2418</v>
      </c>
      <c r="J438" s="1192"/>
      <c r="K438" s="1192"/>
      <c r="L438" s="1192">
        <v>2418</v>
      </c>
      <c r="M438" s="1192"/>
      <c r="N438" s="1201"/>
    </row>
    <row r="439" spans="1:16" s="431" customFormat="1" x14ac:dyDescent="0.3">
      <c r="A439" s="184">
        <v>429</v>
      </c>
      <c r="B439" s="1196"/>
      <c r="C439" s="1197"/>
      <c r="D439" s="1163" t="s">
        <v>1064</v>
      </c>
      <c r="E439" s="1198"/>
      <c r="F439" s="1198"/>
      <c r="G439" s="1199"/>
      <c r="H439" s="1200"/>
      <c r="I439" s="1170">
        <f t="shared" ref="I439:I441" si="91">SUM(J439:N439)</f>
        <v>3418</v>
      </c>
      <c r="J439" s="1192"/>
      <c r="K439" s="1192"/>
      <c r="L439" s="1180">
        <v>3418</v>
      </c>
      <c r="M439" s="1192"/>
      <c r="N439" s="1201"/>
    </row>
    <row r="440" spans="1:16" s="431" customFormat="1" x14ac:dyDescent="0.3">
      <c r="A440" s="184">
        <v>430</v>
      </c>
      <c r="B440" s="1196"/>
      <c r="C440" s="1197"/>
      <c r="D440" s="1174" t="s">
        <v>1012</v>
      </c>
      <c r="E440" s="1198"/>
      <c r="F440" s="1198"/>
      <c r="G440" s="1199"/>
      <c r="H440" s="1200"/>
      <c r="I440" s="1178">
        <f t="shared" si="91"/>
        <v>0</v>
      </c>
      <c r="J440" s="1185"/>
      <c r="K440" s="1185"/>
      <c r="L440" s="1185"/>
      <c r="M440" s="1185"/>
      <c r="N440" s="1195"/>
    </row>
    <row r="441" spans="1:16" s="3" customFormat="1" ht="16.5" x14ac:dyDescent="0.3">
      <c r="A441" s="184">
        <v>431</v>
      </c>
      <c r="B441" s="1196"/>
      <c r="C441" s="1197"/>
      <c r="D441" s="1163" t="s">
        <v>1116</v>
      </c>
      <c r="E441" s="1198"/>
      <c r="F441" s="1198"/>
      <c r="G441" s="1199"/>
      <c r="H441" s="1200"/>
      <c r="I441" s="1170">
        <f t="shared" si="91"/>
        <v>3418</v>
      </c>
      <c r="J441" s="1180"/>
      <c r="K441" s="1180"/>
      <c r="L441" s="1180">
        <f>SUM(L439:L440)</f>
        <v>3418</v>
      </c>
      <c r="M441" s="1180"/>
      <c r="N441" s="1202"/>
      <c r="P441" s="7"/>
    </row>
    <row r="442" spans="1:16" s="431" customFormat="1" x14ac:dyDescent="0.3">
      <c r="A442" s="184">
        <v>432</v>
      </c>
      <c r="B442" s="1181"/>
      <c r="C442" s="1182">
        <v>66</v>
      </c>
      <c r="D442" s="1183" t="s">
        <v>85</v>
      </c>
      <c r="E442" s="1175">
        <v>189681</v>
      </c>
      <c r="F442" s="1175">
        <v>218519</v>
      </c>
      <c r="G442" s="1176">
        <v>197049</v>
      </c>
      <c r="H442" s="1177" t="s">
        <v>23</v>
      </c>
      <c r="I442" s="1170"/>
      <c r="J442" s="1184"/>
      <c r="K442" s="1184"/>
      <c r="L442" s="1184"/>
      <c r="M442" s="1184"/>
      <c r="N442" s="1186"/>
    </row>
    <row r="443" spans="1:16" s="431" customFormat="1" x14ac:dyDescent="0.3">
      <c r="A443" s="184">
        <v>433</v>
      </c>
      <c r="B443" s="1196"/>
      <c r="C443" s="1197"/>
      <c r="D443" s="1190" t="s">
        <v>311</v>
      </c>
      <c r="E443" s="1198"/>
      <c r="F443" s="1198"/>
      <c r="G443" s="1199"/>
      <c r="H443" s="1200"/>
      <c r="I443" s="1191">
        <f>SUM(J443:N443)</f>
        <v>255180</v>
      </c>
      <c r="J443" s="1192">
        <v>153862</v>
      </c>
      <c r="K443" s="1192">
        <v>26611</v>
      </c>
      <c r="L443" s="1192">
        <f>77707-3000</f>
        <v>74707</v>
      </c>
      <c r="M443" s="1192"/>
      <c r="N443" s="1201"/>
    </row>
    <row r="444" spans="1:16" s="431" customFormat="1" x14ac:dyDescent="0.3">
      <c r="A444" s="184">
        <v>434</v>
      </c>
      <c r="B444" s="1196"/>
      <c r="C444" s="1197"/>
      <c r="D444" s="1163" t="s">
        <v>1064</v>
      </c>
      <c r="E444" s="1198"/>
      <c r="F444" s="1198"/>
      <c r="G444" s="1199"/>
      <c r="H444" s="1200"/>
      <c r="I444" s="1170">
        <f t="shared" ref="I444:I446" si="92">SUM(J444:N444)</f>
        <v>273424</v>
      </c>
      <c r="J444" s="1180">
        <v>158536</v>
      </c>
      <c r="K444" s="1180">
        <v>30817</v>
      </c>
      <c r="L444" s="1180">
        <v>84071</v>
      </c>
      <c r="M444" s="1192"/>
      <c r="N444" s="1201"/>
    </row>
    <row r="445" spans="1:16" s="431" customFormat="1" x14ac:dyDescent="0.3">
      <c r="A445" s="184">
        <v>435</v>
      </c>
      <c r="B445" s="1196"/>
      <c r="C445" s="1197"/>
      <c r="D445" s="1174" t="s">
        <v>1012</v>
      </c>
      <c r="E445" s="1198"/>
      <c r="F445" s="1198"/>
      <c r="G445" s="1199"/>
      <c r="H445" s="1200"/>
      <c r="I445" s="1178">
        <f t="shared" si="92"/>
        <v>0</v>
      </c>
      <c r="J445" s="1185"/>
      <c r="K445" s="1185"/>
      <c r="L445" s="1185"/>
      <c r="M445" s="1185"/>
      <c r="N445" s="1195"/>
    </row>
    <row r="446" spans="1:16" s="7" customFormat="1" ht="16.5" x14ac:dyDescent="0.3">
      <c r="A446" s="184">
        <v>436</v>
      </c>
      <c r="B446" s="1196"/>
      <c r="C446" s="1197"/>
      <c r="D446" s="1163" t="s">
        <v>1116</v>
      </c>
      <c r="E446" s="1198"/>
      <c r="F446" s="1198"/>
      <c r="G446" s="1199"/>
      <c r="H446" s="1200"/>
      <c r="I446" s="1170">
        <f t="shared" si="92"/>
        <v>273424</v>
      </c>
      <c r="J446" s="1180">
        <f>SUM(J444:J445)</f>
        <v>158536</v>
      </c>
      <c r="K446" s="1180">
        <f t="shared" ref="K446:L446" si="93">SUM(K444:K445)</f>
        <v>30817</v>
      </c>
      <c r="L446" s="1180">
        <f t="shared" si="93"/>
        <v>84071</v>
      </c>
      <c r="M446" s="1180"/>
      <c r="N446" s="1202"/>
    </row>
    <row r="447" spans="1:16" s="431" customFormat="1" x14ac:dyDescent="0.3">
      <c r="A447" s="184">
        <v>437</v>
      </c>
      <c r="B447" s="1172"/>
      <c r="C447" s="1182">
        <v>67</v>
      </c>
      <c r="D447" s="1163" t="s">
        <v>452</v>
      </c>
      <c r="E447" s="1175">
        <v>180</v>
      </c>
      <c r="F447" s="1175">
        <v>180</v>
      </c>
      <c r="G447" s="1176">
        <v>180</v>
      </c>
      <c r="H447" s="1177" t="s">
        <v>23</v>
      </c>
      <c r="I447" s="1170"/>
      <c r="J447" s="1184"/>
      <c r="K447" s="1184"/>
      <c r="L447" s="1184"/>
      <c r="M447" s="1184"/>
      <c r="N447" s="1186"/>
    </row>
    <row r="448" spans="1:16" s="431" customFormat="1" x14ac:dyDescent="0.3">
      <c r="A448" s="184">
        <v>438</v>
      </c>
      <c r="B448" s="1196"/>
      <c r="C448" s="1197"/>
      <c r="D448" s="1190" t="s">
        <v>311</v>
      </c>
      <c r="E448" s="1198"/>
      <c r="F448" s="1198"/>
      <c r="G448" s="1199"/>
      <c r="H448" s="1200"/>
      <c r="I448" s="1191">
        <f>SUM(J448:N448)</f>
        <v>180</v>
      </c>
      <c r="J448" s="1192"/>
      <c r="K448" s="1192"/>
      <c r="L448" s="1192">
        <v>180</v>
      </c>
      <c r="M448" s="1192"/>
      <c r="N448" s="1201"/>
    </row>
    <row r="449" spans="1:16" s="431" customFormat="1" x14ac:dyDescent="0.3">
      <c r="A449" s="184">
        <v>439</v>
      </c>
      <c r="B449" s="1196"/>
      <c r="C449" s="1197"/>
      <c r="D449" s="1163" t="s">
        <v>1064</v>
      </c>
      <c r="E449" s="1198"/>
      <c r="F449" s="1198"/>
      <c r="G449" s="1199"/>
      <c r="H449" s="1200"/>
      <c r="I449" s="1170">
        <f t="shared" ref="I449:I451" si="94">SUM(J449:N449)</f>
        <v>180</v>
      </c>
      <c r="J449" s="1192"/>
      <c r="K449" s="1192"/>
      <c r="L449" s="1180">
        <v>180</v>
      </c>
      <c r="M449" s="1192"/>
      <c r="N449" s="1201"/>
    </row>
    <row r="450" spans="1:16" s="431" customFormat="1" x14ac:dyDescent="0.3">
      <c r="A450" s="184">
        <v>440</v>
      </c>
      <c r="B450" s="1196"/>
      <c r="C450" s="1197"/>
      <c r="D450" s="1174" t="s">
        <v>999</v>
      </c>
      <c r="E450" s="1198"/>
      <c r="F450" s="1198"/>
      <c r="G450" s="1199"/>
      <c r="H450" s="1200"/>
      <c r="I450" s="1178">
        <f t="shared" si="94"/>
        <v>0</v>
      </c>
      <c r="J450" s="1185"/>
      <c r="K450" s="1185"/>
      <c r="L450" s="1185"/>
      <c r="M450" s="1185"/>
      <c r="N450" s="1195"/>
    </row>
    <row r="451" spans="1:16" s="3" customFormat="1" ht="16.5" x14ac:dyDescent="0.3">
      <c r="A451" s="184">
        <v>441</v>
      </c>
      <c r="B451" s="1196"/>
      <c r="C451" s="1197"/>
      <c r="D451" s="1163" t="s">
        <v>1116</v>
      </c>
      <c r="E451" s="1198"/>
      <c r="F451" s="1198"/>
      <c r="G451" s="1199"/>
      <c r="H451" s="1200"/>
      <c r="I451" s="1170">
        <f t="shared" si="94"/>
        <v>180</v>
      </c>
      <c r="J451" s="1180"/>
      <c r="K451" s="1180"/>
      <c r="L451" s="1180">
        <f>SUM(L449:L450)</f>
        <v>180</v>
      </c>
      <c r="M451" s="1180"/>
      <c r="N451" s="1202"/>
      <c r="P451" s="7"/>
    </row>
    <row r="452" spans="1:16" s="431" customFormat="1" x14ac:dyDescent="0.3">
      <c r="A452" s="184">
        <v>442</v>
      </c>
      <c r="B452" s="1181"/>
      <c r="C452" s="1182">
        <v>68</v>
      </c>
      <c r="D452" s="1183" t="s">
        <v>86</v>
      </c>
      <c r="E452" s="1175">
        <v>7276</v>
      </c>
      <c r="F452" s="1175">
        <v>25000</v>
      </c>
      <c r="G452" s="1176">
        <v>14161</v>
      </c>
      <c r="H452" s="1177" t="s">
        <v>23</v>
      </c>
      <c r="I452" s="1170"/>
      <c r="J452" s="1184"/>
      <c r="K452" s="1184"/>
      <c r="L452" s="1184"/>
      <c r="M452" s="1184"/>
      <c r="N452" s="1186"/>
    </row>
    <row r="453" spans="1:16" s="431" customFormat="1" x14ac:dyDescent="0.3">
      <c r="A453" s="184">
        <v>443</v>
      </c>
      <c r="B453" s="1251"/>
      <c r="C453" s="1197"/>
      <c r="D453" s="1190" t="s">
        <v>311</v>
      </c>
      <c r="E453" s="1217"/>
      <c r="F453" s="1217"/>
      <c r="G453" s="1218"/>
      <c r="H453" s="1219"/>
      <c r="I453" s="1191">
        <f>SUM(J453:N453)</f>
        <v>54536</v>
      </c>
      <c r="J453" s="1220"/>
      <c r="K453" s="1220"/>
      <c r="L453" s="1220"/>
      <c r="M453" s="1220"/>
      <c r="N453" s="1221">
        <f>54541-5</f>
        <v>54536</v>
      </c>
    </row>
    <row r="454" spans="1:16" s="431" customFormat="1" x14ac:dyDescent="0.3">
      <c r="A454" s="184">
        <v>444</v>
      </c>
      <c r="B454" s="1251"/>
      <c r="C454" s="1197"/>
      <c r="D454" s="1163" t="s">
        <v>1064</v>
      </c>
      <c r="E454" s="1217"/>
      <c r="F454" s="1217"/>
      <c r="G454" s="1218"/>
      <c r="H454" s="1219"/>
      <c r="I454" s="1170">
        <f>SUM(J454:N454)</f>
        <v>33915</v>
      </c>
      <c r="J454" s="1220"/>
      <c r="K454" s="1220"/>
      <c r="L454" s="1171">
        <v>2079</v>
      </c>
      <c r="M454" s="1220"/>
      <c r="N454" s="1223">
        <v>31836</v>
      </c>
    </row>
    <row r="455" spans="1:16" s="431" customFormat="1" x14ac:dyDescent="0.3">
      <c r="A455" s="184">
        <v>445</v>
      </c>
      <c r="B455" s="1251"/>
      <c r="C455" s="1197"/>
      <c r="D455" s="1174" t="s">
        <v>990</v>
      </c>
      <c r="E455" s="1217"/>
      <c r="F455" s="1217"/>
      <c r="G455" s="1218"/>
      <c r="H455" s="1219"/>
      <c r="I455" s="1178">
        <f t="shared" ref="I455:I456" si="95">SUM(J455:N455)</f>
        <v>157026</v>
      </c>
      <c r="J455" s="1179"/>
      <c r="K455" s="1179"/>
      <c r="L455" s="1179"/>
      <c r="M455" s="1179"/>
      <c r="N455" s="1222">
        <f>157126-100</f>
        <v>157026</v>
      </c>
    </row>
    <row r="456" spans="1:16" s="3" customFormat="1" ht="16.5" x14ac:dyDescent="0.3">
      <c r="A456" s="184">
        <v>446</v>
      </c>
      <c r="B456" s="1251"/>
      <c r="C456" s="1197"/>
      <c r="D456" s="1174" t="s">
        <v>1000</v>
      </c>
      <c r="E456" s="1217"/>
      <c r="F456" s="1217"/>
      <c r="G456" s="1218"/>
      <c r="H456" s="1219"/>
      <c r="I456" s="1178">
        <f t="shared" si="95"/>
        <v>0</v>
      </c>
      <c r="J456" s="1179"/>
      <c r="K456" s="1179"/>
      <c r="L456" s="1179">
        <v>214</v>
      </c>
      <c r="M456" s="1179"/>
      <c r="N456" s="1222">
        <v>-214</v>
      </c>
      <c r="P456" s="7"/>
    </row>
    <row r="457" spans="1:16" s="431" customFormat="1" x14ac:dyDescent="0.3">
      <c r="A457" s="184">
        <v>447</v>
      </c>
      <c r="B457" s="1251"/>
      <c r="C457" s="1197"/>
      <c r="D457" s="1163" t="s">
        <v>1116</v>
      </c>
      <c r="E457" s="1217"/>
      <c r="F457" s="1217"/>
      <c r="G457" s="1218"/>
      <c r="H457" s="1219"/>
      <c r="I457" s="1170">
        <f>SUM(J457:N457)</f>
        <v>190941</v>
      </c>
      <c r="J457" s="1171"/>
      <c r="K457" s="1171"/>
      <c r="L457" s="1171">
        <f>SUM(L454:L456)</f>
        <v>2293</v>
      </c>
      <c r="M457" s="1171"/>
      <c r="N457" s="1223">
        <f>SUM(N454:N456)</f>
        <v>188648</v>
      </c>
    </row>
    <row r="458" spans="1:16" s="431" customFormat="1" x14ac:dyDescent="0.3">
      <c r="A458" s="184">
        <v>448</v>
      </c>
      <c r="B458" s="1181"/>
      <c r="C458" s="1182">
        <v>69</v>
      </c>
      <c r="D458" s="1183" t="s">
        <v>87</v>
      </c>
      <c r="E458" s="1175">
        <v>121137</v>
      </c>
      <c r="F458" s="1175">
        <v>136877</v>
      </c>
      <c r="G458" s="1176">
        <v>164182</v>
      </c>
      <c r="H458" s="1177" t="s">
        <v>23</v>
      </c>
      <c r="I458" s="1170"/>
      <c r="J458" s="1184"/>
      <c r="K458" s="1184"/>
      <c r="L458" s="1184"/>
      <c r="M458" s="1184"/>
      <c r="N458" s="1186"/>
    </row>
    <row r="459" spans="1:16" s="431" customFormat="1" x14ac:dyDescent="0.3">
      <c r="A459" s="184">
        <v>449</v>
      </c>
      <c r="B459" s="1196"/>
      <c r="C459" s="1197"/>
      <c r="D459" s="1190" t="s">
        <v>311</v>
      </c>
      <c r="E459" s="1198"/>
      <c r="F459" s="1198"/>
      <c r="G459" s="1199"/>
      <c r="H459" s="1200"/>
      <c r="I459" s="1191">
        <f>SUM(J459:N459)</f>
        <v>158489</v>
      </c>
      <c r="J459" s="1192"/>
      <c r="K459" s="1192"/>
      <c r="L459" s="1192">
        <v>158489</v>
      </c>
      <c r="M459" s="1192"/>
      <c r="N459" s="1201"/>
    </row>
    <row r="460" spans="1:16" s="431" customFormat="1" x14ac:dyDescent="0.3">
      <c r="A460" s="184">
        <v>450</v>
      </c>
      <c r="B460" s="1196"/>
      <c r="C460" s="1197"/>
      <c r="D460" s="1163" t="s">
        <v>1064</v>
      </c>
      <c r="E460" s="1198"/>
      <c r="F460" s="1198"/>
      <c r="G460" s="1199"/>
      <c r="H460" s="1200"/>
      <c r="I460" s="1170">
        <f t="shared" ref="I460:I462" si="96">SUM(J460:N460)</f>
        <v>139930</v>
      </c>
      <c r="J460" s="1192"/>
      <c r="K460" s="1192"/>
      <c r="L460" s="1180">
        <v>139930</v>
      </c>
      <c r="M460" s="1192"/>
      <c r="N460" s="1201"/>
    </row>
    <row r="461" spans="1:16" s="3" customFormat="1" ht="16.5" x14ac:dyDescent="0.3">
      <c r="A461" s="184">
        <v>451</v>
      </c>
      <c r="B461" s="1196"/>
      <c r="C461" s="1197"/>
      <c r="D461" s="1174" t="s">
        <v>1012</v>
      </c>
      <c r="E461" s="1198"/>
      <c r="F461" s="1198"/>
      <c r="G461" s="1199"/>
      <c r="H461" s="1200"/>
      <c r="I461" s="1178">
        <f t="shared" si="96"/>
        <v>0</v>
      </c>
      <c r="J461" s="1185"/>
      <c r="K461" s="1185"/>
      <c r="L461" s="1185"/>
      <c r="M461" s="1185"/>
      <c r="N461" s="1195"/>
      <c r="P461" s="7"/>
    </row>
    <row r="462" spans="1:16" s="431" customFormat="1" x14ac:dyDescent="0.3">
      <c r="A462" s="184">
        <v>452</v>
      </c>
      <c r="B462" s="1196"/>
      <c r="C462" s="1197"/>
      <c r="D462" s="1163" t="s">
        <v>1116</v>
      </c>
      <c r="E462" s="1198"/>
      <c r="F462" s="1198"/>
      <c r="G462" s="1199"/>
      <c r="H462" s="1200"/>
      <c r="I462" s="1170">
        <f t="shared" si="96"/>
        <v>139930</v>
      </c>
      <c r="J462" s="1180"/>
      <c r="K462" s="1180"/>
      <c r="L462" s="1180">
        <f>SUM(L460:L461)</f>
        <v>139930</v>
      </c>
      <c r="M462" s="1180"/>
      <c r="N462" s="1202"/>
    </row>
    <row r="463" spans="1:16" s="431" customFormat="1" x14ac:dyDescent="0.3">
      <c r="A463" s="184">
        <v>453</v>
      </c>
      <c r="B463" s="1181"/>
      <c r="C463" s="1182">
        <v>70</v>
      </c>
      <c r="D463" s="1183" t="s">
        <v>88</v>
      </c>
      <c r="E463" s="1175">
        <v>15166</v>
      </c>
      <c r="F463" s="1175">
        <v>16687</v>
      </c>
      <c r="G463" s="1176">
        <v>13955</v>
      </c>
      <c r="H463" s="1177" t="s">
        <v>24</v>
      </c>
      <c r="I463" s="1170"/>
      <c r="J463" s="1184"/>
      <c r="K463" s="1184"/>
      <c r="L463" s="1184"/>
      <c r="M463" s="1184"/>
      <c r="N463" s="1186"/>
    </row>
    <row r="464" spans="1:16" s="431" customFormat="1" x14ac:dyDescent="0.3">
      <c r="A464" s="184">
        <v>454</v>
      </c>
      <c r="B464" s="1196"/>
      <c r="C464" s="1197"/>
      <c r="D464" s="1190" t="s">
        <v>311</v>
      </c>
      <c r="E464" s="1198"/>
      <c r="F464" s="1198"/>
      <c r="G464" s="1199"/>
      <c r="H464" s="1200"/>
      <c r="I464" s="1191">
        <f>SUM(J464:N464)</f>
        <v>40583</v>
      </c>
      <c r="J464" s="1192"/>
      <c r="K464" s="1192"/>
      <c r="L464" s="1192">
        <v>40583</v>
      </c>
      <c r="M464" s="1192"/>
      <c r="N464" s="1201"/>
    </row>
    <row r="465" spans="1:16" s="431" customFormat="1" x14ac:dyDescent="0.3">
      <c r="A465" s="184">
        <v>455</v>
      </c>
      <c r="B465" s="1196"/>
      <c r="C465" s="1197"/>
      <c r="D465" s="1163" t="s">
        <v>1064</v>
      </c>
      <c r="E465" s="1198"/>
      <c r="F465" s="1198"/>
      <c r="G465" s="1199"/>
      <c r="H465" s="1200"/>
      <c r="I465" s="1170">
        <f t="shared" ref="I465:I467" si="97">SUM(J465:N465)</f>
        <v>40583</v>
      </c>
      <c r="J465" s="1192"/>
      <c r="K465" s="1192"/>
      <c r="L465" s="1180">
        <v>40583</v>
      </c>
      <c r="M465" s="1192"/>
      <c r="N465" s="1201"/>
    </row>
    <row r="466" spans="1:16" s="7" customFormat="1" ht="16.5" x14ac:dyDescent="0.3">
      <c r="A466" s="184">
        <v>456</v>
      </c>
      <c r="B466" s="1196"/>
      <c r="C466" s="1197"/>
      <c r="D466" s="1174" t="s">
        <v>999</v>
      </c>
      <c r="E466" s="1198"/>
      <c r="F466" s="1198"/>
      <c r="G466" s="1199"/>
      <c r="H466" s="1200"/>
      <c r="I466" s="1178">
        <f t="shared" si="97"/>
        <v>0</v>
      </c>
      <c r="J466" s="1185"/>
      <c r="K466" s="1185"/>
      <c r="L466" s="1185"/>
      <c r="M466" s="1185"/>
      <c r="N466" s="1195"/>
    </row>
    <row r="467" spans="1:16" s="431" customFormat="1" x14ac:dyDescent="0.3">
      <c r="A467" s="184">
        <v>457</v>
      </c>
      <c r="B467" s="1196"/>
      <c r="C467" s="1197"/>
      <c r="D467" s="1163" t="s">
        <v>1116</v>
      </c>
      <c r="E467" s="1198"/>
      <c r="F467" s="1198"/>
      <c r="G467" s="1199"/>
      <c r="H467" s="1200"/>
      <c r="I467" s="1170">
        <f t="shared" si="97"/>
        <v>40583</v>
      </c>
      <c r="J467" s="1180"/>
      <c r="K467" s="1180"/>
      <c r="L467" s="1180">
        <f>SUM(L465:L466)</f>
        <v>40583</v>
      </c>
      <c r="M467" s="1180"/>
      <c r="N467" s="1202"/>
    </row>
    <row r="468" spans="1:16" s="431" customFormat="1" x14ac:dyDescent="0.3">
      <c r="A468" s="184">
        <v>458</v>
      </c>
      <c r="B468" s="1172"/>
      <c r="C468" s="1182">
        <v>71</v>
      </c>
      <c r="D468" s="1163" t="s">
        <v>453</v>
      </c>
      <c r="E468" s="1175">
        <v>244205</v>
      </c>
      <c r="F468" s="1175">
        <v>306766</v>
      </c>
      <c r="G468" s="1176">
        <v>306766</v>
      </c>
      <c r="H468" s="1177" t="s">
        <v>23</v>
      </c>
      <c r="I468" s="1170"/>
      <c r="J468" s="1184"/>
      <c r="K468" s="1184"/>
      <c r="L468" s="1184"/>
      <c r="M468" s="1184"/>
      <c r="N468" s="1186"/>
    </row>
    <row r="469" spans="1:16" s="431" customFormat="1" x14ac:dyDescent="0.3">
      <c r="A469" s="184">
        <v>459</v>
      </c>
      <c r="B469" s="1196"/>
      <c r="C469" s="1197"/>
      <c r="D469" s="1190" t="s">
        <v>311</v>
      </c>
      <c r="E469" s="1198"/>
      <c r="F469" s="1198"/>
      <c r="G469" s="1199"/>
      <c r="H469" s="1200"/>
      <c r="I469" s="1191">
        <f>SUM(J469:N469)</f>
        <v>394879</v>
      </c>
      <c r="J469" s="1192"/>
      <c r="K469" s="1192"/>
      <c r="L469" s="1192"/>
      <c r="M469" s="1192"/>
      <c r="N469" s="1201">
        <v>394879</v>
      </c>
    </row>
    <row r="470" spans="1:16" s="431" customFormat="1" x14ac:dyDescent="0.3">
      <c r="A470" s="184">
        <v>460</v>
      </c>
      <c r="B470" s="1196"/>
      <c r="C470" s="1197"/>
      <c r="D470" s="1163" t="s">
        <v>1064</v>
      </c>
      <c r="E470" s="1198"/>
      <c r="F470" s="1198"/>
      <c r="G470" s="1199"/>
      <c r="H470" s="1200"/>
      <c r="I470" s="1170">
        <f t="shared" ref="I470:I472" si="98">SUM(J470:N470)</f>
        <v>301689</v>
      </c>
      <c r="J470" s="1192"/>
      <c r="K470" s="1192"/>
      <c r="L470" s="1192"/>
      <c r="M470" s="1192"/>
      <c r="N470" s="1202">
        <v>301689</v>
      </c>
    </row>
    <row r="471" spans="1:16" s="3" customFormat="1" ht="16.5" x14ac:dyDescent="0.3">
      <c r="A471" s="184">
        <v>461</v>
      </c>
      <c r="B471" s="1196"/>
      <c r="C471" s="1197"/>
      <c r="D471" s="1174" t="s">
        <v>1012</v>
      </c>
      <c r="E471" s="1198"/>
      <c r="F471" s="1198"/>
      <c r="G471" s="1199"/>
      <c r="H471" s="1200"/>
      <c r="I471" s="1178">
        <f t="shared" si="98"/>
        <v>0</v>
      </c>
      <c r="J471" s="1185"/>
      <c r="K471" s="1185"/>
      <c r="L471" s="1185"/>
      <c r="M471" s="1185"/>
      <c r="N471" s="1195"/>
      <c r="P471" s="7"/>
    </row>
    <row r="472" spans="1:16" s="431" customFormat="1" x14ac:dyDescent="0.3">
      <c r="A472" s="184">
        <v>462</v>
      </c>
      <c r="B472" s="1196"/>
      <c r="C472" s="1197"/>
      <c r="D472" s="1163" t="s">
        <v>1116</v>
      </c>
      <c r="E472" s="1198"/>
      <c r="F472" s="1198"/>
      <c r="G472" s="1199"/>
      <c r="H472" s="1200"/>
      <c r="I472" s="1170">
        <f t="shared" si="98"/>
        <v>301689</v>
      </c>
      <c r="J472" s="1180"/>
      <c r="K472" s="1180"/>
      <c r="L472" s="1180"/>
      <c r="M472" s="1180"/>
      <c r="N472" s="1202">
        <f>SUM(N470:N471)</f>
        <v>301689</v>
      </c>
    </row>
    <row r="473" spans="1:16" s="431" customFormat="1" x14ac:dyDescent="0.3">
      <c r="A473" s="184">
        <v>463</v>
      </c>
      <c r="B473" s="1181"/>
      <c r="C473" s="1182">
        <v>72</v>
      </c>
      <c r="D473" s="1183" t="s">
        <v>90</v>
      </c>
      <c r="E473" s="1175">
        <v>5300</v>
      </c>
      <c r="F473" s="1175">
        <v>15000</v>
      </c>
      <c r="G473" s="1176">
        <v>15000</v>
      </c>
      <c r="H473" s="1177" t="s">
        <v>24</v>
      </c>
      <c r="I473" s="1170"/>
      <c r="J473" s="1184"/>
      <c r="K473" s="1184"/>
      <c r="L473" s="1184"/>
      <c r="M473" s="1184"/>
      <c r="N473" s="1186"/>
    </row>
    <row r="474" spans="1:16" s="431" customFormat="1" x14ac:dyDescent="0.3">
      <c r="A474" s="184">
        <v>464</v>
      </c>
      <c r="B474" s="1196"/>
      <c r="C474" s="1197"/>
      <c r="D474" s="1190" t="s">
        <v>311</v>
      </c>
      <c r="E474" s="1198"/>
      <c r="F474" s="1198"/>
      <c r="G474" s="1199"/>
      <c r="H474" s="1200"/>
      <c r="I474" s="1191">
        <f>SUM(J474:N474)</f>
        <v>12750</v>
      </c>
      <c r="J474" s="1192"/>
      <c r="K474" s="1192"/>
      <c r="L474" s="1192"/>
      <c r="M474" s="1192"/>
      <c r="N474" s="1201">
        <v>12750</v>
      </c>
    </row>
    <row r="475" spans="1:16" s="431" customFormat="1" x14ac:dyDescent="0.3">
      <c r="A475" s="184">
        <v>465</v>
      </c>
      <c r="B475" s="1196"/>
      <c r="C475" s="1197"/>
      <c r="D475" s="1163" t="s">
        <v>1064</v>
      </c>
      <c r="E475" s="1198"/>
      <c r="F475" s="1198"/>
      <c r="G475" s="1199"/>
      <c r="H475" s="1200"/>
      <c r="I475" s="1170">
        <f t="shared" ref="I475:I477" si="99">SUM(J475:N475)</f>
        <v>12750</v>
      </c>
      <c r="J475" s="1192"/>
      <c r="K475" s="1192"/>
      <c r="L475" s="1192"/>
      <c r="M475" s="1192"/>
      <c r="N475" s="1202">
        <v>12750</v>
      </c>
    </row>
    <row r="476" spans="1:16" s="3" customFormat="1" ht="16.5" x14ac:dyDescent="0.3">
      <c r="A476" s="184">
        <v>466</v>
      </c>
      <c r="B476" s="1196"/>
      <c r="C476" s="1197"/>
      <c r="D476" s="1174" t="s">
        <v>999</v>
      </c>
      <c r="E476" s="1198"/>
      <c r="F476" s="1198"/>
      <c r="G476" s="1199"/>
      <c r="H476" s="1200"/>
      <c r="I476" s="1178">
        <f t="shared" si="99"/>
        <v>0</v>
      </c>
      <c r="J476" s="1180"/>
      <c r="K476" s="1180"/>
      <c r="L476" s="1180"/>
      <c r="M476" s="1180"/>
      <c r="N476" s="1202"/>
      <c r="P476" s="7"/>
    </row>
    <row r="477" spans="1:16" s="431" customFormat="1" x14ac:dyDescent="0.3">
      <c r="A477" s="184">
        <v>467</v>
      </c>
      <c r="B477" s="1196"/>
      <c r="C477" s="1197"/>
      <c r="D477" s="1163" t="s">
        <v>1116</v>
      </c>
      <c r="E477" s="1198"/>
      <c r="F477" s="1198"/>
      <c r="G477" s="1199"/>
      <c r="H477" s="1200"/>
      <c r="I477" s="1170">
        <f t="shared" si="99"/>
        <v>12750</v>
      </c>
      <c r="J477" s="1180"/>
      <c r="K477" s="1180"/>
      <c r="L477" s="1180"/>
      <c r="M477" s="1180"/>
      <c r="N477" s="1202">
        <f>SUM(N475:N476)</f>
        <v>12750</v>
      </c>
    </row>
    <row r="478" spans="1:16" s="431" customFormat="1" x14ac:dyDescent="0.35">
      <c r="A478" s="184">
        <v>468</v>
      </c>
      <c r="B478" s="1181"/>
      <c r="C478" s="1182">
        <v>73</v>
      </c>
      <c r="D478" s="1256" t="s">
        <v>454</v>
      </c>
      <c r="E478" s="1175">
        <v>305180</v>
      </c>
      <c r="F478" s="1175">
        <v>160000</v>
      </c>
      <c r="G478" s="1176">
        <v>135683</v>
      </c>
      <c r="H478" s="1177" t="s">
        <v>23</v>
      </c>
      <c r="I478" s="1170"/>
      <c r="J478" s="1184"/>
      <c r="K478" s="1184"/>
      <c r="L478" s="1184"/>
      <c r="M478" s="1184"/>
      <c r="N478" s="1186"/>
    </row>
    <row r="479" spans="1:16" s="431" customFormat="1" x14ac:dyDescent="0.3">
      <c r="A479" s="184">
        <v>469</v>
      </c>
      <c r="B479" s="1196"/>
      <c r="C479" s="1197"/>
      <c r="D479" s="1190" t="s">
        <v>311</v>
      </c>
      <c r="E479" s="1198"/>
      <c r="F479" s="1198"/>
      <c r="G479" s="1199"/>
      <c r="H479" s="1200"/>
      <c r="I479" s="1191">
        <f>SUM(J479:N479)</f>
        <v>70760</v>
      </c>
      <c r="J479" s="1192"/>
      <c r="K479" s="1192"/>
      <c r="L479" s="1192"/>
      <c r="M479" s="1192"/>
      <c r="N479" s="1201">
        <v>70760</v>
      </c>
    </row>
    <row r="480" spans="1:16" s="431" customFormat="1" x14ac:dyDescent="0.3">
      <c r="A480" s="184">
        <v>470</v>
      </c>
      <c r="B480" s="1196"/>
      <c r="C480" s="1197"/>
      <c r="D480" s="1163" t="s">
        <v>1064</v>
      </c>
      <c r="E480" s="1198"/>
      <c r="F480" s="1198"/>
      <c r="G480" s="1199"/>
      <c r="H480" s="1200"/>
      <c r="I480" s="1170">
        <f t="shared" ref="I480:I482" si="100">SUM(J480:N480)</f>
        <v>70760</v>
      </c>
      <c r="J480" s="1192"/>
      <c r="K480" s="1192"/>
      <c r="L480" s="1192"/>
      <c r="M480" s="1192"/>
      <c r="N480" s="1202">
        <v>70760</v>
      </c>
    </row>
    <row r="481" spans="1:16" s="3" customFormat="1" ht="16.5" x14ac:dyDescent="0.3">
      <c r="A481" s="184">
        <v>471</v>
      </c>
      <c r="B481" s="1196"/>
      <c r="C481" s="1197"/>
      <c r="D481" s="1174" t="s">
        <v>999</v>
      </c>
      <c r="E481" s="1198"/>
      <c r="F481" s="1198"/>
      <c r="G481" s="1199"/>
      <c r="H481" s="1200"/>
      <c r="I481" s="1178">
        <f>SUM(J481:N481)</f>
        <v>0</v>
      </c>
      <c r="J481" s="1180"/>
      <c r="K481" s="1180"/>
      <c r="L481" s="1180"/>
      <c r="M481" s="1180"/>
      <c r="N481" s="1202"/>
      <c r="P481" s="7"/>
    </row>
    <row r="482" spans="1:16" s="431" customFormat="1" x14ac:dyDescent="0.3">
      <c r="A482" s="184">
        <v>472</v>
      </c>
      <c r="B482" s="1196"/>
      <c r="C482" s="1197"/>
      <c r="D482" s="1163" t="s">
        <v>1116</v>
      </c>
      <c r="E482" s="1198"/>
      <c r="F482" s="1198"/>
      <c r="G482" s="1199"/>
      <c r="H482" s="1200"/>
      <c r="I482" s="1170">
        <f t="shared" si="100"/>
        <v>70760</v>
      </c>
      <c r="J482" s="1180"/>
      <c r="K482" s="1180"/>
      <c r="L482" s="1180"/>
      <c r="M482" s="1180"/>
      <c r="N482" s="1202">
        <f>SUM(N480:N481)</f>
        <v>70760</v>
      </c>
    </row>
    <row r="483" spans="1:16" s="431" customFormat="1" x14ac:dyDescent="0.3">
      <c r="A483" s="184">
        <v>473</v>
      </c>
      <c r="B483" s="1181"/>
      <c r="C483" s="1182">
        <v>74</v>
      </c>
      <c r="D483" s="1183" t="s">
        <v>93</v>
      </c>
      <c r="E483" s="1175">
        <v>74000</v>
      </c>
      <c r="F483" s="1175">
        <v>70000</v>
      </c>
      <c r="G483" s="1176">
        <v>70468</v>
      </c>
      <c r="H483" s="1177" t="s">
        <v>24</v>
      </c>
      <c r="I483" s="1170"/>
      <c r="J483" s="1184"/>
      <c r="K483" s="1184"/>
      <c r="L483" s="1184"/>
      <c r="M483" s="1184"/>
      <c r="N483" s="1186"/>
    </row>
    <row r="484" spans="1:16" s="431" customFormat="1" x14ac:dyDescent="0.3">
      <c r="A484" s="184">
        <v>474</v>
      </c>
      <c r="B484" s="1196"/>
      <c r="C484" s="1197"/>
      <c r="D484" s="1190" t="s">
        <v>311</v>
      </c>
      <c r="E484" s="1198"/>
      <c r="F484" s="1198"/>
      <c r="G484" s="1199"/>
      <c r="H484" s="1200"/>
      <c r="I484" s="1191">
        <f>SUM(J484:N484)</f>
        <v>29500</v>
      </c>
      <c r="J484" s="1192"/>
      <c r="K484" s="1192"/>
      <c r="L484" s="1192"/>
      <c r="M484" s="1192"/>
      <c r="N484" s="1201">
        <v>29500</v>
      </c>
    </row>
    <row r="485" spans="1:16" s="431" customFormat="1" x14ac:dyDescent="0.3">
      <c r="A485" s="184">
        <v>475</v>
      </c>
      <c r="B485" s="1196"/>
      <c r="C485" s="1197"/>
      <c r="D485" s="1163" t="s">
        <v>1064</v>
      </c>
      <c r="E485" s="1198"/>
      <c r="F485" s="1198"/>
      <c r="G485" s="1199"/>
      <c r="H485" s="1200"/>
      <c r="I485" s="1170">
        <f t="shared" ref="I485:I487" si="101">SUM(J485:N485)</f>
        <v>29500</v>
      </c>
      <c r="J485" s="1192"/>
      <c r="K485" s="1192"/>
      <c r="L485" s="1192"/>
      <c r="M485" s="1192"/>
      <c r="N485" s="1202">
        <v>29500</v>
      </c>
    </row>
    <row r="486" spans="1:16" s="3" customFormat="1" ht="16.5" x14ac:dyDescent="0.3">
      <c r="A486" s="184">
        <v>476</v>
      </c>
      <c r="B486" s="1196"/>
      <c r="C486" s="1197"/>
      <c r="D486" s="1174" t="s">
        <v>999</v>
      </c>
      <c r="E486" s="1198"/>
      <c r="F486" s="1198"/>
      <c r="G486" s="1199"/>
      <c r="H486" s="1200"/>
      <c r="I486" s="1178">
        <f t="shared" si="101"/>
        <v>0</v>
      </c>
      <c r="J486" s="1180"/>
      <c r="K486" s="1180"/>
      <c r="L486" s="1180"/>
      <c r="M486" s="1180"/>
      <c r="N486" s="1202"/>
      <c r="P486" s="7"/>
    </row>
    <row r="487" spans="1:16" s="431" customFormat="1" x14ac:dyDescent="0.3">
      <c r="A487" s="184">
        <v>477</v>
      </c>
      <c r="B487" s="1196"/>
      <c r="C487" s="1197"/>
      <c r="D487" s="1163" t="s">
        <v>1116</v>
      </c>
      <c r="E487" s="1198"/>
      <c r="F487" s="1198"/>
      <c r="G487" s="1199"/>
      <c r="H487" s="1200"/>
      <c r="I487" s="1170">
        <f t="shared" si="101"/>
        <v>29500</v>
      </c>
      <c r="J487" s="1180"/>
      <c r="K487" s="1180"/>
      <c r="L487" s="1180"/>
      <c r="M487" s="1180"/>
      <c r="N487" s="1202">
        <f>SUM(N485:N486)</f>
        <v>29500</v>
      </c>
    </row>
    <row r="488" spans="1:16" s="431" customFormat="1" x14ac:dyDescent="0.3">
      <c r="A488" s="184">
        <v>478</v>
      </c>
      <c r="B488" s="1181"/>
      <c r="C488" s="1182">
        <v>75</v>
      </c>
      <c r="D488" s="1183" t="s">
        <v>94</v>
      </c>
      <c r="E488" s="1175">
        <v>100000</v>
      </c>
      <c r="F488" s="1175">
        <v>128000</v>
      </c>
      <c r="G488" s="1176">
        <v>128000</v>
      </c>
      <c r="H488" s="1177" t="s">
        <v>24</v>
      </c>
      <c r="I488" s="1170"/>
      <c r="J488" s="1184"/>
      <c r="K488" s="1184"/>
      <c r="L488" s="1184"/>
      <c r="M488" s="1184"/>
      <c r="N488" s="1186"/>
    </row>
    <row r="489" spans="1:16" s="431" customFormat="1" x14ac:dyDescent="0.3">
      <c r="A489" s="184">
        <v>479</v>
      </c>
      <c r="B489" s="1196"/>
      <c r="C489" s="1197"/>
      <c r="D489" s="1190" t="s">
        <v>311</v>
      </c>
      <c r="E489" s="1198"/>
      <c r="F489" s="1198"/>
      <c r="G489" s="1199"/>
      <c r="H489" s="1200"/>
      <c r="I489" s="1191">
        <f>SUM(J489:N489)</f>
        <v>103000</v>
      </c>
      <c r="J489" s="1192"/>
      <c r="K489" s="1192"/>
      <c r="L489" s="1192"/>
      <c r="M489" s="1192"/>
      <c r="N489" s="1201">
        <v>103000</v>
      </c>
    </row>
    <row r="490" spans="1:16" s="431" customFormat="1" x14ac:dyDescent="0.3">
      <c r="A490" s="184">
        <v>480</v>
      </c>
      <c r="B490" s="1196"/>
      <c r="C490" s="1197"/>
      <c r="D490" s="1163" t="s">
        <v>1064</v>
      </c>
      <c r="E490" s="1198"/>
      <c r="F490" s="1198"/>
      <c r="G490" s="1199"/>
      <c r="H490" s="1200"/>
      <c r="I490" s="1170">
        <f t="shared" ref="I490:I492" si="102">SUM(J490:N490)</f>
        <v>103000</v>
      </c>
      <c r="J490" s="1192"/>
      <c r="K490" s="1192"/>
      <c r="L490" s="1192"/>
      <c r="M490" s="1192"/>
      <c r="N490" s="1202">
        <v>103000</v>
      </c>
    </row>
    <row r="491" spans="1:16" s="3" customFormat="1" ht="16.5" x14ac:dyDescent="0.3">
      <c r="A491" s="184">
        <v>481</v>
      </c>
      <c r="B491" s="1196"/>
      <c r="C491" s="1197"/>
      <c r="D491" s="1174" t="s">
        <v>999</v>
      </c>
      <c r="E491" s="1198"/>
      <c r="F491" s="1198"/>
      <c r="G491" s="1199"/>
      <c r="H491" s="1200"/>
      <c r="I491" s="1178">
        <f t="shared" si="102"/>
        <v>0</v>
      </c>
      <c r="J491" s="1180"/>
      <c r="K491" s="1180"/>
      <c r="L491" s="1180"/>
      <c r="M491" s="1180"/>
      <c r="N491" s="1202"/>
      <c r="P491" s="7"/>
    </row>
    <row r="492" spans="1:16" s="431" customFormat="1" x14ac:dyDescent="0.3">
      <c r="A492" s="184">
        <v>482</v>
      </c>
      <c r="B492" s="1196"/>
      <c r="C492" s="1197"/>
      <c r="D492" s="1163" t="s">
        <v>1116</v>
      </c>
      <c r="E492" s="1198"/>
      <c r="F492" s="1198"/>
      <c r="G492" s="1199"/>
      <c r="H492" s="1200"/>
      <c r="I492" s="1170">
        <f t="shared" si="102"/>
        <v>103000</v>
      </c>
      <c r="J492" s="1180"/>
      <c r="K492" s="1180"/>
      <c r="L492" s="1180"/>
      <c r="M492" s="1180"/>
      <c r="N492" s="1202">
        <f>SUM(N490:N491)</f>
        <v>103000</v>
      </c>
    </row>
    <row r="493" spans="1:16" s="431" customFormat="1" x14ac:dyDescent="0.3">
      <c r="A493" s="184">
        <v>483</v>
      </c>
      <c r="B493" s="1181"/>
      <c r="C493" s="1182">
        <v>76</v>
      </c>
      <c r="D493" s="1183" t="s">
        <v>95</v>
      </c>
      <c r="E493" s="1175"/>
      <c r="F493" s="1175"/>
      <c r="G493" s="1176"/>
      <c r="H493" s="1177" t="s">
        <v>24</v>
      </c>
      <c r="I493" s="1170"/>
      <c r="J493" s="1184"/>
      <c r="K493" s="1184"/>
      <c r="L493" s="1184"/>
      <c r="M493" s="1184"/>
      <c r="N493" s="1186"/>
    </row>
    <row r="494" spans="1:16" s="431" customFormat="1" x14ac:dyDescent="0.3">
      <c r="A494" s="184">
        <v>484</v>
      </c>
      <c r="B494" s="1196"/>
      <c r="C494" s="1197"/>
      <c r="D494" s="1190" t="s">
        <v>311</v>
      </c>
      <c r="E494" s="1198"/>
      <c r="F494" s="1198"/>
      <c r="G494" s="1199"/>
      <c r="H494" s="1200"/>
      <c r="I494" s="1191">
        <f>SUM(J494:N494)</f>
        <v>174944</v>
      </c>
      <c r="J494" s="1192"/>
      <c r="K494" s="1192"/>
      <c r="L494" s="1192">
        <f>224944-32172-17828</f>
        <v>174944</v>
      </c>
      <c r="M494" s="1192"/>
      <c r="N494" s="1201"/>
    </row>
    <row r="495" spans="1:16" s="431" customFormat="1" x14ac:dyDescent="0.3">
      <c r="A495" s="184">
        <v>485</v>
      </c>
      <c r="B495" s="1196"/>
      <c r="C495" s="1197"/>
      <c r="D495" s="1163" t="s">
        <v>1064</v>
      </c>
      <c r="E495" s="1198"/>
      <c r="F495" s="1198"/>
      <c r="G495" s="1199"/>
      <c r="H495" s="1200"/>
      <c r="I495" s="1170">
        <f t="shared" ref="I495:I497" si="103">SUM(J495:N495)</f>
        <v>0</v>
      </c>
      <c r="J495" s="1192"/>
      <c r="K495" s="1192"/>
      <c r="L495" s="1192">
        <v>0</v>
      </c>
      <c r="M495" s="1192"/>
      <c r="N495" s="1201"/>
    </row>
    <row r="496" spans="1:16" s="3" customFormat="1" ht="16.5" x14ac:dyDescent="0.3">
      <c r="A496" s="184">
        <v>486</v>
      </c>
      <c r="B496" s="1196"/>
      <c r="C496" s="1197"/>
      <c r="D496" s="1174" t="s">
        <v>999</v>
      </c>
      <c r="E496" s="1198"/>
      <c r="F496" s="1198"/>
      <c r="G496" s="1199"/>
      <c r="H496" s="1200"/>
      <c r="I496" s="1178">
        <f t="shared" si="103"/>
        <v>0</v>
      </c>
      <c r="J496" s="1180"/>
      <c r="K496" s="1180"/>
      <c r="L496" s="1185"/>
      <c r="M496" s="1180"/>
      <c r="N496" s="1202"/>
      <c r="P496" s="7"/>
    </row>
    <row r="497" spans="1:16" s="431" customFormat="1" x14ac:dyDescent="0.3">
      <c r="A497" s="184">
        <v>487</v>
      </c>
      <c r="B497" s="1196"/>
      <c r="C497" s="1197"/>
      <c r="D497" s="1163" t="s">
        <v>1116</v>
      </c>
      <c r="E497" s="1198"/>
      <c r="F497" s="1198"/>
      <c r="G497" s="1199"/>
      <c r="H497" s="1200"/>
      <c r="I497" s="1170">
        <f t="shared" si="103"/>
        <v>0</v>
      </c>
      <c r="J497" s="1180"/>
      <c r="K497" s="1180"/>
      <c r="L497" s="1180">
        <f>SUM(L495:L496)</f>
        <v>0</v>
      </c>
      <c r="M497" s="1180"/>
      <c r="N497" s="1202"/>
    </row>
    <row r="498" spans="1:16" s="431" customFormat="1" x14ac:dyDescent="0.3">
      <c r="A498" s="184">
        <v>488</v>
      </c>
      <c r="B498" s="1181"/>
      <c r="C498" s="1182">
        <v>77</v>
      </c>
      <c r="D498" s="1183" t="s">
        <v>96</v>
      </c>
      <c r="E498" s="1175">
        <v>22339</v>
      </c>
      <c r="F498" s="1175">
        <v>22000</v>
      </c>
      <c r="G498" s="1176">
        <v>22000</v>
      </c>
      <c r="H498" s="1177" t="s">
        <v>24</v>
      </c>
      <c r="I498" s="1170"/>
      <c r="J498" s="1184"/>
      <c r="K498" s="1184"/>
      <c r="L498" s="1184"/>
      <c r="M498" s="1184"/>
      <c r="N498" s="1186"/>
    </row>
    <row r="499" spans="1:16" s="431" customFormat="1" x14ac:dyDescent="0.3">
      <c r="A499" s="184">
        <v>489</v>
      </c>
      <c r="B499" s="1196"/>
      <c r="C499" s="1197"/>
      <c r="D499" s="1190" t="s">
        <v>311</v>
      </c>
      <c r="E499" s="1198"/>
      <c r="F499" s="1198"/>
      <c r="G499" s="1199"/>
      <c r="H499" s="1200"/>
      <c r="I499" s="1191">
        <f>SUM(J499:N499)</f>
        <v>22000</v>
      </c>
      <c r="J499" s="1192"/>
      <c r="K499" s="1192"/>
      <c r="L499" s="1192">
        <v>22000</v>
      </c>
      <c r="M499" s="1192"/>
      <c r="N499" s="1201"/>
    </row>
    <row r="500" spans="1:16" s="431" customFormat="1" x14ac:dyDescent="0.3">
      <c r="A500" s="184">
        <v>490</v>
      </c>
      <c r="B500" s="1196"/>
      <c r="C500" s="1197"/>
      <c r="D500" s="1163" t="s">
        <v>1064</v>
      </c>
      <c r="E500" s="1198"/>
      <c r="F500" s="1198"/>
      <c r="G500" s="1199"/>
      <c r="H500" s="1200"/>
      <c r="I500" s="1170">
        <f t="shared" ref="I500:I502" si="104">SUM(J500:N500)</f>
        <v>22000</v>
      </c>
      <c r="J500" s="1192"/>
      <c r="K500" s="1192"/>
      <c r="L500" s="1180">
        <v>22000</v>
      </c>
      <c r="M500" s="1192"/>
      <c r="N500" s="1201"/>
    </row>
    <row r="501" spans="1:16" s="3" customFormat="1" ht="16.5" x14ac:dyDescent="0.3">
      <c r="A501" s="184">
        <v>491</v>
      </c>
      <c r="B501" s="1196"/>
      <c r="C501" s="1197"/>
      <c r="D501" s="1174" t="s">
        <v>999</v>
      </c>
      <c r="E501" s="1198"/>
      <c r="F501" s="1198"/>
      <c r="G501" s="1199"/>
      <c r="H501" s="1200"/>
      <c r="I501" s="1178">
        <f t="shared" si="104"/>
        <v>0</v>
      </c>
      <c r="J501" s="1180"/>
      <c r="K501" s="1180"/>
      <c r="L501" s="1180"/>
      <c r="M501" s="1192"/>
      <c r="N501" s="1201"/>
      <c r="P501" s="7"/>
    </row>
    <row r="502" spans="1:16" s="7" customFormat="1" ht="16.5" x14ac:dyDescent="0.3">
      <c r="A502" s="184">
        <v>492</v>
      </c>
      <c r="B502" s="1196"/>
      <c r="C502" s="1197"/>
      <c r="D502" s="1163" t="s">
        <v>1116</v>
      </c>
      <c r="E502" s="1198"/>
      <c r="F502" s="1198"/>
      <c r="G502" s="1199"/>
      <c r="H502" s="1200"/>
      <c r="I502" s="1170">
        <f t="shared" si="104"/>
        <v>22000</v>
      </c>
      <c r="J502" s="1180"/>
      <c r="K502" s="1180"/>
      <c r="L502" s="1180">
        <f>SUM(L500:L501)</f>
        <v>22000</v>
      </c>
      <c r="M502" s="1192"/>
      <c r="N502" s="1201"/>
    </row>
    <row r="503" spans="1:16" s="3" customFormat="1" ht="16.5" x14ac:dyDescent="0.3">
      <c r="A503" s="184">
        <v>493</v>
      </c>
      <c r="B503" s="1181"/>
      <c r="C503" s="1182">
        <v>78</v>
      </c>
      <c r="D503" s="1183" t="s">
        <v>97</v>
      </c>
      <c r="E503" s="1175">
        <v>38110</v>
      </c>
      <c r="F503" s="1175">
        <v>19000</v>
      </c>
      <c r="G503" s="1176">
        <v>21950</v>
      </c>
      <c r="H503" s="1177" t="s">
        <v>24</v>
      </c>
      <c r="I503" s="1170"/>
      <c r="J503" s="1184"/>
      <c r="K503" s="1184"/>
      <c r="L503" s="1184"/>
      <c r="M503" s="1184"/>
      <c r="N503" s="1186"/>
      <c r="P503" s="7"/>
    </row>
    <row r="504" spans="1:16" s="431" customFormat="1" x14ac:dyDescent="0.3">
      <c r="A504" s="184">
        <v>494</v>
      </c>
      <c r="B504" s="1172"/>
      <c r="C504" s="1182">
        <v>79</v>
      </c>
      <c r="D504" s="1163" t="s">
        <v>481</v>
      </c>
      <c r="E504" s="1175"/>
      <c r="F504" s="1175"/>
      <c r="G504" s="1176"/>
      <c r="H504" s="1177" t="s">
        <v>24</v>
      </c>
      <c r="I504" s="1170"/>
      <c r="J504" s="1184"/>
      <c r="K504" s="1184"/>
      <c r="L504" s="1184"/>
      <c r="M504" s="1184"/>
      <c r="N504" s="1186"/>
    </row>
    <row r="505" spans="1:16" s="431" customFormat="1" x14ac:dyDescent="0.3">
      <c r="A505" s="184">
        <v>495</v>
      </c>
      <c r="B505" s="1181"/>
      <c r="C505" s="1182">
        <v>80</v>
      </c>
      <c r="D505" s="1183" t="s">
        <v>258</v>
      </c>
      <c r="E505" s="1175">
        <v>38100</v>
      </c>
      <c r="F505" s="1175">
        <v>38100</v>
      </c>
      <c r="G505" s="1176">
        <v>38100</v>
      </c>
      <c r="H505" s="1177" t="s">
        <v>24</v>
      </c>
      <c r="I505" s="1170"/>
      <c r="J505" s="1184"/>
      <c r="K505" s="1184"/>
      <c r="L505" s="1184"/>
      <c r="M505" s="1184"/>
      <c r="N505" s="1186"/>
    </row>
    <row r="506" spans="1:16" s="431" customFormat="1" x14ac:dyDescent="0.3">
      <c r="A506" s="184">
        <v>496</v>
      </c>
      <c r="B506" s="1196"/>
      <c r="C506" s="1197"/>
      <c r="D506" s="1190" t="s">
        <v>311</v>
      </c>
      <c r="E506" s="1198"/>
      <c r="F506" s="1198"/>
      <c r="G506" s="1199"/>
      <c r="H506" s="1200"/>
      <c r="I506" s="1191">
        <f>SUM(J506:N506)</f>
        <v>38100</v>
      </c>
      <c r="J506" s="1192"/>
      <c r="K506" s="1192"/>
      <c r="L506" s="1192">
        <v>38100</v>
      </c>
      <c r="M506" s="1192"/>
      <c r="N506" s="1201"/>
    </row>
    <row r="507" spans="1:16" s="431" customFormat="1" x14ac:dyDescent="0.3">
      <c r="A507" s="184">
        <v>497</v>
      </c>
      <c r="B507" s="1196"/>
      <c r="C507" s="1197"/>
      <c r="D507" s="1163" t="s">
        <v>1064</v>
      </c>
      <c r="E507" s="1198"/>
      <c r="F507" s="1198"/>
      <c r="G507" s="1199"/>
      <c r="H507" s="1200"/>
      <c r="I507" s="1170">
        <f t="shared" ref="I507:I509" si="105">SUM(J507:N507)</f>
        <v>38100</v>
      </c>
      <c r="J507" s="1192"/>
      <c r="K507" s="1192"/>
      <c r="L507" s="1180">
        <v>38100</v>
      </c>
      <c r="M507" s="1192"/>
      <c r="N507" s="1201"/>
    </row>
    <row r="508" spans="1:16" s="3" customFormat="1" ht="16.5" x14ac:dyDescent="0.3">
      <c r="A508" s="184">
        <v>498</v>
      </c>
      <c r="B508" s="1196"/>
      <c r="C508" s="1197"/>
      <c r="D508" s="1174" t="s">
        <v>999</v>
      </c>
      <c r="E508" s="1198"/>
      <c r="F508" s="1198"/>
      <c r="G508" s="1199"/>
      <c r="H508" s="1200"/>
      <c r="I508" s="1178">
        <f t="shared" si="105"/>
        <v>0</v>
      </c>
      <c r="J508" s="1180"/>
      <c r="K508" s="1180"/>
      <c r="L508" s="1180"/>
      <c r="M508" s="1192"/>
      <c r="N508" s="1201"/>
      <c r="P508" s="7"/>
    </row>
    <row r="509" spans="1:16" s="3" customFormat="1" ht="16.5" x14ac:dyDescent="0.3">
      <c r="A509" s="184">
        <v>499</v>
      </c>
      <c r="B509" s="1196"/>
      <c r="C509" s="1197"/>
      <c r="D509" s="1163" t="s">
        <v>1116</v>
      </c>
      <c r="E509" s="1198"/>
      <c r="F509" s="1198"/>
      <c r="G509" s="1199"/>
      <c r="H509" s="1200"/>
      <c r="I509" s="1170">
        <f t="shared" si="105"/>
        <v>38100</v>
      </c>
      <c r="J509" s="1180"/>
      <c r="K509" s="1180"/>
      <c r="L509" s="1180">
        <f>SUM(L507:L508)</f>
        <v>38100</v>
      </c>
      <c r="M509" s="1192"/>
      <c r="N509" s="1201"/>
      <c r="P509" s="7"/>
    </row>
    <row r="510" spans="1:16" s="7" customFormat="1" ht="16.5" x14ac:dyDescent="0.3">
      <c r="A510" s="184">
        <v>500</v>
      </c>
      <c r="B510" s="1181"/>
      <c r="C510" s="1182">
        <v>81</v>
      </c>
      <c r="D510" s="1183" t="s">
        <v>98</v>
      </c>
      <c r="E510" s="1175">
        <v>61200</v>
      </c>
      <c r="F510" s="1175">
        <v>78055</v>
      </c>
      <c r="G510" s="1176">
        <v>38000</v>
      </c>
      <c r="H510" s="1177" t="s">
        <v>24</v>
      </c>
      <c r="I510" s="1170"/>
      <c r="J510" s="1184"/>
      <c r="K510" s="1184"/>
      <c r="L510" s="1184"/>
      <c r="M510" s="1184"/>
      <c r="N510" s="1186"/>
    </row>
    <row r="511" spans="1:16" s="7" customFormat="1" ht="16.5" x14ac:dyDescent="0.3">
      <c r="A511" s="184">
        <v>501</v>
      </c>
      <c r="B511" s="1181"/>
      <c r="C511" s="1182"/>
      <c r="D511" s="1163" t="s">
        <v>1064</v>
      </c>
      <c r="E511" s="1175"/>
      <c r="F511" s="1175"/>
      <c r="G511" s="1176"/>
      <c r="H511" s="1177"/>
      <c r="I511" s="1170">
        <f t="shared" ref="I511:I513" si="106">SUM(J511:N511)</f>
        <v>17055</v>
      </c>
      <c r="J511" s="1184"/>
      <c r="K511" s="1184"/>
      <c r="L511" s="1180">
        <f>11055+6000</f>
        <v>17055</v>
      </c>
      <c r="M511" s="1184"/>
      <c r="N511" s="1186"/>
    </row>
    <row r="512" spans="1:16" s="3" customFormat="1" ht="16.5" x14ac:dyDescent="0.3">
      <c r="A512" s="184">
        <v>502</v>
      </c>
      <c r="B512" s="1172"/>
      <c r="C512" s="1173"/>
      <c r="D512" s="1174" t="s">
        <v>990</v>
      </c>
      <c r="E512" s="1175"/>
      <c r="F512" s="1175"/>
      <c r="G512" s="1176"/>
      <c r="H512" s="1177"/>
      <c r="I512" s="1178">
        <f t="shared" si="106"/>
        <v>3100</v>
      </c>
      <c r="J512" s="1184"/>
      <c r="K512" s="1184"/>
      <c r="L512" s="1185">
        <f>5400-2400+100</f>
        <v>3100</v>
      </c>
      <c r="M512" s="1184"/>
      <c r="N512" s="1186"/>
      <c r="P512" s="7"/>
    </row>
    <row r="513" spans="1:16" s="431" customFormat="1" x14ac:dyDescent="0.3">
      <c r="A513" s="184">
        <v>503</v>
      </c>
      <c r="B513" s="1172"/>
      <c r="C513" s="1173"/>
      <c r="D513" s="1163" t="s">
        <v>1116</v>
      </c>
      <c r="E513" s="1175"/>
      <c r="F513" s="1175"/>
      <c r="G513" s="1176"/>
      <c r="H513" s="1177"/>
      <c r="I513" s="1170">
        <f t="shared" si="106"/>
        <v>20155</v>
      </c>
      <c r="J513" s="1184"/>
      <c r="K513" s="1184"/>
      <c r="L513" s="1180">
        <f>SUM(L511:L512)</f>
        <v>20155</v>
      </c>
      <c r="M513" s="1184"/>
      <c r="N513" s="1186"/>
    </row>
    <row r="514" spans="1:16" s="431" customFormat="1" x14ac:dyDescent="0.3">
      <c r="A514" s="184">
        <v>504</v>
      </c>
      <c r="B514" s="1181"/>
      <c r="C514" s="1182">
        <v>82</v>
      </c>
      <c r="D514" s="1183" t="s">
        <v>99</v>
      </c>
      <c r="E514" s="1175">
        <v>34150</v>
      </c>
      <c r="F514" s="1175">
        <v>38847</v>
      </c>
      <c r="G514" s="1176">
        <v>45874</v>
      </c>
      <c r="H514" s="1177" t="s">
        <v>24</v>
      </c>
      <c r="I514" s="1170"/>
      <c r="J514" s="1184"/>
      <c r="K514" s="1184"/>
      <c r="L514" s="1184"/>
      <c r="M514" s="1184"/>
      <c r="N514" s="1186"/>
    </row>
    <row r="515" spans="1:16" s="431" customFormat="1" x14ac:dyDescent="0.3">
      <c r="A515" s="184">
        <v>505</v>
      </c>
      <c r="B515" s="1196"/>
      <c r="C515" s="1197"/>
      <c r="D515" s="1190" t="s">
        <v>311</v>
      </c>
      <c r="E515" s="1198"/>
      <c r="F515" s="1198"/>
      <c r="G515" s="1199"/>
      <c r="H515" s="1200"/>
      <c r="I515" s="1191">
        <f>SUM(J515:N515)</f>
        <v>34150</v>
      </c>
      <c r="J515" s="1192"/>
      <c r="K515" s="1192"/>
      <c r="L515" s="1192">
        <v>34150</v>
      </c>
      <c r="M515" s="1192"/>
      <c r="N515" s="1201"/>
    </row>
    <row r="516" spans="1:16" s="431" customFormat="1" x14ac:dyDescent="0.3">
      <c r="A516" s="184">
        <v>506</v>
      </c>
      <c r="B516" s="1196"/>
      <c r="C516" s="1197"/>
      <c r="D516" s="1163" t="s">
        <v>1064</v>
      </c>
      <c r="E516" s="1198"/>
      <c r="F516" s="1198"/>
      <c r="G516" s="1199"/>
      <c r="H516" s="1200"/>
      <c r="I516" s="1170">
        <f t="shared" ref="I516:I518" si="107">SUM(J516:N516)</f>
        <v>29882</v>
      </c>
      <c r="J516" s="1192"/>
      <c r="K516" s="1192"/>
      <c r="L516" s="1180">
        <v>29882</v>
      </c>
      <c r="M516" s="1192"/>
      <c r="N516" s="1201"/>
    </row>
    <row r="517" spans="1:16" s="3" customFormat="1" ht="16.5" x14ac:dyDescent="0.3">
      <c r="A517" s="184">
        <v>507</v>
      </c>
      <c r="B517" s="1196"/>
      <c r="C517" s="1197"/>
      <c r="D517" s="1174" t="s">
        <v>1012</v>
      </c>
      <c r="E517" s="1198"/>
      <c r="F517" s="1198"/>
      <c r="G517" s="1199"/>
      <c r="H517" s="1200"/>
      <c r="I517" s="1178">
        <f t="shared" si="107"/>
        <v>0</v>
      </c>
      <c r="J517" s="1192"/>
      <c r="K517" s="1192"/>
      <c r="L517" s="1185"/>
      <c r="M517" s="1192"/>
      <c r="N517" s="1201"/>
      <c r="P517" s="7"/>
    </row>
    <row r="518" spans="1:16" s="431" customFormat="1" x14ac:dyDescent="0.3">
      <c r="A518" s="184">
        <v>508</v>
      </c>
      <c r="B518" s="1196"/>
      <c r="C518" s="1197"/>
      <c r="D518" s="1163" t="s">
        <v>1116</v>
      </c>
      <c r="E518" s="1198"/>
      <c r="F518" s="1198"/>
      <c r="G518" s="1199"/>
      <c r="H518" s="1200"/>
      <c r="I518" s="1170">
        <f t="shared" si="107"/>
        <v>29882</v>
      </c>
      <c r="J518" s="1192"/>
      <c r="K518" s="1192"/>
      <c r="L518" s="1180">
        <f>SUM(L516:L517)</f>
        <v>29882</v>
      </c>
      <c r="M518" s="1192"/>
      <c r="N518" s="1201"/>
    </row>
    <row r="519" spans="1:16" s="431" customFormat="1" x14ac:dyDescent="0.3">
      <c r="A519" s="184">
        <v>509</v>
      </c>
      <c r="B519" s="1181"/>
      <c r="C519" s="1182">
        <v>83</v>
      </c>
      <c r="D519" s="1257" t="s">
        <v>323</v>
      </c>
      <c r="E519" s="1175">
        <v>2139</v>
      </c>
      <c r="F519" s="1175">
        <v>7500</v>
      </c>
      <c r="G519" s="1176">
        <v>3738</v>
      </c>
      <c r="H519" s="1177" t="s">
        <v>24</v>
      </c>
      <c r="I519" s="1170"/>
      <c r="J519" s="1184"/>
      <c r="K519" s="1184"/>
      <c r="L519" s="1184"/>
      <c r="M519" s="1184"/>
      <c r="N519" s="1186"/>
    </row>
    <row r="520" spans="1:16" s="431" customFormat="1" x14ac:dyDescent="0.3">
      <c r="A520" s="184">
        <v>510</v>
      </c>
      <c r="B520" s="1196"/>
      <c r="C520" s="1197"/>
      <c r="D520" s="1190" t="s">
        <v>311</v>
      </c>
      <c r="E520" s="1198"/>
      <c r="F520" s="1198"/>
      <c r="G520" s="1199"/>
      <c r="H520" s="1200"/>
      <c r="I520" s="1191">
        <f>SUM(J520:N520)</f>
        <v>5100</v>
      </c>
      <c r="J520" s="1192"/>
      <c r="K520" s="1192"/>
      <c r="L520" s="1192">
        <v>5100</v>
      </c>
      <c r="M520" s="1192"/>
      <c r="N520" s="1201"/>
    </row>
    <row r="521" spans="1:16" s="431" customFormat="1" x14ac:dyDescent="0.3">
      <c r="A521" s="184">
        <v>511</v>
      </c>
      <c r="B521" s="1196"/>
      <c r="C521" s="1197"/>
      <c r="D521" s="1163" t="s">
        <v>1064</v>
      </c>
      <c r="E521" s="1198"/>
      <c r="F521" s="1198"/>
      <c r="G521" s="1199"/>
      <c r="H521" s="1200"/>
      <c r="I521" s="1170">
        <f t="shared" ref="I521:I523" si="108">SUM(J521:N521)</f>
        <v>2600</v>
      </c>
      <c r="J521" s="1192"/>
      <c r="K521" s="1192"/>
      <c r="L521" s="1180">
        <f>3100-500</f>
        <v>2600</v>
      </c>
      <c r="M521" s="1192"/>
      <c r="N521" s="1201"/>
    </row>
    <row r="522" spans="1:16" s="7" customFormat="1" ht="16.5" x14ac:dyDescent="0.3">
      <c r="A522" s="184">
        <v>512</v>
      </c>
      <c r="B522" s="1196"/>
      <c r="C522" s="1197"/>
      <c r="D522" s="1174" t="s">
        <v>990</v>
      </c>
      <c r="E522" s="1198"/>
      <c r="F522" s="1198"/>
      <c r="G522" s="1199"/>
      <c r="H522" s="1200"/>
      <c r="I522" s="1178">
        <f t="shared" si="108"/>
        <v>4500</v>
      </c>
      <c r="J522" s="1180"/>
      <c r="K522" s="1180"/>
      <c r="L522" s="1185">
        <v>4500</v>
      </c>
      <c r="M522" s="1180"/>
      <c r="N522" s="1202"/>
    </row>
    <row r="523" spans="1:16" s="431" customFormat="1" x14ac:dyDescent="0.3">
      <c r="A523" s="184">
        <v>513</v>
      </c>
      <c r="B523" s="1196"/>
      <c r="C523" s="1197"/>
      <c r="D523" s="1163" t="s">
        <v>1116</v>
      </c>
      <c r="E523" s="1198"/>
      <c r="F523" s="1198"/>
      <c r="G523" s="1199"/>
      <c r="H523" s="1200"/>
      <c r="I523" s="1170">
        <f t="shared" si="108"/>
        <v>7100</v>
      </c>
      <c r="J523" s="1180"/>
      <c r="K523" s="1180"/>
      <c r="L523" s="1180">
        <f>SUM(L521:L522)</f>
        <v>7100</v>
      </c>
      <c r="M523" s="1180"/>
      <c r="N523" s="1202"/>
    </row>
    <row r="524" spans="1:16" s="431" customFormat="1" x14ac:dyDescent="0.3">
      <c r="A524" s="184">
        <v>514</v>
      </c>
      <c r="B524" s="1172"/>
      <c r="C524" s="1182">
        <v>84</v>
      </c>
      <c r="D524" s="1163" t="s">
        <v>484</v>
      </c>
      <c r="E524" s="1175">
        <v>2555</v>
      </c>
      <c r="F524" s="1175"/>
      <c r="G524" s="1176"/>
      <c r="H524" s="1177" t="s">
        <v>24</v>
      </c>
      <c r="I524" s="1170"/>
      <c r="J524" s="1184"/>
      <c r="K524" s="1184"/>
      <c r="L524" s="1184"/>
      <c r="M524" s="1184"/>
      <c r="N524" s="1186"/>
    </row>
    <row r="525" spans="1:16" s="431" customFormat="1" x14ac:dyDescent="0.3">
      <c r="A525" s="184">
        <v>515</v>
      </c>
      <c r="B525" s="1196"/>
      <c r="C525" s="1197"/>
      <c r="D525" s="1190" t="s">
        <v>311</v>
      </c>
      <c r="E525" s="1198"/>
      <c r="F525" s="1198"/>
      <c r="G525" s="1199"/>
      <c r="H525" s="1200"/>
      <c r="I525" s="1191">
        <f>SUM(J525:N525)</f>
        <v>3000</v>
      </c>
      <c r="J525" s="1192"/>
      <c r="K525" s="1192"/>
      <c r="L525" s="1192"/>
      <c r="M525" s="1192"/>
      <c r="N525" s="1201">
        <v>3000</v>
      </c>
    </row>
    <row r="526" spans="1:16" s="431" customFormat="1" x14ac:dyDescent="0.3">
      <c r="A526" s="184">
        <v>516</v>
      </c>
      <c r="B526" s="1196"/>
      <c r="C526" s="1197"/>
      <c r="D526" s="1163" t="s">
        <v>1064</v>
      </c>
      <c r="E526" s="1198"/>
      <c r="F526" s="1198"/>
      <c r="G526" s="1199"/>
      <c r="H526" s="1219"/>
      <c r="I526" s="1191">
        <v>0</v>
      </c>
      <c r="J526" s="1192"/>
      <c r="K526" s="1192"/>
      <c r="L526" s="1192"/>
      <c r="M526" s="1192"/>
      <c r="N526" s="1201">
        <v>0</v>
      </c>
    </row>
    <row r="527" spans="1:16" s="7" customFormat="1" ht="16.5" x14ac:dyDescent="0.3">
      <c r="A527" s="184">
        <v>517</v>
      </c>
      <c r="B527" s="1196"/>
      <c r="C527" s="1197"/>
      <c r="D527" s="1174" t="s">
        <v>1012</v>
      </c>
      <c r="E527" s="1198"/>
      <c r="F527" s="1198"/>
      <c r="G527" s="1199"/>
      <c r="H527" s="1219"/>
      <c r="I527" s="1178">
        <f t="shared" ref="I527:I528" si="109">SUM(J527:N527)</f>
        <v>0</v>
      </c>
      <c r="J527" s="1180"/>
      <c r="K527" s="1180"/>
      <c r="L527" s="1180"/>
      <c r="M527" s="1180"/>
      <c r="N527" s="1195"/>
    </row>
    <row r="528" spans="1:16" s="431" customFormat="1" x14ac:dyDescent="0.3">
      <c r="A528" s="184">
        <v>518</v>
      </c>
      <c r="B528" s="1196"/>
      <c r="C528" s="1197"/>
      <c r="D528" s="1163" t="s">
        <v>1116</v>
      </c>
      <c r="E528" s="1198"/>
      <c r="F528" s="1198"/>
      <c r="G528" s="1199"/>
      <c r="H528" s="1219"/>
      <c r="I528" s="1170">
        <f t="shared" si="109"/>
        <v>0</v>
      </c>
      <c r="J528" s="1180"/>
      <c r="K528" s="1180"/>
      <c r="L528" s="1180"/>
      <c r="M528" s="1180"/>
      <c r="N528" s="1202">
        <f>SUM(N526:N527)</f>
        <v>0</v>
      </c>
    </row>
    <row r="529" spans="1:16" s="431" customFormat="1" x14ac:dyDescent="0.3">
      <c r="A529" s="184">
        <v>519</v>
      </c>
      <c r="B529" s="1172"/>
      <c r="C529" s="1182">
        <v>85</v>
      </c>
      <c r="D529" s="1183" t="s">
        <v>65</v>
      </c>
      <c r="E529" s="1175">
        <v>1785</v>
      </c>
      <c r="F529" s="1175">
        <v>4000</v>
      </c>
      <c r="G529" s="1176">
        <v>4249</v>
      </c>
      <c r="H529" s="1166" t="s">
        <v>24</v>
      </c>
      <c r="I529" s="1187"/>
      <c r="J529" s="1188"/>
      <c r="K529" s="1188"/>
      <c r="L529" s="1188"/>
      <c r="M529" s="1188"/>
      <c r="N529" s="1189"/>
    </row>
    <row r="530" spans="1:16" s="431" customFormat="1" x14ac:dyDescent="0.3">
      <c r="A530" s="184">
        <v>520</v>
      </c>
      <c r="B530" s="1196"/>
      <c r="C530" s="1197"/>
      <c r="D530" s="1190" t="s">
        <v>311</v>
      </c>
      <c r="E530" s="1198"/>
      <c r="F530" s="1198"/>
      <c r="G530" s="1199"/>
      <c r="H530" s="1200"/>
      <c r="I530" s="1191">
        <f>SUM(J530:N530)</f>
        <v>4000</v>
      </c>
      <c r="J530" s="1192"/>
      <c r="K530" s="1192"/>
      <c r="L530" s="1192"/>
      <c r="M530" s="1192"/>
      <c r="N530" s="1201">
        <v>4000</v>
      </c>
    </row>
    <row r="531" spans="1:16" s="431" customFormat="1" x14ac:dyDescent="0.3">
      <c r="A531" s="184">
        <v>521</v>
      </c>
      <c r="B531" s="1196"/>
      <c r="C531" s="1197"/>
      <c r="D531" s="1163" t="s">
        <v>1064</v>
      </c>
      <c r="E531" s="1198"/>
      <c r="F531" s="1198"/>
      <c r="G531" s="1199"/>
      <c r="H531" s="1200"/>
      <c r="I531" s="1170">
        <f t="shared" ref="I531:I533" si="110">SUM(J531:N531)</f>
        <v>0</v>
      </c>
      <c r="J531" s="1192"/>
      <c r="K531" s="1192"/>
      <c r="L531" s="1192"/>
      <c r="M531" s="1192"/>
      <c r="N531" s="1202">
        <v>0</v>
      </c>
    </row>
    <row r="532" spans="1:16" s="3" customFormat="1" ht="16.5" x14ac:dyDescent="0.3">
      <c r="A532" s="184">
        <v>522</v>
      </c>
      <c r="B532" s="1196"/>
      <c r="C532" s="1197"/>
      <c r="D532" s="1174" t="s">
        <v>1012</v>
      </c>
      <c r="E532" s="1198"/>
      <c r="F532" s="1198"/>
      <c r="G532" s="1199"/>
      <c r="H532" s="1200"/>
      <c r="I532" s="1178">
        <f t="shared" si="110"/>
        <v>0</v>
      </c>
      <c r="J532" s="1180"/>
      <c r="K532" s="1180"/>
      <c r="L532" s="1180"/>
      <c r="M532" s="1180"/>
      <c r="N532" s="1195"/>
      <c r="P532" s="7"/>
    </row>
    <row r="533" spans="1:16" s="3" customFormat="1" ht="16.5" x14ac:dyDescent="0.3">
      <c r="A533" s="184">
        <v>523</v>
      </c>
      <c r="B533" s="1196"/>
      <c r="C533" s="1197"/>
      <c r="D533" s="1163" t="s">
        <v>1116</v>
      </c>
      <c r="E533" s="1198"/>
      <c r="F533" s="1198"/>
      <c r="G533" s="1199"/>
      <c r="H533" s="1200"/>
      <c r="I533" s="1170">
        <f t="shared" si="110"/>
        <v>0</v>
      </c>
      <c r="J533" s="1180"/>
      <c r="K533" s="1180"/>
      <c r="L533" s="1180"/>
      <c r="M533" s="1180"/>
      <c r="N533" s="1202">
        <f>SUM(N531:N532)</f>
        <v>0</v>
      </c>
      <c r="P533" s="7"/>
    </row>
    <row r="534" spans="1:16" s="431" customFormat="1" x14ac:dyDescent="0.3">
      <c r="A534" s="184">
        <v>524</v>
      </c>
      <c r="B534" s="1181"/>
      <c r="C534" s="1182">
        <v>86</v>
      </c>
      <c r="D534" s="1183" t="s">
        <v>101</v>
      </c>
      <c r="E534" s="1175"/>
      <c r="F534" s="1175">
        <v>500</v>
      </c>
      <c r="G534" s="1176"/>
      <c r="H534" s="1177" t="s">
        <v>23</v>
      </c>
      <c r="I534" s="1170"/>
      <c r="J534" s="1184"/>
      <c r="K534" s="1184"/>
      <c r="L534" s="1184"/>
      <c r="M534" s="1184"/>
      <c r="N534" s="1186"/>
    </row>
    <row r="535" spans="1:16" s="431" customFormat="1" x14ac:dyDescent="0.3">
      <c r="A535" s="184">
        <v>525</v>
      </c>
      <c r="B535" s="1181"/>
      <c r="C535" s="1182">
        <v>87</v>
      </c>
      <c r="D535" s="1183" t="s">
        <v>102</v>
      </c>
      <c r="E535" s="1175">
        <v>1461</v>
      </c>
      <c r="F535" s="1175">
        <v>2100</v>
      </c>
      <c r="G535" s="1176">
        <v>989</v>
      </c>
      <c r="H535" s="1177" t="s">
        <v>23</v>
      </c>
      <c r="I535" s="1170"/>
      <c r="J535" s="1184"/>
      <c r="K535" s="1184"/>
      <c r="L535" s="1184"/>
      <c r="M535" s="1184"/>
      <c r="N535" s="1186"/>
    </row>
    <row r="536" spans="1:16" s="431" customFormat="1" x14ac:dyDescent="0.3">
      <c r="A536" s="184">
        <v>526</v>
      </c>
      <c r="B536" s="1196"/>
      <c r="C536" s="1197"/>
      <c r="D536" s="1190" t="s">
        <v>311</v>
      </c>
      <c r="E536" s="1198"/>
      <c r="F536" s="1198"/>
      <c r="G536" s="1199"/>
      <c r="H536" s="1200"/>
      <c r="I536" s="1191">
        <f>SUM(J536:N536)</f>
        <v>1785</v>
      </c>
      <c r="J536" s="1192"/>
      <c r="K536" s="1192"/>
      <c r="L536" s="1192">
        <v>1785</v>
      </c>
      <c r="M536" s="1192"/>
      <c r="N536" s="1201"/>
    </row>
    <row r="537" spans="1:16" s="431" customFormat="1" x14ac:dyDescent="0.3">
      <c r="A537" s="184">
        <v>527</v>
      </c>
      <c r="B537" s="1196"/>
      <c r="C537" s="1197"/>
      <c r="D537" s="1163" t="s">
        <v>1064</v>
      </c>
      <c r="E537" s="1198"/>
      <c r="F537" s="1198"/>
      <c r="G537" s="1199"/>
      <c r="H537" s="1200"/>
      <c r="I537" s="1170">
        <f t="shared" ref="I537:I539" si="111">SUM(J537:N537)</f>
        <v>3220</v>
      </c>
      <c r="J537" s="1180">
        <v>20</v>
      </c>
      <c r="K537" s="1180">
        <f>17+3</f>
        <v>20</v>
      </c>
      <c r="L537" s="1180">
        <f>3203-23</f>
        <v>3180</v>
      </c>
      <c r="M537" s="1192"/>
      <c r="N537" s="1201"/>
    </row>
    <row r="538" spans="1:16" s="7" customFormat="1" ht="16.5" x14ac:dyDescent="0.3">
      <c r="A538" s="184">
        <v>528</v>
      </c>
      <c r="B538" s="1196"/>
      <c r="C538" s="1197"/>
      <c r="D538" s="1174" t="s">
        <v>990</v>
      </c>
      <c r="E538" s="1198"/>
      <c r="F538" s="1198"/>
      <c r="G538" s="1199"/>
      <c r="H538" s="1200"/>
      <c r="I538" s="1178">
        <f t="shared" si="111"/>
        <v>-1700</v>
      </c>
      <c r="J538" s="1180"/>
      <c r="K538" s="1185">
        <v>100</v>
      </c>
      <c r="L538" s="1185">
        <f>-100-1700</f>
        <v>-1800</v>
      </c>
      <c r="M538" s="1180"/>
      <c r="N538" s="1202"/>
    </row>
    <row r="539" spans="1:16" s="431" customFormat="1" x14ac:dyDescent="0.3">
      <c r="A539" s="184">
        <v>529</v>
      </c>
      <c r="B539" s="1196"/>
      <c r="C539" s="1197"/>
      <c r="D539" s="1163" t="s">
        <v>1116</v>
      </c>
      <c r="E539" s="1198"/>
      <c r="F539" s="1198"/>
      <c r="G539" s="1199"/>
      <c r="H539" s="1200"/>
      <c r="I539" s="1170">
        <f t="shared" si="111"/>
        <v>1520</v>
      </c>
      <c r="J539" s="1180">
        <f>SUM(J537:J538)</f>
        <v>20</v>
      </c>
      <c r="K539" s="1180">
        <f>SUM(K537:K538)</f>
        <v>120</v>
      </c>
      <c r="L539" s="1180">
        <f>SUM(L537:L538)</f>
        <v>1380</v>
      </c>
      <c r="M539" s="1180"/>
      <c r="N539" s="1202"/>
    </row>
    <row r="540" spans="1:16" s="431" customFormat="1" x14ac:dyDescent="0.3">
      <c r="A540" s="184">
        <v>530</v>
      </c>
      <c r="B540" s="1172"/>
      <c r="C540" s="1182">
        <v>88</v>
      </c>
      <c r="D540" s="1163" t="s">
        <v>485</v>
      </c>
      <c r="E540" s="1175">
        <v>54</v>
      </c>
      <c r="F540" s="1175"/>
      <c r="G540" s="1176">
        <v>156</v>
      </c>
      <c r="H540" s="1177" t="s">
        <v>24</v>
      </c>
      <c r="I540" s="1170"/>
      <c r="J540" s="1184"/>
      <c r="K540" s="1184"/>
      <c r="L540" s="1184"/>
      <c r="M540" s="1184"/>
      <c r="N540" s="1186"/>
    </row>
    <row r="541" spans="1:16" s="431" customFormat="1" x14ac:dyDescent="0.3">
      <c r="A541" s="184">
        <v>531</v>
      </c>
      <c r="B541" s="1196"/>
      <c r="C541" s="1197"/>
      <c r="D541" s="1190" t="s">
        <v>311</v>
      </c>
      <c r="E541" s="1198"/>
      <c r="F541" s="1198"/>
      <c r="G541" s="1199"/>
      <c r="H541" s="1200"/>
      <c r="I541" s="1191">
        <f>SUM(J541:N541)</f>
        <v>840</v>
      </c>
      <c r="J541" s="1192"/>
      <c r="K541" s="1192"/>
      <c r="L541" s="1192">
        <v>840</v>
      </c>
      <c r="M541" s="1192"/>
      <c r="N541" s="1201"/>
    </row>
    <row r="542" spans="1:16" s="431" customFormat="1" x14ac:dyDescent="0.3">
      <c r="A542" s="184">
        <v>532</v>
      </c>
      <c r="B542" s="1196"/>
      <c r="C542" s="1197"/>
      <c r="D542" s="1163" t="s">
        <v>1064</v>
      </c>
      <c r="E542" s="1198"/>
      <c r="F542" s="1198"/>
      <c r="G542" s="1199"/>
      <c r="H542" s="1200"/>
      <c r="I542" s="1170">
        <f t="shared" ref="I542:I544" si="112">SUM(J542:N542)</f>
        <v>840</v>
      </c>
      <c r="J542" s="1192"/>
      <c r="K542" s="1192"/>
      <c r="L542" s="1180">
        <v>840</v>
      </c>
      <c r="M542" s="1192"/>
      <c r="N542" s="1201"/>
    </row>
    <row r="543" spans="1:16" s="3" customFormat="1" ht="16.5" x14ac:dyDescent="0.3">
      <c r="A543" s="184">
        <v>533</v>
      </c>
      <c r="B543" s="1196"/>
      <c r="C543" s="1197"/>
      <c r="D543" s="1174" t="s">
        <v>999</v>
      </c>
      <c r="E543" s="1198"/>
      <c r="F543" s="1198"/>
      <c r="G543" s="1199"/>
      <c r="H543" s="1200"/>
      <c r="I543" s="1178">
        <f t="shared" si="112"/>
        <v>0</v>
      </c>
      <c r="J543" s="1180"/>
      <c r="K543" s="1180"/>
      <c r="L543" s="1180"/>
      <c r="M543" s="1180"/>
      <c r="N543" s="1202"/>
      <c r="P543" s="7"/>
    </row>
    <row r="544" spans="1:16" s="431" customFormat="1" x14ac:dyDescent="0.3">
      <c r="A544" s="184">
        <v>534</v>
      </c>
      <c r="B544" s="1196"/>
      <c r="C544" s="1197"/>
      <c r="D544" s="1163" t="s">
        <v>1116</v>
      </c>
      <c r="E544" s="1198"/>
      <c r="F544" s="1198"/>
      <c r="G544" s="1199"/>
      <c r="H544" s="1200"/>
      <c r="I544" s="1170">
        <f t="shared" si="112"/>
        <v>840</v>
      </c>
      <c r="J544" s="1180"/>
      <c r="K544" s="1180"/>
      <c r="L544" s="1180">
        <f>SUM(L542:L543)</f>
        <v>840</v>
      </c>
      <c r="M544" s="1180"/>
      <c r="N544" s="1202"/>
    </row>
    <row r="545" spans="1:16" s="431" customFormat="1" x14ac:dyDescent="0.3">
      <c r="A545" s="184">
        <v>535</v>
      </c>
      <c r="B545" s="1181"/>
      <c r="C545" s="1182">
        <v>89</v>
      </c>
      <c r="D545" s="1183" t="s">
        <v>525</v>
      </c>
      <c r="E545" s="1175">
        <v>140310</v>
      </c>
      <c r="F545" s="1175">
        <v>160000</v>
      </c>
      <c r="G545" s="1176">
        <v>146828</v>
      </c>
      <c r="H545" s="1177" t="s">
        <v>23</v>
      </c>
      <c r="I545" s="1170"/>
      <c r="J545" s="1184"/>
      <c r="K545" s="1184"/>
      <c r="L545" s="1184"/>
      <c r="M545" s="1184"/>
      <c r="N545" s="1186"/>
    </row>
    <row r="546" spans="1:16" s="431" customFormat="1" x14ac:dyDescent="0.3">
      <c r="A546" s="184">
        <v>536</v>
      </c>
      <c r="B546" s="1196"/>
      <c r="C546" s="1197"/>
      <c r="D546" s="1190" t="s">
        <v>311</v>
      </c>
      <c r="E546" s="1198"/>
      <c r="F546" s="1198"/>
      <c r="G546" s="1199"/>
      <c r="H546" s="1200"/>
      <c r="I546" s="1191">
        <f>SUM(J546:N546)</f>
        <v>136000</v>
      </c>
      <c r="J546" s="1192"/>
      <c r="K546" s="1192"/>
      <c r="L546" s="1192">
        <v>136000</v>
      </c>
      <c r="M546" s="1192"/>
      <c r="N546" s="1201"/>
    </row>
    <row r="547" spans="1:16" s="431" customFormat="1" x14ac:dyDescent="0.3">
      <c r="A547" s="184">
        <v>537</v>
      </c>
      <c r="B547" s="1196"/>
      <c r="C547" s="1197"/>
      <c r="D547" s="1163" t="s">
        <v>1064</v>
      </c>
      <c r="E547" s="1198"/>
      <c r="F547" s="1198"/>
      <c r="G547" s="1199"/>
      <c r="H547" s="1200"/>
      <c r="I547" s="1170">
        <f t="shared" ref="I547:I549" si="113">SUM(J547:N547)</f>
        <v>181910</v>
      </c>
      <c r="J547" s="1192"/>
      <c r="K547" s="1192"/>
      <c r="L547" s="1180">
        <v>181910</v>
      </c>
      <c r="M547" s="1192"/>
      <c r="N547" s="1201"/>
    </row>
    <row r="548" spans="1:16" s="3" customFormat="1" ht="16.5" x14ac:dyDescent="0.3">
      <c r="A548" s="184">
        <v>538</v>
      </c>
      <c r="B548" s="1196"/>
      <c r="C548" s="1197"/>
      <c r="D548" s="1174" t="s">
        <v>1012</v>
      </c>
      <c r="E548" s="1198"/>
      <c r="F548" s="1198"/>
      <c r="G548" s="1199"/>
      <c r="H548" s="1200"/>
      <c r="I548" s="1178">
        <f t="shared" si="113"/>
        <v>0</v>
      </c>
      <c r="J548" s="1180"/>
      <c r="K548" s="1180"/>
      <c r="L548" s="1185"/>
      <c r="M548" s="1180"/>
      <c r="N548" s="1202"/>
      <c r="P548" s="7"/>
    </row>
    <row r="549" spans="1:16" s="431" customFormat="1" x14ac:dyDescent="0.3">
      <c r="A549" s="184">
        <v>539</v>
      </c>
      <c r="B549" s="1196"/>
      <c r="C549" s="1197"/>
      <c r="D549" s="1163" t="s">
        <v>1116</v>
      </c>
      <c r="E549" s="1198"/>
      <c r="F549" s="1198"/>
      <c r="G549" s="1199"/>
      <c r="H549" s="1200"/>
      <c r="I549" s="1170">
        <f t="shared" si="113"/>
        <v>181910</v>
      </c>
      <c r="J549" s="1180"/>
      <c r="K549" s="1180"/>
      <c r="L549" s="1180">
        <f>SUM(L547:L548)</f>
        <v>181910</v>
      </c>
      <c r="M549" s="1180"/>
      <c r="N549" s="1202"/>
    </row>
    <row r="550" spans="1:16" s="431" customFormat="1" x14ac:dyDescent="0.3">
      <c r="A550" s="184">
        <v>540</v>
      </c>
      <c r="B550" s="1181"/>
      <c r="C550" s="1182">
        <v>90</v>
      </c>
      <c r="D550" s="1183" t="s">
        <v>91</v>
      </c>
      <c r="E550" s="1258">
        <v>53306</v>
      </c>
      <c r="F550" s="1258">
        <v>49000</v>
      </c>
      <c r="G550" s="1259">
        <v>41642</v>
      </c>
      <c r="H550" s="1177" t="s">
        <v>23</v>
      </c>
      <c r="I550" s="1170"/>
      <c r="J550" s="1184"/>
      <c r="K550" s="1184"/>
      <c r="L550" s="1184"/>
      <c r="M550" s="1184"/>
      <c r="N550" s="1186"/>
    </row>
    <row r="551" spans="1:16" s="431" customFormat="1" x14ac:dyDescent="0.3">
      <c r="A551" s="184">
        <v>541</v>
      </c>
      <c r="B551" s="1196"/>
      <c r="C551" s="1197"/>
      <c r="D551" s="1190" t="s">
        <v>311</v>
      </c>
      <c r="E551" s="1198"/>
      <c r="F551" s="1198"/>
      <c r="G551" s="1199"/>
      <c r="H551" s="1200"/>
      <c r="I551" s="1191">
        <f>SUM(J551:N551)</f>
        <v>54230</v>
      </c>
      <c r="J551" s="1192"/>
      <c r="K551" s="1192"/>
      <c r="L551" s="1192">
        <v>54230</v>
      </c>
      <c r="M551" s="1192"/>
      <c r="N551" s="1201"/>
    </row>
    <row r="552" spans="1:16" s="431" customFormat="1" x14ac:dyDescent="0.3">
      <c r="A552" s="184">
        <v>542</v>
      </c>
      <c r="B552" s="1196"/>
      <c r="C552" s="1197"/>
      <c r="D552" s="1163" t="s">
        <v>1064</v>
      </c>
      <c r="E552" s="1198"/>
      <c r="F552" s="1198"/>
      <c r="G552" s="1199"/>
      <c r="H552" s="1200"/>
      <c r="I552" s="1170">
        <f t="shared" ref="I552:I554" si="114">SUM(J552:N552)</f>
        <v>64649</v>
      </c>
      <c r="J552" s="1192"/>
      <c r="K552" s="1192"/>
      <c r="L552" s="1180">
        <v>64649</v>
      </c>
      <c r="M552" s="1192"/>
      <c r="N552" s="1201"/>
    </row>
    <row r="553" spans="1:16" s="3" customFormat="1" ht="16.5" x14ac:dyDescent="0.3">
      <c r="A553" s="184">
        <v>543</v>
      </c>
      <c r="B553" s="1196"/>
      <c r="C553" s="1197"/>
      <c r="D553" s="1174" t="s">
        <v>1012</v>
      </c>
      <c r="E553" s="1198"/>
      <c r="F553" s="1198"/>
      <c r="G553" s="1199"/>
      <c r="H553" s="1200"/>
      <c r="I553" s="1178">
        <f t="shared" si="114"/>
        <v>0</v>
      </c>
      <c r="J553" s="1180"/>
      <c r="K553" s="1180"/>
      <c r="L553" s="1185"/>
      <c r="M553" s="1180"/>
      <c r="N553" s="1202"/>
      <c r="P553" s="7"/>
    </row>
    <row r="554" spans="1:16" s="431" customFormat="1" x14ac:dyDescent="0.3">
      <c r="A554" s="184">
        <v>544</v>
      </c>
      <c r="B554" s="1196"/>
      <c r="C554" s="1197"/>
      <c r="D554" s="1163" t="s">
        <v>1116</v>
      </c>
      <c r="E554" s="1198"/>
      <c r="F554" s="1198"/>
      <c r="G554" s="1199"/>
      <c r="H554" s="1200"/>
      <c r="I554" s="1170">
        <f t="shared" si="114"/>
        <v>64649</v>
      </c>
      <c r="J554" s="1180"/>
      <c r="K554" s="1180"/>
      <c r="L554" s="1180">
        <f>SUM(L552:L553)</f>
        <v>64649</v>
      </c>
      <c r="M554" s="1180"/>
      <c r="N554" s="1202"/>
    </row>
    <row r="555" spans="1:16" s="431" customFormat="1" x14ac:dyDescent="0.3">
      <c r="A555" s="184">
        <v>545</v>
      </c>
      <c r="B555" s="1181"/>
      <c r="C555" s="1182">
        <v>91</v>
      </c>
      <c r="D555" s="1183" t="s">
        <v>92</v>
      </c>
      <c r="E555" s="1175">
        <v>3851</v>
      </c>
      <c r="F555" s="1175">
        <v>2000</v>
      </c>
      <c r="G555" s="1176">
        <v>13153</v>
      </c>
      <c r="H555" s="1177" t="s">
        <v>23</v>
      </c>
      <c r="I555" s="1170"/>
      <c r="J555" s="1184"/>
      <c r="K555" s="1184"/>
      <c r="L555" s="1184"/>
      <c r="M555" s="1184"/>
      <c r="N555" s="1186"/>
    </row>
    <row r="556" spans="1:16" s="431" customFormat="1" x14ac:dyDescent="0.3">
      <c r="A556" s="184">
        <v>546</v>
      </c>
      <c r="B556" s="1196"/>
      <c r="C556" s="1197"/>
      <c r="D556" s="1190" t="s">
        <v>311</v>
      </c>
      <c r="E556" s="1198"/>
      <c r="F556" s="1198"/>
      <c r="G556" s="1199"/>
      <c r="H556" s="1200"/>
      <c r="I556" s="1191">
        <f>SUM(J556:N556)</f>
        <v>1700</v>
      </c>
      <c r="J556" s="1192"/>
      <c r="K556" s="1192"/>
      <c r="L556" s="1192">
        <v>1700</v>
      </c>
      <c r="M556" s="1192"/>
      <c r="N556" s="1201"/>
    </row>
    <row r="557" spans="1:16" s="431" customFormat="1" x14ac:dyDescent="0.3">
      <c r="A557" s="184">
        <v>547</v>
      </c>
      <c r="B557" s="1196"/>
      <c r="C557" s="1197"/>
      <c r="D557" s="1163" t="s">
        <v>1064</v>
      </c>
      <c r="E557" s="1198"/>
      <c r="F557" s="1198"/>
      <c r="G557" s="1199"/>
      <c r="H557" s="1200"/>
      <c r="I557" s="1170">
        <f t="shared" ref="I557:I559" si="115">SUM(J557:N557)</f>
        <v>5477</v>
      </c>
      <c r="J557" s="1192"/>
      <c r="K557" s="1192"/>
      <c r="L557" s="1180">
        <f>7977-2500</f>
        <v>5477</v>
      </c>
      <c r="M557" s="1192"/>
      <c r="N557" s="1201"/>
    </row>
    <row r="558" spans="1:16" s="3" customFormat="1" ht="16.5" x14ac:dyDescent="0.3">
      <c r="A558" s="184">
        <v>548</v>
      </c>
      <c r="B558" s="1196"/>
      <c r="C558" s="1197"/>
      <c r="D558" s="1174" t="s">
        <v>1012</v>
      </c>
      <c r="E558" s="1198"/>
      <c r="F558" s="1198"/>
      <c r="G558" s="1199"/>
      <c r="H558" s="1200"/>
      <c r="I558" s="1178">
        <f t="shared" si="115"/>
        <v>0</v>
      </c>
      <c r="J558" s="1180"/>
      <c r="K558" s="1180"/>
      <c r="L558" s="1185"/>
      <c r="M558" s="1180"/>
      <c r="N558" s="1202"/>
    </row>
    <row r="559" spans="1:16" s="431" customFormat="1" x14ac:dyDescent="0.3">
      <c r="A559" s="184">
        <v>549</v>
      </c>
      <c r="B559" s="1196"/>
      <c r="C559" s="1197"/>
      <c r="D559" s="1163" t="s">
        <v>1116</v>
      </c>
      <c r="E559" s="1198"/>
      <c r="F559" s="1198"/>
      <c r="G559" s="1199"/>
      <c r="H559" s="1200"/>
      <c r="I559" s="1170">
        <f t="shared" si="115"/>
        <v>5477</v>
      </c>
      <c r="J559" s="1180"/>
      <c r="K559" s="1180"/>
      <c r="L559" s="1180">
        <f>SUM(L557:L558)</f>
        <v>5477</v>
      </c>
      <c r="M559" s="1180"/>
      <c r="N559" s="1202"/>
    </row>
    <row r="560" spans="1:16" s="431" customFormat="1" x14ac:dyDescent="0.3">
      <c r="A560" s="184">
        <v>550</v>
      </c>
      <c r="B560" s="1181"/>
      <c r="C560" s="1182">
        <v>92</v>
      </c>
      <c r="D560" s="1183" t="s">
        <v>962</v>
      </c>
      <c r="E560" s="1175"/>
      <c r="F560" s="1175">
        <v>835195</v>
      </c>
      <c r="G560" s="1176">
        <v>1443096</v>
      </c>
      <c r="H560" s="1177" t="s">
        <v>23</v>
      </c>
      <c r="I560" s="1170"/>
      <c r="J560" s="1184"/>
      <c r="K560" s="1184"/>
      <c r="L560" s="1184"/>
      <c r="M560" s="1184"/>
      <c r="N560" s="1186"/>
    </row>
    <row r="561" spans="1:16" s="431" customFormat="1" x14ac:dyDescent="0.3">
      <c r="A561" s="184">
        <v>551</v>
      </c>
      <c r="B561" s="1196"/>
      <c r="C561" s="1197"/>
      <c r="D561" s="1190" t="s">
        <v>311</v>
      </c>
      <c r="E561" s="1198"/>
      <c r="F561" s="1198"/>
      <c r="G561" s="1199"/>
      <c r="H561" s="1200"/>
      <c r="I561" s="1191">
        <f>SUM(J561:N561)</f>
        <v>881516</v>
      </c>
      <c r="J561" s="1192"/>
      <c r="K561" s="1192"/>
      <c r="L561" s="1192"/>
      <c r="M561" s="1192"/>
      <c r="N561" s="1201">
        <v>881516</v>
      </c>
    </row>
    <row r="562" spans="1:16" s="431" customFormat="1" x14ac:dyDescent="0.3">
      <c r="A562" s="184">
        <v>552</v>
      </c>
      <c r="B562" s="1196"/>
      <c r="C562" s="1197"/>
      <c r="D562" s="1163" t="s">
        <v>1064</v>
      </c>
      <c r="E562" s="1198"/>
      <c r="F562" s="1198"/>
      <c r="G562" s="1199"/>
      <c r="H562" s="1200"/>
      <c r="I562" s="1170">
        <f t="shared" ref="I562:I564" si="116">SUM(J562:N562)</f>
        <v>881516</v>
      </c>
      <c r="J562" s="1192"/>
      <c r="K562" s="1192"/>
      <c r="L562" s="1192"/>
      <c r="M562" s="1192"/>
      <c r="N562" s="1202">
        <v>881516</v>
      </c>
    </row>
    <row r="563" spans="1:16" s="7" customFormat="1" ht="16.5" x14ac:dyDescent="0.3">
      <c r="A563" s="184">
        <v>553</v>
      </c>
      <c r="B563" s="1196"/>
      <c r="C563" s="1197"/>
      <c r="D563" s="1174" t="s">
        <v>999</v>
      </c>
      <c r="E563" s="1198"/>
      <c r="F563" s="1198"/>
      <c r="G563" s="1199"/>
      <c r="H563" s="1200"/>
      <c r="I563" s="1178">
        <f t="shared" si="116"/>
        <v>0</v>
      </c>
      <c r="J563" s="1180"/>
      <c r="K563" s="1180"/>
      <c r="L563" s="1180"/>
      <c r="M563" s="1180"/>
      <c r="N563" s="1202"/>
    </row>
    <row r="564" spans="1:16" s="431" customFormat="1" x14ac:dyDescent="0.3">
      <c r="A564" s="184">
        <v>554</v>
      </c>
      <c r="B564" s="1196"/>
      <c r="C564" s="1197"/>
      <c r="D564" s="1163" t="s">
        <v>1116</v>
      </c>
      <c r="E564" s="1198"/>
      <c r="F564" s="1198"/>
      <c r="G564" s="1199"/>
      <c r="H564" s="1200"/>
      <c r="I564" s="1170">
        <f t="shared" si="116"/>
        <v>881516</v>
      </c>
      <c r="J564" s="1180"/>
      <c r="K564" s="1180"/>
      <c r="L564" s="1180"/>
      <c r="M564" s="1180"/>
      <c r="N564" s="1202">
        <f>SUM(N562:N563)</f>
        <v>881516</v>
      </c>
    </row>
    <row r="565" spans="1:16" s="431" customFormat="1" x14ac:dyDescent="0.3">
      <c r="A565" s="184">
        <v>555</v>
      </c>
      <c r="B565" s="1172"/>
      <c r="C565" s="1173">
        <v>93</v>
      </c>
      <c r="D565" s="1183" t="s">
        <v>837</v>
      </c>
      <c r="E565" s="1175"/>
      <c r="F565" s="1175"/>
      <c r="G565" s="1176"/>
      <c r="H565" s="1177" t="s">
        <v>23</v>
      </c>
      <c r="I565" s="1170"/>
      <c r="J565" s="1184"/>
      <c r="K565" s="1184"/>
      <c r="L565" s="1184"/>
      <c r="M565" s="1184"/>
      <c r="N565" s="1186"/>
    </row>
    <row r="566" spans="1:16" s="431" customFormat="1" x14ac:dyDescent="0.3">
      <c r="A566" s="184">
        <v>556</v>
      </c>
      <c r="B566" s="1196"/>
      <c r="C566" s="1197"/>
      <c r="D566" s="1190" t="s">
        <v>311</v>
      </c>
      <c r="E566" s="1198"/>
      <c r="F566" s="1198"/>
      <c r="G566" s="1199"/>
      <c r="H566" s="1200"/>
      <c r="I566" s="1191">
        <f>SUM(J566:N566)</f>
        <v>153947</v>
      </c>
      <c r="J566" s="1192"/>
      <c r="K566" s="1192"/>
      <c r="L566" s="1192"/>
      <c r="M566" s="1192"/>
      <c r="N566" s="1201">
        <v>153947</v>
      </c>
    </row>
    <row r="567" spans="1:16" s="431" customFormat="1" x14ac:dyDescent="0.3">
      <c r="A567" s="184">
        <v>557</v>
      </c>
      <c r="B567" s="1196"/>
      <c r="C567" s="1197"/>
      <c r="D567" s="1163" t="s">
        <v>1064</v>
      </c>
      <c r="E567" s="1198"/>
      <c r="F567" s="1198"/>
      <c r="G567" s="1199"/>
      <c r="H567" s="1200"/>
      <c r="I567" s="1170">
        <f t="shared" ref="I567:I569" si="117">SUM(J567:N567)</f>
        <v>153947</v>
      </c>
      <c r="J567" s="1192"/>
      <c r="K567" s="1192"/>
      <c r="L567" s="1192"/>
      <c r="M567" s="1192"/>
      <c r="N567" s="1202">
        <v>153947</v>
      </c>
    </row>
    <row r="568" spans="1:16" s="3" customFormat="1" ht="16.5" x14ac:dyDescent="0.3">
      <c r="A568" s="184">
        <v>558</v>
      </c>
      <c r="B568" s="1196"/>
      <c r="C568" s="1197"/>
      <c r="D568" s="1174" t="s">
        <v>999</v>
      </c>
      <c r="E568" s="1198"/>
      <c r="F568" s="1198"/>
      <c r="G568" s="1199"/>
      <c r="H568" s="1200"/>
      <c r="I568" s="1178">
        <f t="shared" si="117"/>
        <v>0</v>
      </c>
      <c r="J568" s="1180"/>
      <c r="K568" s="1180"/>
      <c r="L568" s="1180"/>
      <c r="M568" s="1180"/>
      <c r="N568" s="1202"/>
    </row>
    <row r="569" spans="1:16" s="431" customFormat="1" x14ac:dyDescent="0.3">
      <c r="A569" s="184">
        <v>559</v>
      </c>
      <c r="B569" s="1196"/>
      <c r="C569" s="1197"/>
      <c r="D569" s="1163" t="s">
        <v>1116</v>
      </c>
      <c r="E569" s="1198"/>
      <c r="F569" s="1198"/>
      <c r="G569" s="1199"/>
      <c r="H569" s="1200"/>
      <c r="I569" s="1170">
        <f t="shared" si="117"/>
        <v>153947</v>
      </c>
      <c r="J569" s="1180"/>
      <c r="K569" s="1180"/>
      <c r="L569" s="1180"/>
      <c r="M569" s="1180"/>
      <c r="N569" s="1202">
        <f>SUM(N567:N568)</f>
        <v>153947</v>
      </c>
    </row>
    <row r="570" spans="1:16" s="431" customFormat="1" x14ac:dyDescent="0.3">
      <c r="A570" s="184">
        <v>560</v>
      </c>
      <c r="B570" s="1181"/>
      <c r="C570" s="1182">
        <v>94</v>
      </c>
      <c r="D570" s="1183" t="s">
        <v>559</v>
      </c>
      <c r="E570" s="1175"/>
      <c r="F570" s="1175">
        <v>56013</v>
      </c>
      <c r="G570" s="1176">
        <v>24770</v>
      </c>
      <c r="H570" s="1177" t="s">
        <v>24</v>
      </c>
      <c r="I570" s="1170"/>
      <c r="J570" s="1184"/>
      <c r="K570" s="1184"/>
      <c r="L570" s="1184"/>
      <c r="M570" s="1184"/>
      <c r="N570" s="1186"/>
    </row>
    <row r="571" spans="1:16" s="431" customFormat="1" x14ac:dyDescent="0.3">
      <c r="A571" s="184">
        <v>561</v>
      </c>
      <c r="B571" s="1196"/>
      <c r="C571" s="1197"/>
      <c r="D571" s="1190" t="s">
        <v>311</v>
      </c>
      <c r="E571" s="1198"/>
      <c r="F571" s="1198"/>
      <c r="G571" s="1199"/>
      <c r="H571" s="1200"/>
      <c r="I571" s="1191">
        <f>SUM(J571:N571)</f>
        <v>56914</v>
      </c>
      <c r="J571" s="1192"/>
      <c r="K571" s="1192"/>
      <c r="L571" s="1192">
        <v>56914</v>
      </c>
      <c r="M571" s="1192"/>
      <c r="N571" s="1201"/>
    </row>
    <row r="572" spans="1:16" s="431" customFormat="1" x14ac:dyDescent="0.3">
      <c r="A572" s="184">
        <v>562</v>
      </c>
      <c r="B572" s="1196"/>
      <c r="C572" s="1197"/>
      <c r="D572" s="1163" t="s">
        <v>1064</v>
      </c>
      <c r="E572" s="1198"/>
      <c r="F572" s="1198"/>
      <c r="G572" s="1199"/>
      <c r="H572" s="1200"/>
      <c r="I572" s="1170">
        <f t="shared" ref="I572:I574" si="118">SUM(J572:N572)</f>
        <v>56814</v>
      </c>
      <c r="J572" s="1192"/>
      <c r="K572" s="1192"/>
      <c r="L572" s="1180">
        <v>56814</v>
      </c>
      <c r="M572" s="1192"/>
      <c r="N572" s="1201"/>
    </row>
    <row r="573" spans="1:16" s="3" customFormat="1" ht="16.5" x14ac:dyDescent="0.3">
      <c r="A573" s="184">
        <v>563</v>
      </c>
      <c r="B573" s="1196"/>
      <c r="C573" s="1197"/>
      <c r="D573" s="1174" t="s">
        <v>1012</v>
      </c>
      <c r="E573" s="1198"/>
      <c r="F573" s="1198"/>
      <c r="G573" s="1199"/>
      <c r="H573" s="1200"/>
      <c r="I573" s="1178">
        <f t="shared" si="118"/>
        <v>0</v>
      </c>
      <c r="J573" s="1180"/>
      <c r="K573" s="1180"/>
      <c r="L573" s="1185"/>
      <c r="M573" s="1180"/>
      <c r="N573" s="1202"/>
      <c r="O573" s="7"/>
      <c r="P573" s="7"/>
    </row>
    <row r="574" spans="1:16" s="3" customFormat="1" ht="16.5" x14ac:dyDescent="0.3">
      <c r="A574" s="184">
        <v>564</v>
      </c>
      <c r="B574" s="1196"/>
      <c r="C574" s="1197"/>
      <c r="D574" s="1163" t="s">
        <v>1116</v>
      </c>
      <c r="E574" s="1198"/>
      <c r="F574" s="1198"/>
      <c r="G574" s="1199"/>
      <c r="H574" s="1200"/>
      <c r="I574" s="1170">
        <f t="shared" si="118"/>
        <v>56814</v>
      </c>
      <c r="J574" s="1180"/>
      <c r="K574" s="1180"/>
      <c r="L574" s="1180">
        <f>SUM(L572:L573)</f>
        <v>56814</v>
      </c>
      <c r="M574" s="1180"/>
      <c r="N574" s="1202"/>
      <c r="P574" s="7"/>
    </row>
    <row r="575" spans="1:16" s="431" customFormat="1" x14ac:dyDescent="0.3">
      <c r="A575" s="184">
        <v>565</v>
      </c>
      <c r="B575" s="1181"/>
      <c r="C575" s="1182"/>
      <c r="D575" s="1260" t="s">
        <v>306</v>
      </c>
      <c r="E575" s="1175"/>
      <c r="F575" s="1175"/>
      <c r="G575" s="1176"/>
      <c r="H575" s="1177"/>
      <c r="I575" s="1187"/>
      <c r="J575" s="1188"/>
      <c r="K575" s="1188"/>
      <c r="L575" s="1188"/>
      <c r="M575" s="1188"/>
      <c r="N575" s="1189"/>
    </row>
    <row r="576" spans="1:16" s="431" customFormat="1" x14ac:dyDescent="0.3">
      <c r="A576" s="184">
        <v>566</v>
      </c>
      <c r="B576" s="1181"/>
      <c r="C576" s="1182">
        <v>95</v>
      </c>
      <c r="D576" s="1261" t="s">
        <v>8</v>
      </c>
      <c r="E576" s="1175">
        <v>277661</v>
      </c>
      <c r="F576" s="1175">
        <v>280000</v>
      </c>
      <c r="G576" s="1176">
        <v>285738</v>
      </c>
      <c r="H576" s="1177" t="s">
        <v>23</v>
      </c>
      <c r="I576" s="1170"/>
      <c r="J576" s="1184"/>
      <c r="K576" s="1184"/>
      <c r="L576" s="1184"/>
      <c r="M576" s="1184"/>
      <c r="N576" s="1186"/>
    </row>
    <row r="577" spans="1:16" s="431" customFormat="1" x14ac:dyDescent="0.3">
      <c r="A577" s="184">
        <v>567</v>
      </c>
      <c r="B577" s="1196"/>
      <c r="C577" s="1197"/>
      <c r="D577" s="1262" t="s">
        <v>311</v>
      </c>
      <c r="E577" s="1198"/>
      <c r="F577" s="1198"/>
      <c r="G577" s="1199"/>
      <c r="H577" s="1200"/>
      <c r="I577" s="1191">
        <f>SUM(J577:N577)</f>
        <v>277100</v>
      </c>
      <c r="J577" s="1192"/>
      <c r="K577" s="1192"/>
      <c r="L577" s="1192">
        <v>5000</v>
      </c>
      <c r="M577" s="1192"/>
      <c r="N577" s="1201">
        <f>277100-5000</f>
        <v>272100</v>
      </c>
    </row>
    <row r="578" spans="1:16" s="431" customFormat="1" x14ac:dyDescent="0.3">
      <c r="A578" s="184">
        <v>568</v>
      </c>
      <c r="B578" s="1196"/>
      <c r="C578" s="1197"/>
      <c r="D578" s="1263" t="s">
        <v>1064</v>
      </c>
      <c r="E578" s="1198"/>
      <c r="F578" s="1198"/>
      <c r="G578" s="1199"/>
      <c r="H578" s="1200"/>
      <c r="I578" s="1170">
        <f t="shared" ref="I578:I580" si="119">SUM(J578:N578)</f>
        <v>278548</v>
      </c>
      <c r="J578" s="1192"/>
      <c r="K578" s="1192"/>
      <c r="L578" s="1180">
        <v>6448</v>
      </c>
      <c r="M578" s="1180"/>
      <c r="N578" s="1202">
        <v>272100</v>
      </c>
    </row>
    <row r="579" spans="1:16" s="3" customFormat="1" ht="16.5" x14ac:dyDescent="0.3">
      <c r="A579" s="184">
        <v>569</v>
      </c>
      <c r="B579" s="1196"/>
      <c r="C579" s="1197"/>
      <c r="D579" s="1264" t="s">
        <v>1012</v>
      </c>
      <c r="E579" s="1198"/>
      <c r="F579" s="1198"/>
      <c r="G579" s="1199"/>
      <c r="H579" s="1200"/>
      <c r="I579" s="1178">
        <f t="shared" si="119"/>
        <v>0</v>
      </c>
      <c r="J579" s="1180"/>
      <c r="K579" s="1180"/>
      <c r="L579" s="1185"/>
      <c r="M579" s="1180"/>
      <c r="N579" s="1202"/>
      <c r="P579" s="7"/>
    </row>
    <row r="580" spans="1:16" s="431" customFormat="1" x14ac:dyDescent="0.3">
      <c r="A580" s="184">
        <v>570</v>
      </c>
      <c r="B580" s="1196"/>
      <c r="C580" s="1197"/>
      <c r="D580" s="1263" t="s">
        <v>1116</v>
      </c>
      <c r="E580" s="1198"/>
      <c r="F580" s="1198"/>
      <c r="G580" s="1199"/>
      <c r="H580" s="1200"/>
      <c r="I580" s="1170">
        <f t="shared" si="119"/>
        <v>278548</v>
      </c>
      <c r="J580" s="1180"/>
      <c r="K580" s="1180"/>
      <c r="L580" s="1180">
        <f>SUM(L578:L579)</f>
        <v>6448</v>
      </c>
      <c r="M580" s="1180"/>
      <c r="N580" s="1202">
        <f>SUM(N578:N579)</f>
        <v>272100</v>
      </c>
    </row>
    <row r="581" spans="1:16" s="431" customFormat="1" x14ac:dyDescent="0.3">
      <c r="A581" s="184">
        <v>571</v>
      </c>
      <c r="B581" s="1181"/>
      <c r="C581" s="1182">
        <v>96</v>
      </c>
      <c r="D581" s="1261" t="s">
        <v>305</v>
      </c>
      <c r="E581" s="1175">
        <v>50000</v>
      </c>
      <c r="F581" s="1175">
        <v>54053</v>
      </c>
      <c r="G581" s="1176">
        <v>54053</v>
      </c>
      <c r="H581" s="1177" t="s">
        <v>23</v>
      </c>
      <c r="I581" s="1170"/>
      <c r="J581" s="1184"/>
      <c r="K581" s="1184"/>
      <c r="L581" s="1184"/>
      <c r="M581" s="1184"/>
      <c r="N581" s="1186"/>
    </row>
    <row r="582" spans="1:16" s="431" customFormat="1" x14ac:dyDescent="0.3">
      <c r="A582" s="184">
        <v>572</v>
      </c>
      <c r="B582" s="1196"/>
      <c r="C582" s="1197"/>
      <c r="D582" s="1262" t="s">
        <v>311</v>
      </c>
      <c r="E582" s="1198"/>
      <c r="F582" s="1198"/>
      <c r="G582" s="1199"/>
      <c r="H582" s="1200"/>
      <c r="I582" s="1191">
        <f>SUM(J582:N582)</f>
        <v>45900</v>
      </c>
      <c r="J582" s="1192"/>
      <c r="K582" s="1192"/>
      <c r="L582" s="1192"/>
      <c r="M582" s="1192"/>
      <c r="N582" s="1201">
        <v>45900</v>
      </c>
    </row>
    <row r="583" spans="1:16" s="431" customFormat="1" x14ac:dyDescent="0.3">
      <c r="A583" s="184">
        <v>573</v>
      </c>
      <c r="B583" s="1196"/>
      <c r="C583" s="1197"/>
      <c r="D583" s="1263" t="s">
        <v>1064</v>
      </c>
      <c r="E583" s="1198"/>
      <c r="F583" s="1198"/>
      <c r="G583" s="1199"/>
      <c r="H583" s="1200"/>
      <c r="I583" s="1170">
        <f t="shared" ref="I583:I585" si="120">SUM(J583:N583)</f>
        <v>45900</v>
      </c>
      <c r="J583" s="1192"/>
      <c r="K583" s="1192"/>
      <c r="L583" s="1192"/>
      <c r="M583" s="1192"/>
      <c r="N583" s="1202">
        <v>45900</v>
      </c>
    </row>
    <row r="584" spans="1:16" s="3" customFormat="1" ht="16.5" x14ac:dyDescent="0.3">
      <c r="A584" s="184">
        <v>574</v>
      </c>
      <c r="B584" s="1196"/>
      <c r="C584" s="1197"/>
      <c r="D584" s="1264" t="s">
        <v>999</v>
      </c>
      <c r="E584" s="1198"/>
      <c r="F584" s="1198"/>
      <c r="G584" s="1199"/>
      <c r="H584" s="1200"/>
      <c r="I584" s="1178">
        <f t="shared" si="120"/>
        <v>0</v>
      </c>
      <c r="J584" s="1180"/>
      <c r="K584" s="1180"/>
      <c r="L584" s="1180"/>
      <c r="M584" s="1180"/>
      <c r="N584" s="1202"/>
      <c r="P584" s="7"/>
    </row>
    <row r="585" spans="1:16" s="431" customFormat="1" x14ac:dyDescent="0.3">
      <c r="A585" s="184">
        <v>575</v>
      </c>
      <c r="B585" s="1196"/>
      <c r="C585" s="1197"/>
      <c r="D585" s="1263" t="s">
        <v>1116</v>
      </c>
      <c r="E585" s="1198"/>
      <c r="F585" s="1198"/>
      <c r="G585" s="1199"/>
      <c r="H585" s="1200"/>
      <c r="I585" s="1170">
        <f t="shared" si="120"/>
        <v>45900</v>
      </c>
      <c r="J585" s="1180"/>
      <c r="K585" s="1180"/>
      <c r="L585" s="1180"/>
      <c r="M585" s="1180"/>
      <c r="N585" s="1202">
        <f>SUM(N583:N584)</f>
        <v>45900</v>
      </c>
    </row>
    <row r="586" spans="1:16" s="431" customFormat="1" x14ac:dyDescent="0.3">
      <c r="A586" s="184">
        <v>576</v>
      </c>
      <c r="B586" s="1181"/>
      <c r="C586" s="1182">
        <v>97</v>
      </c>
      <c r="D586" s="1261" t="s">
        <v>9</v>
      </c>
      <c r="E586" s="1175">
        <v>289144</v>
      </c>
      <c r="F586" s="1175">
        <v>298908</v>
      </c>
      <c r="G586" s="1176">
        <v>298908</v>
      </c>
      <c r="H586" s="1177" t="s">
        <v>23</v>
      </c>
      <c r="I586" s="1170"/>
      <c r="J586" s="1184"/>
      <c r="K586" s="1184"/>
      <c r="L586" s="1184"/>
      <c r="M586" s="1184"/>
      <c r="N586" s="1186"/>
    </row>
    <row r="587" spans="1:16" s="431" customFormat="1" x14ac:dyDescent="0.3">
      <c r="A587" s="184">
        <v>577</v>
      </c>
      <c r="B587" s="1196"/>
      <c r="C587" s="1197"/>
      <c r="D587" s="1262" t="s">
        <v>311</v>
      </c>
      <c r="E587" s="1198"/>
      <c r="F587" s="1198"/>
      <c r="G587" s="1199"/>
      <c r="H587" s="1200"/>
      <c r="I587" s="1191">
        <f>SUM(J587:N587)</f>
        <v>259250</v>
      </c>
      <c r="J587" s="1192"/>
      <c r="K587" s="1192"/>
      <c r="L587" s="1192"/>
      <c r="M587" s="1192"/>
      <c r="N587" s="1201">
        <v>259250</v>
      </c>
    </row>
    <row r="588" spans="1:16" s="431" customFormat="1" x14ac:dyDescent="0.3">
      <c r="A588" s="184">
        <v>578</v>
      </c>
      <c r="B588" s="1196"/>
      <c r="C588" s="1197"/>
      <c r="D588" s="1263" t="s">
        <v>1064</v>
      </c>
      <c r="E588" s="1198"/>
      <c r="F588" s="1198"/>
      <c r="G588" s="1199"/>
      <c r="H588" s="1200"/>
      <c r="I588" s="1170">
        <f t="shared" ref="I588:I590" si="121">SUM(J588:N588)</f>
        <v>259250</v>
      </c>
      <c r="J588" s="1192"/>
      <c r="K588" s="1192"/>
      <c r="L588" s="1192"/>
      <c r="M588" s="1192"/>
      <c r="N588" s="1202">
        <v>259250</v>
      </c>
    </row>
    <row r="589" spans="1:16" s="3" customFormat="1" ht="16.5" x14ac:dyDescent="0.3">
      <c r="A589" s="184">
        <v>579</v>
      </c>
      <c r="B589" s="1196"/>
      <c r="C589" s="1197"/>
      <c r="D589" s="1264" t="s">
        <v>999</v>
      </c>
      <c r="E589" s="1198"/>
      <c r="F589" s="1198"/>
      <c r="G589" s="1199"/>
      <c r="H589" s="1200"/>
      <c r="I589" s="1178">
        <f t="shared" si="121"/>
        <v>0</v>
      </c>
      <c r="J589" s="1180"/>
      <c r="K589" s="1180"/>
      <c r="L589" s="1180"/>
      <c r="M589" s="1180"/>
      <c r="N589" s="1202"/>
      <c r="P589" s="7"/>
    </row>
    <row r="590" spans="1:16" s="431" customFormat="1" x14ac:dyDescent="0.3">
      <c r="A590" s="184">
        <v>580</v>
      </c>
      <c r="B590" s="1196"/>
      <c r="C590" s="1197"/>
      <c r="D590" s="1263" t="s">
        <v>1116</v>
      </c>
      <c r="E590" s="1198"/>
      <c r="F590" s="1198"/>
      <c r="G590" s="1199"/>
      <c r="H590" s="1200"/>
      <c r="I590" s="1170">
        <f t="shared" si="121"/>
        <v>259250</v>
      </c>
      <c r="J590" s="1180"/>
      <c r="K590" s="1180"/>
      <c r="L590" s="1180"/>
      <c r="M590" s="1180"/>
      <c r="N590" s="1202">
        <f>SUM(N588:N589)</f>
        <v>259250</v>
      </c>
    </row>
    <row r="591" spans="1:16" s="431" customFormat="1" x14ac:dyDescent="0.3">
      <c r="A591" s="184">
        <v>581</v>
      </c>
      <c r="B591" s="1181"/>
      <c r="C591" s="1182">
        <v>98</v>
      </c>
      <c r="D591" s="1261" t="s">
        <v>7</v>
      </c>
      <c r="E591" s="1175">
        <v>21700</v>
      </c>
      <c r="F591" s="1175">
        <v>43000</v>
      </c>
      <c r="G591" s="1176">
        <v>43000</v>
      </c>
      <c r="H591" s="1177" t="s">
        <v>23</v>
      </c>
      <c r="I591" s="1170"/>
      <c r="J591" s="1184"/>
      <c r="K591" s="1184"/>
      <c r="L591" s="1184"/>
      <c r="M591" s="1184"/>
      <c r="N591" s="1186"/>
    </row>
    <row r="592" spans="1:16" s="431" customFormat="1" x14ac:dyDescent="0.3">
      <c r="A592" s="184">
        <v>582</v>
      </c>
      <c r="B592" s="1196"/>
      <c r="C592" s="1197"/>
      <c r="D592" s="1262" t="s">
        <v>311</v>
      </c>
      <c r="E592" s="1198"/>
      <c r="F592" s="1198"/>
      <c r="G592" s="1199"/>
      <c r="H592" s="1200"/>
      <c r="I592" s="1191">
        <f>SUM(J592:N592)</f>
        <v>36550</v>
      </c>
      <c r="J592" s="1192"/>
      <c r="K592" s="1192"/>
      <c r="L592" s="1192"/>
      <c r="M592" s="1192"/>
      <c r="N592" s="1201">
        <v>36550</v>
      </c>
    </row>
    <row r="593" spans="1:16" s="431" customFormat="1" x14ac:dyDescent="0.3">
      <c r="A593" s="184">
        <v>583</v>
      </c>
      <c r="B593" s="1196"/>
      <c r="C593" s="1197"/>
      <c r="D593" s="1263" t="s">
        <v>1064</v>
      </c>
      <c r="E593" s="1198"/>
      <c r="F593" s="1198"/>
      <c r="G593" s="1199"/>
      <c r="H593" s="1200"/>
      <c r="I593" s="1170">
        <f t="shared" ref="I593:I595" si="122">SUM(J593:N593)</f>
        <v>36550</v>
      </c>
      <c r="J593" s="1192"/>
      <c r="K593" s="1192"/>
      <c r="L593" s="1192"/>
      <c r="M593" s="1192"/>
      <c r="N593" s="1202">
        <v>36550</v>
      </c>
    </row>
    <row r="594" spans="1:16" s="3" customFormat="1" ht="16.5" x14ac:dyDescent="0.3">
      <c r="A594" s="184">
        <v>584</v>
      </c>
      <c r="B594" s="1196"/>
      <c r="C594" s="1197"/>
      <c r="D594" s="1264" t="s">
        <v>999</v>
      </c>
      <c r="E594" s="1198"/>
      <c r="F594" s="1198"/>
      <c r="G594" s="1199"/>
      <c r="H594" s="1200"/>
      <c r="I594" s="1178">
        <f t="shared" si="122"/>
        <v>0</v>
      </c>
      <c r="J594" s="1180"/>
      <c r="K594" s="1180"/>
      <c r="L594" s="1180"/>
      <c r="M594" s="1180"/>
      <c r="N594" s="1202"/>
      <c r="O594" s="7"/>
      <c r="P594" s="7"/>
    </row>
    <row r="595" spans="1:16" s="3" customFormat="1" ht="16.5" x14ac:dyDescent="0.3">
      <c r="A595" s="184">
        <v>585</v>
      </c>
      <c r="B595" s="1196"/>
      <c r="C595" s="1197"/>
      <c r="D595" s="1263" t="s">
        <v>1116</v>
      </c>
      <c r="E595" s="1198"/>
      <c r="F595" s="1198"/>
      <c r="G595" s="1199"/>
      <c r="H595" s="1200"/>
      <c r="I595" s="1170">
        <f t="shared" si="122"/>
        <v>36550</v>
      </c>
      <c r="J595" s="1180"/>
      <c r="K595" s="1180"/>
      <c r="L595" s="1180"/>
      <c r="M595" s="1180"/>
      <c r="N595" s="1202">
        <f>SUM(N593:N594)</f>
        <v>36550</v>
      </c>
      <c r="P595" s="7"/>
    </row>
    <row r="596" spans="1:16" s="431" customFormat="1" x14ac:dyDescent="0.3">
      <c r="A596" s="184">
        <v>586</v>
      </c>
      <c r="B596" s="1181"/>
      <c r="C596" s="1182"/>
      <c r="D596" s="1260" t="s">
        <v>307</v>
      </c>
      <c r="E596" s="1175"/>
      <c r="F596" s="1175"/>
      <c r="G596" s="1176"/>
      <c r="H596" s="1177"/>
      <c r="I596" s="1187"/>
      <c r="J596" s="1188"/>
      <c r="K596" s="1188"/>
      <c r="L596" s="1188"/>
      <c r="M596" s="1188"/>
      <c r="N596" s="1189"/>
    </row>
    <row r="597" spans="1:16" s="431" customFormat="1" x14ac:dyDescent="0.3">
      <c r="A597" s="184">
        <v>587</v>
      </c>
      <c r="B597" s="1181"/>
      <c r="C597" s="1182">
        <v>99</v>
      </c>
      <c r="D597" s="1261" t="s">
        <v>838</v>
      </c>
      <c r="E597" s="1175">
        <v>157789</v>
      </c>
      <c r="F597" s="1175">
        <f>171000-121000</f>
        <v>50000</v>
      </c>
      <c r="G597" s="1176">
        <v>35000</v>
      </c>
      <c r="H597" s="1177" t="s">
        <v>23</v>
      </c>
      <c r="I597" s="1170"/>
      <c r="J597" s="1184"/>
      <c r="K597" s="1184"/>
      <c r="L597" s="1184"/>
      <c r="M597" s="1184"/>
      <c r="N597" s="1186"/>
    </row>
    <row r="598" spans="1:16" s="431" customFormat="1" x14ac:dyDescent="0.3">
      <c r="A598" s="184">
        <v>588</v>
      </c>
      <c r="B598" s="1196"/>
      <c r="C598" s="1197"/>
      <c r="D598" s="1262" t="s">
        <v>311</v>
      </c>
      <c r="E598" s="1198"/>
      <c r="F598" s="1198"/>
      <c r="G598" s="1199"/>
      <c r="H598" s="1200"/>
      <c r="I598" s="1191">
        <f>SUM(J598:N598)</f>
        <v>42500</v>
      </c>
      <c r="J598" s="1192"/>
      <c r="K598" s="1192"/>
      <c r="L598" s="1192"/>
      <c r="M598" s="1192"/>
      <c r="N598" s="1201">
        <f>35000+7500</f>
        <v>42500</v>
      </c>
    </row>
    <row r="599" spans="1:16" s="431" customFormat="1" x14ac:dyDescent="0.3">
      <c r="A599" s="184">
        <v>589</v>
      </c>
      <c r="B599" s="1196"/>
      <c r="C599" s="1197"/>
      <c r="D599" s="1263" t="s">
        <v>1064</v>
      </c>
      <c r="E599" s="1198"/>
      <c r="F599" s="1198"/>
      <c r="G599" s="1199"/>
      <c r="H599" s="1200"/>
      <c r="I599" s="1170">
        <f t="shared" ref="I599:I601" si="123">SUM(J599:N599)</f>
        <v>42500</v>
      </c>
      <c r="J599" s="1192"/>
      <c r="K599" s="1192"/>
      <c r="L599" s="1192"/>
      <c r="M599" s="1192"/>
      <c r="N599" s="1202">
        <v>42500</v>
      </c>
    </row>
    <row r="600" spans="1:16" s="3" customFormat="1" ht="16.5" x14ac:dyDescent="0.3">
      <c r="A600" s="184">
        <v>590</v>
      </c>
      <c r="B600" s="1196"/>
      <c r="C600" s="1197"/>
      <c r="D600" s="1264" t="s">
        <v>1012</v>
      </c>
      <c r="E600" s="1198"/>
      <c r="F600" s="1198"/>
      <c r="G600" s="1199"/>
      <c r="H600" s="1200"/>
      <c r="I600" s="1178">
        <f t="shared" si="123"/>
        <v>0</v>
      </c>
      <c r="J600" s="1180"/>
      <c r="K600" s="1180"/>
      <c r="L600" s="1180"/>
      <c r="M600" s="1180"/>
      <c r="N600" s="1202"/>
      <c r="P600" s="7"/>
    </row>
    <row r="601" spans="1:16" s="431" customFormat="1" x14ac:dyDescent="0.3">
      <c r="A601" s="184">
        <v>591</v>
      </c>
      <c r="B601" s="1196"/>
      <c r="C601" s="1197"/>
      <c r="D601" s="1263" t="s">
        <v>1116</v>
      </c>
      <c r="E601" s="1198"/>
      <c r="F601" s="1198"/>
      <c r="G601" s="1199"/>
      <c r="H601" s="1200"/>
      <c r="I601" s="1170">
        <f t="shared" si="123"/>
        <v>42500</v>
      </c>
      <c r="J601" s="1180"/>
      <c r="K601" s="1180"/>
      <c r="L601" s="1180"/>
      <c r="M601" s="1180"/>
      <c r="N601" s="1202">
        <f>SUM(N599:N600)</f>
        <v>42500</v>
      </c>
    </row>
    <row r="602" spans="1:16" s="431" customFormat="1" x14ac:dyDescent="0.3">
      <c r="A602" s="184">
        <v>592</v>
      </c>
      <c r="B602" s="1181"/>
      <c r="C602" s="1182">
        <v>100</v>
      </c>
      <c r="D602" s="1261" t="s">
        <v>308</v>
      </c>
      <c r="E602" s="1175">
        <v>180000</v>
      </c>
      <c r="F602" s="1175">
        <v>180000</v>
      </c>
      <c r="G602" s="1176">
        <v>180000</v>
      </c>
      <c r="H602" s="1177" t="s">
        <v>23</v>
      </c>
      <c r="I602" s="1170"/>
      <c r="J602" s="1184"/>
      <c r="K602" s="1184"/>
      <c r="L602" s="1184"/>
      <c r="M602" s="1184"/>
      <c r="N602" s="1186"/>
    </row>
    <row r="603" spans="1:16" s="431" customFormat="1" x14ac:dyDescent="0.3">
      <c r="A603" s="184">
        <v>593</v>
      </c>
      <c r="B603" s="1196"/>
      <c r="C603" s="1197"/>
      <c r="D603" s="1262" t="s">
        <v>311</v>
      </c>
      <c r="E603" s="1198"/>
      <c r="F603" s="1198"/>
      <c r="G603" s="1199"/>
      <c r="H603" s="1200"/>
      <c r="I603" s="1191">
        <f>SUM(J603:N603)</f>
        <v>169738</v>
      </c>
      <c r="J603" s="1192"/>
      <c r="K603" s="1192"/>
      <c r="L603" s="1192"/>
      <c r="M603" s="1192"/>
      <c r="N603" s="1201">
        <v>169738</v>
      </c>
    </row>
    <row r="604" spans="1:16" s="431" customFormat="1" x14ac:dyDescent="0.3">
      <c r="A604" s="184">
        <v>594</v>
      </c>
      <c r="B604" s="1196"/>
      <c r="C604" s="1197"/>
      <c r="D604" s="1263" t="s">
        <v>1064</v>
      </c>
      <c r="E604" s="1198"/>
      <c r="F604" s="1198"/>
      <c r="G604" s="1199"/>
      <c r="H604" s="1200"/>
      <c r="I604" s="1170">
        <f t="shared" ref="I604:I606" si="124">SUM(J604:N604)</f>
        <v>169738</v>
      </c>
      <c r="J604" s="1192"/>
      <c r="K604" s="1192"/>
      <c r="L604" s="1192"/>
      <c r="M604" s="1192"/>
      <c r="N604" s="1202">
        <v>169738</v>
      </c>
    </row>
    <row r="605" spans="1:16" s="7" customFormat="1" ht="16.5" x14ac:dyDescent="0.3">
      <c r="A605" s="184">
        <v>595</v>
      </c>
      <c r="B605" s="1196"/>
      <c r="C605" s="1197"/>
      <c r="D605" s="1264" t="s">
        <v>999</v>
      </c>
      <c r="E605" s="1198"/>
      <c r="F605" s="1198"/>
      <c r="G605" s="1199"/>
      <c r="H605" s="1200"/>
      <c r="I605" s="1178">
        <f t="shared" si="124"/>
        <v>0</v>
      </c>
      <c r="J605" s="1180"/>
      <c r="K605" s="1180"/>
      <c r="L605" s="1180"/>
      <c r="M605" s="1180"/>
      <c r="N605" s="1202"/>
    </row>
    <row r="606" spans="1:16" s="431" customFormat="1" x14ac:dyDescent="0.3">
      <c r="A606" s="184">
        <v>596</v>
      </c>
      <c r="B606" s="1196"/>
      <c r="C606" s="1197"/>
      <c r="D606" s="1263" t="s">
        <v>1116</v>
      </c>
      <c r="E606" s="1198"/>
      <c r="F606" s="1198"/>
      <c r="G606" s="1199"/>
      <c r="H606" s="1200"/>
      <c r="I606" s="1170">
        <f t="shared" si="124"/>
        <v>169738</v>
      </c>
      <c r="J606" s="1180"/>
      <c r="K606" s="1180"/>
      <c r="L606" s="1180"/>
      <c r="M606" s="1180"/>
      <c r="N606" s="1202">
        <f>SUM(N604:N605)</f>
        <v>169738</v>
      </c>
    </row>
    <row r="607" spans="1:16" s="431" customFormat="1" x14ac:dyDescent="0.3">
      <c r="A607" s="184">
        <v>597</v>
      </c>
      <c r="B607" s="1172"/>
      <c r="C607" s="1173">
        <v>101</v>
      </c>
      <c r="D607" s="1261" t="s">
        <v>839</v>
      </c>
      <c r="E607" s="1175"/>
      <c r="F607" s="1175">
        <v>121000</v>
      </c>
      <c r="G607" s="1176">
        <v>123387</v>
      </c>
      <c r="H607" s="1177" t="s">
        <v>23</v>
      </c>
      <c r="I607" s="1170"/>
      <c r="J607" s="1184"/>
      <c r="K607" s="1184"/>
      <c r="L607" s="1184"/>
      <c r="M607" s="1184"/>
      <c r="N607" s="1186"/>
    </row>
    <row r="608" spans="1:16" s="431" customFormat="1" x14ac:dyDescent="0.3">
      <c r="A608" s="184">
        <v>598</v>
      </c>
      <c r="B608" s="1196"/>
      <c r="C608" s="1197"/>
      <c r="D608" s="1262" t="s">
        <v>311</v>
      </c>
      <c r="E608" s="1198"/>
      <c r="F608" s="1198"/>
      <c r="G608" s="1199"/>
      <c r="H608" s="1200"/>
      <c r="I608" s="1191">
        <f>SUM(J608:N608)</f>
        <v>130000</v>
      </c>
      <c r="J608" s="1192"/>
      <c r="K608" s="1192"/>
      <c r="L608" s="1192">
        <v>130000</v>
      </c>
      <c r="M608" s="1192"/>
      <c r="N608" s="1201"/>
    </row>
    <row r="609" spans="1:16" s="431" customFormat="1" x14ac:dyDescent="0.3">
      <c r="A609" s="184">
        <v>599</v>
      </c>
      <c r="B609" s="1196"/>
      <c r="C609" s="1197"/>
      <c r="D609" s="1263" t="s">
        <v>1064</v>
      </c>
      <c r="E609" s="1198"/>
      <c r="F609" s="1198"/>
      <c r="G609" s="1199"/>
      <c r="H609" s="1200"/>
      <c r="I609" s="1170">
        <f t="shared" ref="I609:I611" si="125">SUM(J609:N609)</f>
        <v>149113</v>
      </c>
      <c r="J609" s="1192"/>
      <c r="K609" s="1192"/>
      <c r="L609" s="1180">
        <v>149113</v>
      </c>
      <c r="M609" s="1192"/>
      <c r="N609" s="1201"/>
    </row>
    <row r="610" spans="1:16" s="3" customFormat="1" ht="16.5" x14ac:dyDescent="0.3">
      <c r="A610" s="184">
        <v>600</v>
      </c>
      <c r="B610" s="1196"/>
      <c r="C610" s="1197"/>
      <c r="D610" s="1264" t="s">
        <v>1012</v>
      </c>
      <c r="E610" s="1198"/>
      <c r="F610" s="1198"/>
      <c r="G610" s="1199"/>
      <c r="H610" s="1200"/>
      <c r="I610" s="1178">
        <f t="shared" si="125"/>
        <v>0</v>
      </c>
      <c r="J610" s="1180"/>
      <c r="K610" s="1180"/>
      <c r="L610" s="1185"/>
      <c r="M610" s="1180"/>
      <c r="N610" s="1202"/>
      <c r="P610" s="7"/>
    </row>
    <row r="611" spans="1:16" s="431" customFormat="1" x14ac:dyDescent="0.3">
      <c r="A611" s="184">
        <v>601</v>
      </c>
      <c r="B611" s="1196"/>
      <c r="C611" s="1197"/>
      <c r="D611" s="1263" t="s">
        <v>1116</v>
      </c>
      <c r="E611" s="1198"/>
      <c r="F611" s="1198"/>
      <c r="G611" s="1199"/>
      <c r="H611" s="1200"/>
      <c r="I611" s="1170">
        <f t="shared" si="125"/>
        <v>149113</v>
      </c>
      <c r="J611" s="1180"/>
      <c r="K611" s="1180"/>
      <c r="L611" s="1180">
        <f>SUM(L609:L610)</f>
        <v>149113</v>
      </c>
      <c r="M611" s="1180"/>
      <c r="N611" s="1202"/>
    </row>
    <row r="612" spans="1:16" s="431" customFormat="1" x14ac:dyDescent="0.3">
      <c r="A612" s="184">
        <v>602</v>
      </c>
      <c r="B612" s="1181"/>
      <c r="C612" s="1182">
        <v>102</v>
      </c>
      <c r="D612" s="1183" t="s">
        <v>103</v>
      </c>
      <c r="E612" s="1175">
        <v>20000</v>
      </c>
      <c r="F612" s="1175">
        <v>20000</v>
      </c>
      <c r="G612" s="1176">
        <v>20000</v>
      </c>
      <c r="H612" s="1177" t="s">
        <v>23</v>
      </c>
      <c r="I612" s="1170"/>
      <c r="J612" s="1184"/>
      <c r="K612" s="1184"/>
      <c r="L612" s="1184"/>
      <c r="M612" s="1184"/>
      <c r="N612" s="1186"/>
    </row>
    <row r="613" spans="1:16" s="431" customFormat="1" x14ac:dyDescent="0.3">
      <c r="A613" s="184">
        <v>603</v>
      </c>
      <c r="B613" s="1196"/>
      <c r="C613" s="1197"/>
      <c r="D613" s="1190" t="s">
        <v>311</v>
      </c>
      <c r="E613" s="1198"/>
      <c r="F613" s="1198"/>
      <c r="G613" s="1199"/>
      <c r="H613" s="1200"/>
      <c r="I613" s="1191">
        <f>SUM(J613:N613)</f>
        <v>17000</v>
      </c>
      <c r="J613" s="1192"/>
      <c r="K613" s="1192"/>
      <c r="L613" s="1192">
        <v>17000</v>
      </c>
      <c r="M613" s="1192"/>
      <c r="N613" s="1201"/>
    </row>
    <row r="614" spans="1:16" s="431" customFormat="1" x14ac:dyDescent="0.3">
      <c r="A614" s="184">
        <v>604</v>
      </c>
      <c r="B614" s="1196"/>
      <c r="C614" s="1197"/>
      <c r="D614" s="1163" t="s">
        <v>1064</v>
      </c>
      <c r="E614" s="1198"/>
      <c r="F614" s="1198"/>
      <c r="G614" s="1199"/>
      <c r="H614" s="1200"/>
      <c r="I614" s="1170">
        <f t="shared" ref="I614:I616" si="126">SUM(J614:N614)</f>
        <v>24000</v>
      </c>
      <c r="J614" s="1192"/>
      <c r="K614" s="1192"/>
      <c r="L614" s="1180">
        <v>24000</v>
      </c>
      <c r="M614" s="1192"/>
      <c r="N614" s="1201"/>
    </row>
    <row r="615" spans="1:16" s="3" customFormat="1" ht="16.5" x14ac:dyDescent="0.3">
      <c r="A615" s="184">
        <v>605</v>
      </c>
      <c r="B615" s="1196"/>
      <c r="C615" s="1197"/>
      <c r="D615" s="1174" t="s">
        <v>1012</v>
      </c>
      <c r="E615" s="1198"/>
      <c r="F615" s="1198"/>
      <c r="G615" s="1199"/>
      <c r="H615" s="1200"/>
      <c r="I615" s="1178">
        <f t="shared" si="126"/>
        <v>0</v>
      </c>
      <c r="J615" s="1180"/>
      <c r="K615" s="1180"/>
      <c r="L615" s="1185"/>
      <c r="M615" s="1192"/>
      <c r="N615" s="1201"/>
      <c r="P615" s="7"/>
    </row>
    <row r="616" spans="1:16" s="431" customFormat="1" x14ac:dyDescent="0.3">
      <c r="A616" s="184">
        <v>606</v>
      </c>
      <c r="B616" s="1196"/>
      <c r="C616" s="1197"/>
      <c r="D616" s="1163" t="s">
        <v>1116</v>
      </c>
      <c r="E616" s="1198"/>
      <c r="F616" s="1198"/>
      <c r="G616" s="1199"/>
      <c r="H616" s="1200"/>
      <c r="I616" s="1170">
        <f t="shared" si="126"/>
        <v>24000</v>
      </c>
      <c r="J616" s="1180"/>
      <c r="K616" s="1180"/>
      <c r="L616" s="1180">
        <f>SUM(L614:L615)</f>
        <v>24000</v>
      </c>
      <c r="M616" s="1192"/>
      <c r="N616" s="1201"/>
    </row>
    <row r="617" spans="1:16" s="431" customFormat="1" x14ac:dyDescent="0.3">
      <c r="A617" s="184">
        <v>607</v>
      </c>
      <c r="B617" s="1181"/>
      <c r="C617" s="1182">
        <v>103</v>
      </c>
      <c r="D617" s="1183" t="s">
        <v>104</v>
      </c>
      <c r="E617" s="1175">
        <v>1000</v>
      </c>
      <c r="F617" s="1175">
        <v>1000</v>
      </c>
      <c r="G617" s="1176">
        <v>1000</v>
      </c>
      <c r="H617" s="1177" t="s">
        <v>23</v>
      </c>
      <c r="I617" s="1170"/>
      <c r="J617" s="1184"/>
      <c r="K617" s="1184"/>
      <c r="L617" s="1184"/>
      <c r="M617" s="1184"/>
      <c r="N617" s="1186"/>
    </row>
    <row r="618" spans="1:16" s="431" customFormat="1" x14ac:dyDescent="0.3">
      <c r="A618" s="184">
        <v>608</v>
      </c>
      <c r="B618" s="1196"/>
      <c r="C618" s="1197"/>
      <c r="D618" s="1190" t="s">
        <v>311</v>
      </c>
      <c r="E618" s="1198"/>
      <c r="F618" s="1198"/>
      <c r="G618" s="1199"/>
      <c r="H618" s="1200"/>
      <c r="I618" s="1191">
        <f>SUM(J618:N618)</f>
        <v>1020</v>
      </c>
      <c r="J618" s="1192"/>
      <c r="K618" s="1192"/>
      <c r="L618" s="1192">
        <v>1020</v>
      </c>
      <c r="M618" s="1192"/>
      <c r="N618" s="1201"/>
    </row>
    <row r="619" spans="1:16" s="431" customFormat="1" x14ac:dyDescent="0.3">
      <c r="A619" s="184">
        <v>609</v>
      </c>
      <c r="B619" s="1196"/>
      <c r="C619" s="1197"/>
      <c r="D619" s="1163" t="s">
        <v>1064</v>
      </c>
      <c r="E619" s="1198"/>
      <c r="F619" s="1198"/>
      <c r="G619" s="1199"/>
      <c r="H619" s="1200"/>
      <c r="I619" s="1170">
        <f t="shared" ref="I619:I621" si="127">SUM(J619:N619)</f>
        <v>1020</v>
      </c>
      <c r="J619" s="1192"/>
      <c r="K619" s="1192"/>
      <c r="L619" s="1180">
        <v>1020</v>
      </c>
      <c r="M619" s="1192"/>
      <c r="N619" s="1201"/>
    </row>
    <row r="620" spans="1:16" s="3" customFormat="1" ht="16.5" x14ac:dyDescent="0.3">
      <c r="A620" s="184">
        <v>610</v>
      </c>
      <c r="B620" s="1196"/>
      <c r="C620" s="1197"/>
      <c r="D620" s="1174" t="s">
        <v>999</v>
      </c>
      <c r="E620" s="1198"/>
      <c r="F620" s="1198"/>
      <c r="G620" s="1199"/>
      <c r="H620" s="1200"/>
      <c r="I620" s="1178">
        <f t="shared" si="127"/>
        <v>0</v>
      </c>
      <c r="J620" s="1180"/>
      <c r="K620" s="1180"/>
      <c r="L620" s="1180"/>
      <c r="M620" s="1192"/>
      <c r="N620" s="1201"/>
      <c r="P620" s="7"/>
    </row>
    <row r="621" spans="1:16" s="431" customFormat="1" x14ac:dyDescent="0.3">
      <c r="A621" s="184">
        <v>611</v>
      </c>
      <c r="B621" s="1196"/>
      <c r="C621" s="1197"/>
      <c r="D621" s="1163" t="s">
        <v>1116</v>
      </c>
      <c r="E621" s="1198"/>
      <c r="F621" s="1198"/>
      <c r="G621" s="1199"/>
      <c r="H621" s="1200"/>
      <c r="I621" s="1170">
        <f t="shared" si="127"/>
        <v>1020</v>
      </c>
      <c r="J621" s="1180"/>
      <c r="K621" s="1180"/>
      <c r="L621" s="1180">
        <f>SUM(L619:L620)</f>
        <v>1020</v>
      </c>
      <c r="M621" s="1192"/>
      <c r="N621" s="1201"/>
    </row>
    <row r="622" spans="1:16" s="431" customFormat="1" x14ac:dyDescent="0.3">
      <c r="A622" s="184">
        <v>612</v>
      </c>
      <c r="B622" s="1181"/>
      <c r="C622" s="1182">
        <v>104</v>
      </c>
      <c r="D622" s="1183" t="s">
        <v>105</v>
      </c>
      <c r="E622" s="1175">
        <v>1851</v>
      </c>
      <c r="F622" s="1175">
        <v>5000</v>
      </c>
      <c r="G622" s="1176">
        <v>2889</v>
      </c>
      <c r="H622" s="1177" t="s">
        <v>23</v>
      </c>
      <c r="I622" s="1170"/>
      <c r="J622" s="1184"/>
      <c r="K622" s="1184"/>
      <c r="L622" s="1184"/>
      <c r="M622" s="1184"/>
      <c r="N622" s="1186"/>
    </row>
    <row r="623" spans="1:16" s="431" customFormat="1" x14ac:dyDescent="0.3">
      <c r="A623" s="184">
        <v>613</v>
      </c>
      <c r="B623" s="1196"/>
      <c r="C623" s="1197"/>
      <c r="D623" s="1190" t="s">
        <v>311</v>
      </c>
      <c r="E623" s="1198"/>
      <c r="F623" s="1198"/>
      <c r="G623" s="1199"/>
      <c r="H623" s="1200"/>
      <c r="I623" s="1191">
        <f>SUM(J623:N623)</f>
        <v>4250</v>
      </c>
      <c r="J623" s="1192"/>
      <c r="K623" s="1192"/>
      <c r="L623" s="1192">
        <v>4250</v>
      </c>
      <c r="M623" s="1192"/>
      <c r="N623" s="1201"/>
    </row>
    <row r="624" spans="1:16" s="431" customFormat="1" x14ac:dyDescent="0.3">
      <c r="A624" s="184">
        <v>614</v>
      </c>
      <c r="B624" s="1196"/>
      <c r="C624" s="1197"/>
      <c r="D624" s="1163" t="s">
        <v>1064</v>
      </c>
      <c r="E624" s="1198"/>
      <c r="F624" s="1198"/>
      <c r="G624" s="1199"/>
      <c r="H624" s="1200"/>
      <c r="I624" s="1170">
        <f t="shared" ref="I624:I626" si="128">SUM(J624:N624)</f>
        <v>4361</v>
      </c>
      <c r="J624" s="1192"/>
      <c r="K624" s="1192"/>
      <c r="L624" s="1180">
        <v>4361</v>
      </c>
      <c r="M624" s="1192"/>
      <c r="N624" s="1201"/>
    </row>
    <row r="625" spans="1:16" s="3" customFormat="1" ht="16.5" x14ac:dyDescent="0.3">
      <c r="A625" s="184">
        <v>615</v>
      </c>
      <c r="B625" s="1196"/>
      <c r="C625" s="1197"/>
      <c r="D625" s="1174" t="s">
        <v>999</v>
      </c>
      <c r="E625" s="1198"/>
      <c r="F625" s="1198"/>
      <c r="G625" s="1199"/>
      <c r="H625" s="1200"/>
      <c r="I625" s="1178">
        <f t="shared" si="128"/>
        <v>0</v>
      </c>
      <c r="J625" s="1180"/>
      <c r="K625" s="1180"/>
      <c r="L625" s="1185"/>
      <c r="M625" s="1192"/>
      <c r="N625" s="1201"/>
      <c r="P625" s="7"/>
    </row>
    <row r="626" spans="1:16" s="431" customFormat="1" x14ac:dyDescent="0.3">
      <c r="A626" s="184">
        <v>616</v>
      </c>
      <c r="B626" s="1196"/>
      <c r="C626" s="1197"/>
      <c r="D626" s="1163" t="s">
        <v>1116</v>
      </c>
      <c r="E626" s="1198"/>
      <c r="F626" s="1198"/>
      <c r="G626" s="1199"/>
      <c r="H626" s="1200"/>
      <c r="I626" s="1170">
        <f t="shared" si="128"/>
        <v>4361</v>
      </c>
      <c r="J626" s="1180"/>
      <c r="K626" s="1180"/>
      <c r="L626" s="1180">
        <f>SUM(L624:L625)</f>
        <v>4361</v>
      </c>
      <c r="M626" s="1192"/>
      <c r="N626" s="1201"/>
    </row>
    <row r="627" spans="1:16" s="431" customFormat="1" x14ac:dyDescent="0.3">
      <c r="A627" s="184">
        <v>617</v>
      </c>
      <c r="B627" s="1181"/>
      <c r="C627" s="1182">
        <v>105</v>
      </c>
      <c r="D627" s="1183" t="s">
        <v>106</v>
      </c>
      <c r="E627" s="1175">
        <v>13221</v>
      </c>
      <c r="F627" s="1175">
        <v>20000</v>
      </c>
      <c r="G627" s="1176">
        <v>13710</v>
      </c>
      <c r="H627" s="1177" t="s">
        <v>23</v>
      </c>
      <c r="I627" s="1170"/>
      <c r="J627" s="1184"/>
      <c r="K627" s="1184"/>
      <c r="L627" s="1184"/>
      <c r="M627" s="1184"/>
      <c r="N627" s="1186"/>
    </row>
    <row r="628" spans="1:16" s="431" customFormat="1" x14ac:dyDescent="0.3">
      <c r="A628" s="184">
        <v>618</v>
      </c>
      <c r="B628" s="1196"/>
      <c r="C628" s="1197"/>
      <c r="D628" s="1190" t="s">
        <v>311</v>
      </c>
      <c r="E628" s="1198"/>
      <c r="F628" s="1198"/>
      <c r="G628" s="1199"/>
      <c r="H628" s="1200"/>
      <c r="I628" s="1191">
        <f>SUM(J628:N628)</f>
        <v>17000</v>
      </c>
      <c r="J628" s="1192"/>
      <c r="K628" s="1192"/>
      <c r="L628" s="1192">
        <v>17000</v>
      </c>
      <c r="M628" s="1192"/>
      <c r="N628" s="1201"/>
    </row>
    <row r="629" spans="1:16" s="431" customFormat="1" x14ac:dyDescent="0.3">
      <c r="A629" s="184">
        <v>619</v>
      </c>
      <c r="B629" s="1196"/>
      <c r="C629" s="1197"/>
      <c r="D629" s="1163" t="s">
        <v>1064</v>
      </c>
      <c r="E629" s="1198"/>
      <c r="F629" s="1198"/>
      <c r="G629" s="1199"/>
      <c r="H629" s="1200"/>
      <c r="I629" s="1170">
        <f t="shared" ref="I629:I631" si="129">SUM(J629:N629)</f>
        <v>31669</v>
      </c>
      <c r="J629" s="1192"/>
      <c r="K629" s="1192"/>
      <c r="L629" s="1180">
        <v>31669</v>
      </c>
      <c r="M629" s="1192"/>
      <c r="N629" s="1201"/>
    </row>
    <row r="630" spans="1:16" s="3" customFormat="1" ht="16.5" x14ac:dyDescent="0.3">
      <c r="A630" s="184">
        <v>620</v>
      </c>
      <c r="B630" s="1196"/>
      <c r="C630" s="1197"/>
      <c r="D630" s="1174" t="s">
        <v>1012</v>
      </c>
      <c r="E630" s="1198"/>
      <c r="F630" s="1198"/>
      <c r="G630" s="1199"/>
      <c r="H630" s="1200"/>
      <c r="I630" s="1178">
        <f t="shared" si="129"/>
        <v>0</v>
      </c>
      <c r="J630" s="1180"/>
      <c r="K630" s="1180"/>
      <c r="L630" s="1185"/>
      <c r="M630" s="1192"/>
      <c r="N630" s="1201"/>
      <c r="P630" s="7"/>
    </row>
    <row r="631" spans="1:16" s="431" customFormat="1" x14ac:dyDescent="0.3">
      <c r="A631" s="184">
        <v>621</v>
      </c>
      <c r="B631" s="1196"/>
      <c r="C631" s="1197"/>
      <c r="D631" s="1163" t="s">
        <v>1116</v>
      </c>
      <c r="E631" s="1198"/>
      <c r="F631" s="1198"/>
      <c r="G631" s="1199"/>
      <c r="H631" s="1200"/>
      <c r="I631" s="1170">
        <f t="shared" si="129"/>
        <v>31669</v>
      </c>
      <c r="J631" s="1180"/>
      <c r="K631" s="1180"/>
      <c r="L631" s="1180">
        <f>SUM(L629:L630)</f>
        <v>31669</v>
      </c>
      <c r="M631" s="1192"/>
      <c r="N631" s="1201"/>
    </row>
    <row r="632" spans="1:16" s="431" customFormat="1" x14ac:dyDescent="0.3">
      <c r="A632" s="184">
        <v>622</v>
      </c>
      <c r="B632" s="1181"/>
      <c r="C632" s="1182">
        <v>106</v>
      </c>
      <c r="D632" s="1183" t="s">
        <v>107</v>
      </c>
      <c r="E632" s="1175">
        <v>160341</v>
      </c>
      <c r="F632" s="1175">
        <v>170000</v>
      </c>
      <c r="G632" s="1176">
        <v>189414</v>
      </c>
      <c r="H632" s="1177" t="s">
        <v>23</v>
      </c>
      <c r="I632" s="1170"/>
      <c r="J632" s="1184"/>
      <c r="K632" s="1184"/>
      <c r="L632" s="1184"/>
      <c r="M632" s="1184"/>
      <c r="N632" s="1186"/>
    </row>
    <row r="633" spans="1:16" s="431" customFormat="1" x14ac:dyDescent="0.3">
      <c r="A633" s="184">
        <v>623</v>
      </c>
      <c r="B633" s="1196"/>
      <c r="C633" s="1197"/>
      <c r="D633" s="1190" t="s">
        <v>311</v>
      </c>
      <c r="E633" s="1198"/>
      <c r="F633" s="1198"/>
      <c r="G633" s="1199"/>
      <c r="H633" s="1200"/>
      <c r="I633" s="1191">
        <f>SUM(J633:N633)</f>
        <v>191250</v>
      </c>
      <c r="J633" s="1192"/>
      <c r="K633" s="1192"/>
      <c r="L633" s="1192">
        <v>191250</v>
      </c>
      <c r="M633" s="1192"/>
      <c r="N633" s="1201"/>
    </row>
    <row r="634" spans="1:16" s="431" customFormat="1" x14ac:dyDescent="0.3">
      <c r="A634" s="184">
        <v>624</v>
      </c>
      <c r="B634" s="1196"/>
      <c r="C634" s="1197"/>
      <c r="D634" s="1163" t="s">
        <v>1064</v>
      </c>
      <c r="E634" s="1198"/>
      <c r="F634" s="1198"/>
      <c r="G634" s="1199"/>
      <c r="H634" s="1200"/>
      <c r="I634" s="1170">
        <f t="shared" ref="I634:I636" si="130">SUM(J634:N634)</f>
        <v>225000</v>
      </c>
      <c r="J634" s="1192"/>
      <c r="K634" s="1192"/>
      <c r="L634" s="1180">
        <v>225000</v>
      </c>
      <c r="M634" s="1192"/>
      <c r="N634" s="1201"/>
    </row>
    <row r="635" spans="1:16" s="3" customFormat="1" ht="16.5" x14ac:dyDescent="0.3">
      <c r="A635" s="184">
        <v>625</v>
      </c>
      <c r="B635" s="1196"/>
      <c r="C635" s="1197"/>
      <c r="D635" s="1174" t="s">
        <v>1012</v>
      </c>
      <c r="E635" s="1198"/>
      <c r="F635" s="1198"/>
      <c r="G635" s="1199"/>
      <c r="H635" s="1200"/>
      <c r="I635" s="1178">
        <f t="shared" si="130"/>
        <v>0</v>
      </c>
      <c r="J635" s="1180"/>
      <c r="K635" s="1180"/>
      <c r="L635" s="1185"/>
      <c r="M635" s="1192"/>
      <c r="N635" s="1201"/>
      <c r="P635" s="7"/>
    </row>
    <row r="636" spans="1:16" s="431" customFormat="1" x14ac:dyDescent="0.3">
      <c r="A636" s="184">
        <v>626</v>
      </c>
      <c r="B636" s="1196"/>
      <c r="C636" s="1197"/>
      <c r="D636" s="1163" t="s">
        <v>1116</v>
      </c>
      <c r="E636" s="1198"/>
      <c r="F636" s="1198"/>
      <c r="G636" s="1199"/>
      <c r="H636" s="1200"/>
      <c r="I636" s="1170">
        <f t="shared" si="130"/>
        <v>225000</v>
      </c>
      <c r="J636" s="1180"/>
      <c r="K636" s="1180"/>
      <c r="L636" s="1180">
        <f>SUM(L634:L635)</f>
        <v>225000</v>
      </c>
      <c r="M636" s="1192"/>
      <c r="N636" s="1201"/>
    </row>
    <row r="637" spans="1:16" s="431" customFormat="1" x14ac:dyDescent="0.3">
      <c r="A637" s="184">
        <v>627</v>
      </c>
      <c r="B637" s="1181"/>
      <c r="C637" s="1182">
        <v>107</v>
      </c>
      <c r="D637" s="1183" t="s">
        <v>108</v>
      </c>
      <c r="E637" s="1175">
        <v>4681</v>
      </c>
      <c r="F637" s="1175">
        <v>5000</v>
      </c>
      <c r="G637" s="1176">
        <v>3526</v>
      </c>
      <c r="H637" s="1177" t="s">
        <v>23</v>
      </c>
      <c r="I637" s="1170"/>
      <c r="J637" s="1184"/>
      <c r="K637" s="1184"/>
      <c r="L637" s="1184"/>
      <c r="M637" s="1184"/>
      <c r="N637" s="1186"/>
    </row>
    <row r="638" spans="1:16" s="431" customFormat="1" x14ac:dyDescent="0.3">
      <c r="A638" s="184">
        <v>628</v>
      </c>
      <c r="B638" s="1196"/>
      <c r="C638" s="1197"/>
      <c r="D638" s="1190" t="s">
        <v>311</v>
      </c>
      <c r="E638" s="1198"/>
      <c r="F638" s="1198"/>
      <c r="G638" s="1199"/>
      <c r="H638" s="1200"/>
      <c r="I638" s="1191">
        <f>SUM(J638:N638)</f>
        <v>4250</v>
      </c>
      <c r="J638" s="1192"/>
      <c r="K638" s="1192"/>
      <c r="L638" s="1192">
        <v>4250</v>
      </c>
      <c r="M638" s="1192"/>
      <c r="N638" s="1201"/>
    </row>
    <row r="639" spans="1:16" s="431" customFormat="1" x14ac:dyDescent="0.3">
      <c r="A639" s="184">
        <v>629</v>
      </c>
      <c r="B639" s="1196"/>
      <c r="C639" s="1197"/>
      <c r="D639" s="1163" t="s">
        <v>1064</v>
      </c>
      <c r="E639" s="1198"/>
      <c r="F639" s="1198"/>
      <c r="G639" s="1199"/>
      <c r="H639" s="1200"/>
      <c r="I639" s="1170">
        <f t="shared" ref="I639:I641" si="131">SUM(J639:N639)</f>
        <v>7883</v>
      </c>
      <c r="J639" s="1192"/>
      <c r="K639" s="1192"/>
      <c r="L639" s="1180">
        <v>7883</v>
      </c>
      <c r="M639" s="1192"/>
      <c r="N639" s="1201"/>
    </row>
    <row r="640" spans="1:16" s="3" customFormat="1" ht="16.5" x14ac:dyDescent="0.3">
      <c r="A640" s="184">
        <v>630</v>
      </c>
      <c r="B640" s="1196"/>
      <c r="C640" s="1197"/>
      <c r="D640" s="1174" t="s">
        <v>1012</v>
      </c>
      <c r="E640" s="1198"/>
      <c r="F640" s="1198"/>
      <c r="G640" s="1199"/>
      <c r="H640" s="1200"/>
      <c r="I640" s="1178">
        <f t="shared" si="131"/>
        <v>0</v>
      </c>
      <c r="J640" s="1180"/>
      <c r="K640" s="1180"/>
      <c r="L640" s="1185"/>
      <c r="M640" s="1192"/>
      <c r="N640" s="1201"/>
      <c r="P640" s="7"/>
    </row>
    <row r="641" spans="1:16" s="431" customFormat="1" x14ac:dyDescent="0.3">
      <c r="A641" s="184">
        <v>631</v>
      </c>
      <c r="B641" s="1196"/>
      <c r="C641" s="1197"/>
      <c r="D641" s="1163" t="s">
        <v>1116</v>
      </c>
      <c r="E641" s="1198"/>
      <c r="F641" s="1198"/>
      <c r="G641" s="1199"/>
      <c r="H641" s="1200"/>
      <c r="I641" s="1170">
        <f t="shared" si="131"/>
        <v>7883</v>
      </c>
      <c r="J641" s="1180"/>
      <c r="K641" s="1180"/>
      <c r="L641" s="1180">
        <f>SUM(L639:L640)</f>
        <v>7883</v>
      </c>
      <c r="M641" s="1192"/>
      <c r="N641" s="1201"/>
    </row>
    <row r="642" spans="1:16" s="431" customFormat="1" x14ac:dyDescent="0.3">
      <c r="A642" s="184">
        <v>632</v>
      </c>
      <c r="B642" s="1181"/>
      <c r="C642" s="1182">
        <v>108</v>
      </c>
      <c r="D642" s="1183" t="s">
        <v>109</v>
      </c>
      <c r="E642" s="1175">
        <v>2677</v>
      </c>
      <c r="F642" s="1175">
        <v>6000</v>
      </c>
      <c r="G642" s="1176">
        <v>4382</v>
      </c>
      <c r="H642" s="1177" t="s">
        <v>23</v>
      </c>
      <c r="I642" s="1170"/>
      <c r="J642" s="1184"/>
      <c r="K642" s="1184"/>
      <c r="L642" s="1184"/>
      <c r="M642" s="1184"/>
      <c r="N642" s="1186"/>
    </row>
    <row r="643" spans="1:16" s="431" customFormat="1" x14ac:dyDescent="0.3">
      <c r="A643" s="184">
        <v>633</v>
      </c>
      <c r="B643" s="1196"/>
      <c r="C643" s="1197"/>
      <c r="D643" s="1190" t="s">
        <v>311</v>
      </c>
      <c r="E643" s="1198"/>
      <c r="F643" s="1198"/>
      <c r="G643" s="1199"/>
      <c r="H643" s="1200"/>
      <c r="I643" s="1191">
        <f>SUM(J643:N643)</f>
        <v>5100</v>
      </c>
      <c r="J643" s="1192"/>
      <c r="K643" s="1192"/>
      <c r="L643" s="1192">
        <v>5100</v>
      </c>
      <c r="M643" s="1192"/>
      <c r="N643" s="1201"/>
    </row>
    <row r="644" spans="1:16" s="431" customFormat="1" x14ac:dyDescent="0.3">
      <c r="A644" s="184">
        <v>634</v>
      </c>
      <c r="B644" s="1196"/>
      <c r="C644" s="1197"/>
      <c r="D644" s="1163" t="s">
        <v>1064</v>
      </c>
      <c r="E644" s="1198"/>
      <c r="F644" s="1198"/>
      <c r="G644" s="1199"/>
      <c r="H644" s="1200"/>
      <c r="I644" s="1170">
        <f t="shared" ref="I644:I646" si="132">SUM(J644:N644)</f>
        <v>6098</v>
      </c>
      <c r="J644" s="1192"/>
      <c r="K644" s="1192"/>
      <c r="L644" s="1180">
        <v>6098</v>
      </c>
      <c r="M644" s="1192"/>
      <c r="N644" s="1201"/>
    </row>
    <row r="645" spans="1:16" s="3" customFormat="1" ht="16.5" x14ac:dyDescent="0.3">
      <c r="A645" s="184">
        <v>635</v>
      </c>
      <c r="B645" s="1196"/>
      <c r="C645" s="1197"/>
      <c r="D645" s="1174" t="s">
        <v>1012</v>
      </c>
      <c r="E645" s="1198"/>
      <c r="F645" s="1198"/>
      <c r="G645" s="1199"/>
      <c r="H645" s="1200"/>
      <c r="I645" s="1178">
        <f t="shared" si="132"/>
        <v>0</v>
      </c>
      <c r="J645" s="1180"/>
      <c r="K645" s="1180"/>
      <c r="L645" s="1185"/>
      <c r="M645" s="1192"/>
      <c r="N645" s="1201"/>
      <c r="P645" s="7"/>
    </row>
    <row r="646" spans="1:16" s="431" customFormat="1" x14ac:dyDescent="0.3">
      <c r="A646" s="184">
        <v>636</v>
      </c>
      <c r="B646" s="1196"/>
      <c r="C646" s="1197"/>
      <c r="D646" s="1163" t="s">
        <v>1116</v>
      </c>
      <c r="E646" s="1198"/>
      <c r="F646" s="1198"/>
      <c r="G646" s="1199"/>
      <c r="H646" s="1200"/>
      <c r="I646" s="1170">
        <f t="shared" si="132"/>
        <v>6098</v>
      </c>
      <c r="J646" s="1180"/>
      <c r="K646" s="1180"/>
      <c r="L646" s="1180">
        <f>SUM(L644:L645)</f>
        <v>6098</v>
      </c>
      <c r="M646" s="1192"/>
      <c r="N646" s="1201"/>
    </row>
    <row r="647" spans="1:16" s="431" customFormat="1" x14ac:dyDescent="0.3">
      <c r="A647" s="184">
        <v>637</v>
      </c>
      <c r="B647" s="1181"/>
      <c r="C647" s="1182">
        <v>109</v>
      </c>
      <c r="D647" s="1183" t="s">
        <v>110</v>
      </c>
      <c r="E647" s="1175">
        <v>1956</v>
      </c>
      <c r="F647" s="1175">
        <v>1000</v>
      </c>
      <c r="G647" s="1176">
        <v>36</v>
      </c>
      <c r="H647" s="1177" t="s">
        <v>23</v>
      </c>
      <c r="I647" s="1170"/>
      <c r="J647" s="1184"/>
      <c r="K647" s="1184"/>
      <c r="L647" s="1184"/>
      <c r="M647" s="1184"/>
      <c r="N647" s="1186"/>
    </row>
    <row r="648" spans="1:16" s="431" customFormat="1" x14ac:dyDescent="0.3">
      <c r="A648" s="184">
        <v>638</v>
      </c>
      <c r="B648" s="1196"/>
      <c r="C648" s="1197"/>
      <c r="D648" s="1190" t="s">
        <v>311</v>
      </c>
      <c r="E648" s="1198"/>
      <c r="F648" s="1198"/>
      <c r="G648" s="1199"/>
      <c r="H648" s="1200"/>
      <c r="I648" s="1191">
        <f>SUM(J648:N648)</f>
        <v>850</v>
      </c>
      <c r="J648" s="1192"/>
      <c r="K648" s="1192"/>
      <c r="L648" s="1192">
        <v>850</v>
      </c>
      <c r="M648" s="1192"/>
      <c r="N648" s="1201"/>
    </row>
    <row r="649" spans="1:16" s="431" customFormat="1" x14ac:dyDescent="0.3">
      <c r="A649" s="184">
        <v>639</v>
      </c>
      <c r="B649" s="1196"/>
      <c r="C649" s="1197"/>
      <c r="D649" s="1163" t="s">
        <v>1064</v>
      </c>
      <c r="E649" s="1198"/>
      <c r="F649" s="1198"/>
      <c r="G649" s="1199"/>
      <c r="H649" s="1200"/>
      <c r="I649" s="1170">
        <f t="shared" ref="I649:I651" si="133">SUM(J649:N649)</f>
        <v>850</v>
      </c>
      <c r="J649" s="1192"/>
      <c r="K649" s="1192"/>
      <c r="L649" s="1180">
        <v>850</v>
      </c>
      <c r="M649" s="1192"/>
      <c r="N649" s="1201"/>
    </row>
    <row r="650" spans="1:16" s="3" customFormat="1" ht="16.5" x14ac:dyDescent="0.3">
      <c r="A650" s="184">
        <v>640</v>
      </c>
      <c r="B650" s="1196"/>
      <c r="C650" s="1197"/>
      <c r="D650" s="1174" t="s">
        <v>999</v>
      </c>
      <c r="E650" s="1198"/>
      <c r="F650" s="1198"/>
      <c r="G650" s="1199"/>
      <c r="H650" s="1200"/>
      <c r="I650" s="1178">
        <f t="shared" si="133"/>
        <v>0</v>
      </c>
      <c r="J650" s="1180"/>
      <c r="K650" s="1180"/>
      <c r="L650" s="1180"/>
      <c r="M650" s="1192"/>
      <c r="N650" s="1201"/>
      <c r="P650" s="7"/>
    </row>
    <row r="651" spans="1:16" s="431" customFormat="1" x14ac:dyDescent="0.3">
      <c r="A651" s="184">
        <v>641</v>
      </c>
      <c r="B651" s="1196"/>
      <c r="C651" s="1197"/>
      <c r="D651" s="1163" t="s">
        <v>1116</v>
      </c>
      <c r="E651" s="1198"/>
      <c r="F651" s="1198"/>
      <c r="G651" s="1199"/>
      <c r="H651" s="1200"/>
      <c r="I651" s="1170">
        <f t="shared" si="133"/>
        <v>850</v>
      </c>
      <c r="J651" s="1180"/>
      <c r="K651" s="1180"/>
      <c r="L651" s="1180">
        <f>SUM(L649:L650)</f>
        <v>850</v>
      </c>
      <c r="M651" s="1192"/>
      <c r="N651" s="1201"/>
    </row>
    <row r="652" spans="1:16" s="431" customFormat="1" x14ac:dyDescent="0.3">
      <c r="A652" s="184">
        <v>642</v>
      </c>
      <c r="B652" s="1181"/>
      <c r="C652" s="1182">
        <v>110</v>
      </c>
      <c r="D652" s="1265" t="s">
        <v>317</v>
      </c>
      <c r="E652" s="1175">
        <v>56649</v>
      </c>
      <c r="F652" s="1175">
        <v>65620</v>
      </c>
      <c r="G652" s="1176">
        <v>59551</v>
      </c>
      <c r="H652" s="1177" t="s">
        <v>23</v>
      </c>
      <c r="I652" s="1170"/>
      <c r="J652" s="1184"/>
      <c r="K652" s="1184"/>
      <c r="L652" s="1184"/>
      <c r="M652" s="1184"/>
      <c r="N652" s="1186"/>
    </row>
    <row r="653" spans="1:16" s="431" customFormat="1" x14ac:dyDescent="0.3">
      <c r="A653" s="184">
        <v>643</v>
      </c>
      <c r="B653" s="1196"/>
      <c r="C653" s="1197"/>
      <c r="D653" s="1190" t="s">
        <v>311</v>
      </c>
      <c r="E653" s="1198"/>
      <c r="F653" s="1198"/>
      <c r="G653" s="1199"/>
      <c r="H653" s="1200"/>
      <c r="I653" s="1191">
        <f>SUM(J653:N653)</f>
        <v>65195</v>
      </c>
      <c r="J653" s="1192"/>
      <c r="K653" s="1192"/>
      <c r="L653" s="1192">
        <v>65195</v>
      </c>
      <c r="M653" s="1192"/>
      <c r="N653" s="1201"/>
    </row>
    <row r="654" spans="1:16" s="431" customFormat="1" x14ac:dyDescent="0.3">
      <c r="A654" s="184">
        <v>644</v>
      </c>
      <c r="B654" s="1196"/>
      <c r="C654" s="1197"/>
      <c r="D654" s="1163" t="s">
        <v>1064</v>
      </c>
      <c r="E654" s="1198"/>
      <c r="F654" s="1198"/>
      <c r="G654" s="1199"/>
      <c r="H654" s="1200"/>
      <c r="I654" s="1170">
        <f t="shared" ref="I654:I656" si="134">SUM(J654:N654)</f>
        <v>68769</v>
      </c>
      <c r="J654" s="1192"/>
      <c r="K654" s="1192"/>
      <c r="L654" s="1180">
        <v>68769</v>
      </c>
      <c r="M654" s="1192"/>
      <c r="N654" s="1201"/>
    </row>
    <row r="655" spans="1:16" s="3" customFormat="1" ht="16.5" x14ac:dyDescent="0.3">
      <c r="A655" s="184">
        <v>645</v>
      </c>
      <c r="B655" s="1196"/>
      <c r="C655" s="1197"/>
      <c r="D655" s="1174" t="s">
        <v>1012</v>
      </c>
      <c r="E655" s="1198"/>
      <c r="F655" s="1198"/>
      <c r="G655" s="1199"/>
      <c r="H655" s="1200"/>
      <c r="I655" s="1178">
        <f t="shared" si="134"/>
        <v>0</v>
      </c>
      <c r="J655" s="1180"/>
      <c r="K655" s="1180"/>
      <c r="L655" s="1185"/>
      <c r="M655" s="1192"/>
      <c r="N655" s="1201"/>
      <c r="P655" s="7"/>
    </row>
    <row r="656" spans="1:16" s="431" customFormat="1" x14ac:dyDescent="0.3">
      <c r="A656" s="184">
        <v>646</v>
      </c>
      <c r="B656" s="1196"/>
      <c r="C656" s="1197"/>
      <c r="D656" s="1163" t="s">
        <v>1116</v>
      </c>
      <c r="E656" s="1198"/>
      <c r="F656" s="1198"/>
      <c r="G656" s="1199"/>
      <c r="H656" s="1200"/>
      <c r="I656" s="1170">
        <f t="shared" si="134"/>
        <v>68769</v>
      </c>
      <c r="J656" s="1180"/>
      <c r="K656" s="1180"/>
      <c r="L656" s="1180">
        <f>SUM(L654:L655)</f>
        <v>68769</v>
      </c>
      <c r="M656" s="1192"/>
      <c r="N656" s="1201"/>
    </row>
    <row r="657" spans="1:16" s="431" customFormat="1" x14ac:dyDescent="0.3">
      <c r="A657" s="184">
        <v>647</v>
      </c>
      <c r="B657" s="1181"/>
      <c r="C657" s="1182">
        <v>111</v>
      </c>
      <c r="D657" s="1265" t="s">
        <v>840</v>
      </c>
      <c r="E657" s="1175">
        <v>56400</v>
      </c>
      <c r="F657" s="1175">
        <v>61048</v>
      </c>
      <c r="G657" s="1176">
        <v>60900</v>
      </c>
      <c r="H657" s="1177" t="s">
        <v>23</v>
      </c>
      <c r="I657" s="1170"/>
      <c r="J657" s="1184"/>
      <c r="K657" s="1184"/>
      <c r="L657" s="1184"/>
      <c r="M657" s="1184"/>
      <c r="N657" s="1186"/>
    </row>
    <row r="658" spans="1:16" s="431" customFormat="1" x14ac:dyDescent="0.3">
      <c r="A658" s="184">
        <v>648</v>
      </c>
      <c r="B658" s="1196"/>
      <c r="C658" s="1197"/>
      <c r="D658" s="1190" t="s">
        <v>311</v>
      </c>
      <c r="E658" s="1198"/>
      <c r="F658" s="1198"/>
      <c r="G658" s="1199"/>
      <c r="H658" s="1200"/>
      <c r="I658" s="1191">
        <f>SUM(J658:N658)</f>
        <v>57501</v>
      </c>
      <c r="J658" s="1192"/>
      <c r="K658" s="1192"/>
      <c r="L658" s="1192">
        <v>57501</v>
      </c>
      <c r="M658" s="1192"/>
      <c r="N658" s="1201"/>
    </row>
    <row r="659" spans="1:16" s="431" customFormat="1" x14ac:dyDescent="0.3">
      <c r="A659" s="184">
        <v>649</v>
      </c>
      <c r="B659" s="1196"/>
      <c r="C659" s="1197"/>
      <c r="D659" s="1163" t="s">
        <v>1064</v>
      </c>
      <c r="E659" s="1198"/>
      <c r="F659" s="1198"/>
      <c r="G659" s="1199"/>
      <c r="H659" s="1200"/>
      <c r="I659" s="1170">
        <f t="shared" ref="I659:I661" si="135">SUM(J659:N659)</f>
        <v>60549</v>
      </c>
      <c r="J659" s="1192"/>
      <c r="K659" s="1192"/>
      <c r="L659" s="1180">
        <v>60549</v>
      </c>
      <c r="M659" s="1192"/>
      <c r="N659" s="1201"/>
    </row>
    <row r="660" spans="1:16" s="3" customFormat="1" ht="16.5" x14ac:dyDescent="0.3">
      <c r="A660" s="184">
        <v>650</v>
      </c>
      <c r="B660" s="1196"/>
      <c r="C660" s="1197"/>
      <c r="D660" s="1174" t="s">
        <v>1012</v>
      </c>
      <c r="E660" s="1198"/>
      <c r="F660" s="1198"/>
      <c r="G660" s="1199"/>
      <c r="H660" s="1200"/>
      <c r="I660" s="1178">
        <f t="shared" si="135"/>
        <v>0</v>
      </c>
      <c r="J660" s="1180"/>
      <c r="K660" s="1180"/>
      <c r="L660" s="1185"/>
      <c r="M660" s="1192"/>
      <c r="N660" s="1201"/>
      <c r="P660" s="7"/>
    </row>
    <row r="661" spans="1:16" s="431" customFormat="1" x14ac:dyDescent="0.3">
      <c r="A661" s="184">
        <v>651</v>
      </c>
      <c r="B661" s="1196"/>
      <c r="C661" s="1197"/>
      <c r="D661" s="1163" t="s">
        <v>1116</v>
      </c>
      <c r="E661" s="1198"/>
      <c r="F661" s="1198"/>
      <c r="G661" s="1199"/>
      <c r="H661" s="1200"/>
      <c r="I661" s="1170">
        <f t="shared" si="135"/>
        <v>60549</v>
      </c>
      <c r="J661" s="1180"/>
      <c r="K661" s="1180"/>
      <c r="L661" s="1180">
        <f>SUM(L659:L660)</f>
        <v>60549</v>
      </c>
      <c r="M661" s="1192"/>
      <c r="N661" s="1201"/>
    </row>
    <row r="662" spans="1:16" s="431" customFormat="1" x14ac:dyDescent="0.3">
      <c r="A662" s="184">
        <v>652</v>
      </c>
      <c r="B662" s="1181"/>
      <c r="C662" s="1182">
        <v>112</v>
      </c>
      <c r="D662" s="1265" t="s">
        <v>260</v>
      </c>
      <c r="E662" s="1175">
        <v>19000</v>
      </c>
      <c r="F662" s="1175">
        <v>19000</v>
      </c>
      <c r="G662" s="1176">
        <v>18999</v>
      </c>
      <c r="H662" s="1177" t="s">
        <v>23</v>
      </c>
      <c r="I662" s="1170"/>
      <c r="J662" s="1184"/>
      <c r="K662" s="1184"/>
      <c r="L662" s="1184"/>
      <c r="M662" s="1184"/>
      <c r="N662" s="1186"/>
    </row>
    <row r="663" spans="1:16" s="431" customFormat="1" x14ac:dyDescent="0.3">
      <c r="A663" s="184">
        <v>653</v>
      </c>
      <c r="B663" s="1196"/>
      <c r="C663" s="1197"/>
      <c r="D663" s="1190" t="s">
        <v>311</v>
      </c>
      <c r="E663" s="1198"/>
      <c r="F663" s="1198"/>
      <c r="G663" s="1199"/>
      <c r="H663" s="1200"/>
      <c r="I663" s="1191">
        <f>SUM(J663:N663)</f>
        <v>17000</v>
      </c>
      <c r="J663" s="1192"/>
      <c r="K663" s="1192"/>
      <c r="L663" s="1192">
        <v>17000</v>
      </c>
      <c r="M663" s="1192"/>
      <c r="N663" s="1201"/>
    </row>
    <row r="664" spans="1:16" s="431" customFormat="1" x14ac:dyDescent="0.3">
      <c r="A664" s="184">
        <v>654</v>
      </c>
      <c r="B664" s="1196"/>
      <c r="C664" s="1197"/>
      <c r="D664" s="1163" t="s">
        <v>1064</v>
      </c>
      <c r="E664" s="1198"/>
      <c r="F664" s="1198"/>
      <c r="G664" s="1199"/>
      <c r="H664" s="1219"/>
      <c r="I664" s="1170">
        <f t="shared" ref="I664:I666" si="136">SUM(J664:N664)</f>
        <v>17000</v>
      </c>
      <c r="J664" s="1192"/>
      <c r="K664" s="1192"/>
      <c r="L664" s="1180">
        <v>17000</v>
      </c>
      <c r="M664" s="1192"/>
      <c r="N664" s="1201"/>
    </row>
    <row r="665" spans="1:16" s="3" customFormat="1" ht="16.5" x14ac:dyDescent="0.3">
      <c r="A665" s="184">
        <v>655</v>
      </c>
      <c r="B665" s="1196"/>
      <c r="C665" s="1197"/>
      <c r="D665" s="1174" t="s">
        <v>999</v>
      </c>
      <c r="E665" s="1198"/>
      <c r="F665" s="1198"/>
      <c r="G665" s="1199"/>
      <c r="H665" s="1219"/>
      <c r="I665" s="1178">
        <f t="shared" si="136"/>
        <v>0</v>
      </c>
      <c r="J665" s="1180"/>
      <c r="K665" s="1180"/>
      <c r="L665" s="1180"/>
      <c r="M665" s="1192"/>
      <c r="N665" s="1201"/>
      <c r="P665" s="7"/>
    </row>
    <row r="666" spans="1:16" s="431" customFormat="1" x14ac:dyDescent="0.3">
      <c r="A666" s="184">
        <v>656</v>
      </c>
      <c r="B666" s="1196"/>
      <c r="C666" s="1197"/>
      <c r="D666" s="1163" t="s">
        <v>1116</v>
      </c>
      <c r="E666" s="1198"/>
      <c r="F666" s="1198"/>
      <c r="G666" s="1199"/>
      <c r="H666" s="1219"/>
      <c r="I666" s="1170">
        <f t="shared" si="136"/>
        <v>17000</v>
      </c>
      <c r="J666" s="1180"/>
      <c r="K666" s="1180"/>
      <c r="L666" s="1180">
        <f>SUM(L664:L665)</f>
        <v>17000</v>
      </c>
      <c r="M666" s="1192"/>
      <c r="N666" s="1201"/>
    </row>
    <row r="667" spans="1:16" s="431" customFormat="1" x14ac:dyDescent="0.3">
      <c r="A667" s="184">
        <v>657</v>
      </c>
      <c r="B667" s="1181"/>
      <c r="C667" s="1182">
        <v>113</v>
      </c>
      <c r="D667" s="1183" t="s">
        <v>259</v>
      </c>
      <c r="E667" s="1175"/>
      <c r="F667" s="1175">
        <v>1500</v>
      </c>
      <c r="G667" s="1176">
        <v>1601</v>
      </c>
      <c r="H667" s="1166" t="s">
        <v>23</v>
      </c>
      <c r="I667" s="1170"/>
      <c r="J667" s="1184"/>
      <c r="K667" s="1184"/>
      <c r="L667" s="1184"/>
      <c r="M667" s="1184"/>
      <c r="N667" s="1186"/>
    </row>
    <row r="668" spans="1:16" s="431" customFormat="1" x14ac:dyDescent="0.3">
      <c r="A668" s="184">
        <v>658</v>
      </c>
      <c r="B668" s="1251"/>
      <c r="C668" s="1197"/>
      <c r="D668" s="1190" t="s">
        <v>311</v>
      </c>
      <c r="E668" s="1217"/>
      <c r="F668" s="1217"/>
      <c r="G668" s="1218"/>
      <c r="H668" s="1219"/>
      <c r="I668" s="1191">
        <f>SUM(J668:N668)</f>
        <v>1275</v>
      </c>
      <c r="J668" s="1220"/>
      <c r="K668" s="1220"/>
      <c r="L668" s="1220">
        <v>1275</v>
      </c>
      <c r="M668" s="1220"/>
      <c r="N668" s="1221"/>
    </row>
    <row r="669" spans="1:16" s="431" customFormat="1" x14ac:dyDescent="0.3">
      <c r="A669" s="184">
        <v>659</v>
      </c>
      <c r="B669" s="1251"/>
      <c r="C669" s="1197"/>
      <c r="D669" s="1163" t="s">
        <v>1064</v>
      </c>
      <c r="E669" s="1217"/>
      <c r="F669" s="1217"/>
      <c r="G669" s="1218"/>
      <c r="H669" s="1219"/>
      <c r="I669" s="1170">
        <f t="shared" ref="I669:I671" si="137">SUM(J669:N669)</f>
        <v>1275</v>
      </c>
      <c r="J669" s="1220"/>
      <c r="K669" s="1220"/>
      <c r="L669" s="1171">
        <v>1275</v>
      </c>
      <c r="M669" s="1220"/>
      <c r="N669" s="1221"/>
    </row>
    <row r="670" spans="1:16" s="3" customFormat="1" ht="16.5" x14ac:dyDescent="0.3">
      <c r="A670" s="184">
        <v>660</v>
      </c>
      <c r="B670" s="1251"/>
      <c r="C670" s="1197"/>
      <c r="D670" s="1174" t="s">
        <v>999</v>
      </c>
      <c r="E670" s="1217"/>
      <c r="F670" s="1217"/>
      <c r="G670" s="1218"/>
      <c r="H670" s="1219"/>
      <c r="I670" s="1178">
        <f t="shared" si="137"/>
        <v>0</v>
      </c>
      <c r="J670" s="1171"/>
      <c r="K670" s="1171"/>
      <c r="L670" s="1171"/>
      <c r="M670" s="1220"/>
      <c r="N670" s="1221"/>
      <c r="P670" s="7"/>
    </row>
    <row r="671" spans="1:16" s="431" customFormat="1" x14ac:dyDescent="0.3">
      <c r="A671" s="184">
        <v>661</v>
      </c>
      <c r="B671" s="1251"/>
      <c r="C671" s="1197"/>
      <c r="D671" s="1163" t="s">
        <v>1116</v>
      </c>
      <c r="E671" s="1217"/>
      <c r="F671" s="1217"/>
      <c r="G671" s="1218"/>
      <c r="H671" s="1219"/>
      <c r="I671" s="1170">
        <f t="shared" si="137"/>
        <v>1275</v>
      </c>
      <c r="J671" s="1171"/>
      <c r="K671" s="1171"/>
      <c r="L671" s="1171">
        <f>SUM(L669:L670)</f>
        <v>1275</v>
      </c>
      <c r="M671" s="1220"/>
      <c r="N671" s="1221"/>
    </row>
    <row r="672" spans="1:16" s="431" customFormat="1" x14ac:dyDescent="0.3">
      <c r="A672" s="184">
        <v>662</v>
      </c>
      <c r="B672" s="1181"/>
      <c r="C672" s="1182">
        <v>114</v>
      </c>
      <c r="D672" s="1183" t="s">
        <v>462</v>
      </c>
      <c r="E672" s="1175">
        <v>1047</v>
      </c>
      <c r="F672" s="1175">
        <v>4570</v>
      </c>
      <c r="G672" s="1176">
        <v>2971</v>
      </c>
      <c r="H672" s="1177" t="s">
        <v>24</v>
      </c>
      <c r="I672" s="1170"/>
      <c r="J672" s="1184"/>
      <c r="K672" s="1184"/>
      <c r="L672" s="1184"/>
      <c r="M672" s="1184"/>
      <c r="N672" s="1186"/>
    </row>
    <row r="673" spans="1:16" s="431" customFormat="1" x14ac:dyDescent="0.3">
      <c r="A673" s="184">
        <v>663</v>
      </c>
      <c r="B673" s="1196"/>
      <c r="C673" s="1197"/>
      <c r="D673" s="1190" t="s">
        <v>311</v>
      </c>
      <c r="E673" s="1198"/>
      <c r="F673" s="1198"/>
      <c r="G673" s="1199"/>
      <c r="H673" s="1200"/>
      <c r="I673" s="1191">
        <f>SUM(J673:N673)</f>
        <v>6350</v>
      </c>
      <c r="J673" s="1192"/>
      <c r="K673" s="1192"/>
      <c r="L673" s="1192">
        <v>6350</v>
      </c>
      <c r="M673" s="1192"/>
      <c r="N673" s="1201"/>
    </row>
    <row r="674" spans="1:16" s="431" customFormat="1" x14ac:dyDescent="0.3">
      <c r="A674" s="184">
        <v>664</v>
      </c>
      <c r="B674" s="1196"/>
      <c r="C674" s="1197"/>
      <c r="D674" s="1163" t="s">
        <v>1064</v>
      </c>
      <c r="E674" s="1198"/>
      <c r="F674" s="1198"/>
      <c r="G674" s="1199"/>
      <c r="H674" s="1200"/>
      <c r="I674" s="1170">
        <f t="shared" ref="I674:I676" si="138">SUM(J674:N674)</f>
        <v>8145</v>
      </c>
      <c r="J674" s="1192"/>
      <c r="K674" s="1192"/>
      <c r="L674" s="1180">
        <v>8145</v>
      </c>
      <c r="M674" s="1192"/>
      <c r="N674" s="1201"/>
    </row>
    <row r="675" spans="1:16" s="7" customFormat="1" ht="16.5" x14ac:dyDescent="0.3">
      <c r="A675" s="184">
        <v>665</v>
      </c>
      <c r="B675" s="1196"/>
      <c r="C675" s="1197"/>
      <c r="D675" s="1174" t="s">
        <v>1012</v>
      </c>
      <c r="E675" s="1198"/>
      <c r="F675" s="1198"/>
      <c r="G675" s="1199"/>
      <c r="H675" s="1200"/>
      <c r="I675" s="1178">
        <f t="shared" si="138"/>
        <v>0</v>
      </c>
      <c r="J675" s="1180"/>
      <c r="K675" s="1180"/>
      <c r="L675" s="1185"/>
      <c r="M675" s="1192"/>
      <c r="N675" s="1201"/>
    </row>
    <row r="676" spans="1:16" s="431" customFormat="1" x14ac:dyDescent="0.3">
      <c r="A676" s="184">
        <v>666</v>
      </c>
      <c r="B676" s="1196"/>
      <c r="C676" s="1197"/>
      <c r="D676" s="1163" t="s">
        <v>1116</v>
      </c>
      <c r="E676" s="1198"/>
      <c r="F676" s="1198"/>
      <c r="G676" s="1199"/>
      <c r="H676" s="1200"/>
      <c r="I676" s="1170">
        <f t="shared" si="138"/>
        <v>8145</v>
      </c>
      <c r="J676" s="1180"/>
      <c r="K676" s="1180"/>
      <c r="L676" s="1180">
        <f>SUM(L674:L675)</f>
        <v>8145</v>
      </c>
      <c r="M676" s="1192"/>
      <c r="N676" s="1201"/>
    </row>
    <row r="677" spans="1:16" s="431" customFormat="1" x14ac:dyDescent="0.3">
      <c r="A677" s="184">
        <v>667</v>
      </c>
      <c r="B677" s="1172"/>
      <c r="C677" s="1182">
        <v>115</v>
      </c>
      <c r="D677" s="1183" t="s">
        <v>558</v>
      </c>
      <c r="E677" s="1175"/>
      <c r="F677" s="1175"/>
      <c r="G677" s="1176"/>
      <c r="H677" s="1177" t="s">
        <v>24</v>
      </c>
      <c r="I677" s="1170"/>
      <c r="J677" s="1184"/>
      <c r="K677" s="1184"/>
      <c r="L677" s="1184"/>
      <c r="M677" s="1184"/>
      <c r="N677" s="1186"/>
    </row>
    <row r="678" spans="1:16" s="431" customFormat="1" x14ac:dyDescent="0.3">
      <c r="A678" s="184">
        <v>668</v>
      </c>
      <c r="B678" s="1196"/>
      <c r="C678" s="1197"/>
      <c r="D678" s="1190" t="s">
        <v>311</v>
      </c>
      <c r="E678" s="1198"/>
      <c r="F678" s="1198"/>
      <c r="G678" s="1199"/>
      <c r="H678" s="1200"/>
      <c r="I678" s="1191">
        <f>SUM(J678:N678)</f>
        <v>2286</v>
      </c>
      <c r="J678" s="1192"/>
      <c r="K678" s="1192"/>
      <c r="L678" s="1192">
        <v>2286</v>
      </c>
      <c r="M678" s="1192"/>
      <c r="N678" s="1201"/>
    </row>
    <row r="679" spans="1:16" s="431" customFormat="1" x14ac:dyDescent="0.3">
      <c r="A679" s="184">
        <v>669</v>
      </c>
      <c r="B679" s="1196"/>
      <c r="C679" s="1197"/>
      <c r="D679" s="1163" t="s">
        <v>1064</v>
      </c>
      <c r="E679" s="1198"/>
      <c r="F679" s="1198"/>
      <c r="G679" s="1199"/>
      <c r="H679" s="1200"/>
      <c r="I679" s="1170">
        <f t="shared" ref="I679:I681" si="139">SUM(J679:N679)</f>
        <v>2286</v>
      </c>
      <c r="J679" s="1192"/>
      <c r="K679" s="1192"/>
      <c r="L679" s="1180">
        <v>2286</v>
      </c>
      <c r="M679" s="1192"/>
      <c r="N679" s="1201"/>
    </row>
    <row r="680" spans="1:16" s="3" customFormat="1" ht="16.5" x14ac:dyDescent="0.3">
      <c r="A680" s="184">
        <v>670</v>
      </c>
      <c r="B680" s="1196"/>
      <c r="C680" s="1197"/>
      <c r="D680" s="1174" t="s">
        <v>1012</v>
      </c>
      <c r="E680" s="1198"/>
      <c r="F680" s="1198"/>
      <c r="G680" s="1199"/>
      <c r="H680" s="1200"/>
      <c r="I680" s="1178">
        <f t="shared" si="139"/>
        <v>0</v>
      </c>
      <c r="J680" s="1180"/>
      <c r="K680" s="1180"/>
      <c r="L680" s="1180"/>
      <c r="M680" s="1192"/>
      <c r="N680" s="1201"/>
      <c r="P680" s="7"/>
    </row>
    <row r="681" spans="1:16" s="431" customFormat="1" x14ac:dyDescent="0.3">
      <c r="A681" s="184">
        <v>671</v>
      </c>
      <c r="B681" s="1196"/>
      <c r="C681" s="1197"/>
      <c r="D681" s="1163" t="s">
        <v>1116</v>
      </c>
      <c r="E681" s="1198"/>
      <c r="F681" s="1198"/>
      <c r="G681" s="1199"/>
      <c r="H681" s="1200"/>
      <c r="I681" s="1170">
        <f t="shared" si="139"/>
        <v>2286</v>
      </c>
      <c r="J681" s="1180"/>
      <c r="K681" s="1180"/>
      <c r="L681" s="1180">
        <f>SUM(L679:L680)</f>
        <v>2286</v>
      </c>
      <c r="M681" s="1192"/>
      <c r="N681" s="1201"/>
    </row>
    <row r="682" spans="1:16" s="431" customFormat="1" x14ac:dyDescent="0.3">
      <c r="A682" s="184">
        <v>672</v>
      </c>
      <c r="B682" s="1181"/>
      <c r="C682" s="1182">
        <v>116</v>
      </c>
      <c r="D682" s="1183" t="s">
        <v>111</v>
      </c>
      <c r="E682" s="1175">
        <v>7036</v>
      </c>
      <c r="F682" s="1175">
        <v>16000</v>
      </c>
      <c r="G682" s="1176">
        <v>8435</v>
      </c>
      <c r="H682" s="1177" t="s">
        <v>23</v>
      </c>
      <c r="I682" s="1170"/>
      <c r="J682" s="1184"/>
      <c r="K682" s="1184"/>
      <c r="L682" s="1184"/>
      <c r="M682" s="1184"/>
      <c r="N682" s="1186"/>
    </row>
    <row r="683" spans="1:16" s="431" customFormat="1" x14ac:dyDescent="0.3">
      <c r="A683" s="184">
        <v>673</v>
      </c>
      <c r="B683" s="1196"/>
      <c r="C683" s="1197"/>
      <c r="D683" s="1190" t="s">
        <v>311</v>
      </c>
      <c r="E683" s="1198"/>
      <c r="F683" s="1198"/>
      <c r="G683" s="1199"/>
      <c r="H683" s="1200"/>
      <c r="I683" s="1191">
        <f>SUM(J683:N683)</f>
        <v>16000</v>
      </c>
      <c r="J683" s="1192"/>
      <c r="K683" s="1192"/>
      <c r="L683" s="1192">
        <v>16000</v>
      </c>
      <c r="M683" s="1192"/>
      <c r="N683" s="1201"/>
    </row>
    <row r="684" spans="1:16" s="431" customFormat="1" x14ac:dyDescent="0.3">
      <c r="A684" s="184">
        <v>674</v>
      </c>
      <c r="B684" s="1196"/>
      <c r="C684" s="1197"/>
      <c r="D684" s="1163" t="s">
        <v>1064</v>
      </c>
      <c r="E684" s="1198"/>
      <c r="F684" s="1198"/>
      <c r="G684" s="1199"/>
      <c r="H684" s="1200"/>
      <c r="I684" s="1170">
        <f t="shared" ref="I684:I686" si="140">SUM(J684:N684)</f>
        <v>19000</v>
      </c>
      <c r="J684" s="1192"/>
      <c r="K684" s="1192"/>
      <c r="L684" s="1180">
        <v>19000</v>
      </c>
      <c r="M684" s="1192"/>
      <c r="N684" s="1201"/>
    </row>
    <row r="685" spans="1:16" s="7" customFormat="1" ht="16.5" x14ac:dyDescent="0.3">
      <c r="A685" s="184">
        <v>675</v>
      </c>
      <c r="B685" s="1196"/>
      <c r="C685" s="1197"/>
      <c r="D685" s="1174" t="s">
        <v>1012</v>
      </c>
      <c r="E685" s="1198"/>
      <c r="F685" s="1198"/>
      <c r="G685" s="1199"/>
      <c r="H685" s="1200"/>
      <c r="I685" s="1178">
        <f t="shared" si="140"/>
        <v>0</v>
      </c>
      <c r="J685" s="1180"/>
      <c r="K685" s="1180"/>
      <c r="L685" s="1185"/>
      <c r="M685" s="1192"/>
      <c r="N685" s="1201"/>
    </row>
    <row r="686" spans="1:16" s="431" customFormat="1" x14ac:dyDescent="0.3">
      <c r="A686" s="184">
        <v>676</v>
      </c>
      <c r="B686" s="1196"/>
      <c r="C686" s="1197"/>
      <c r="D686" s="1163" t="s">
        <v>1116</v>
      </c>
      <c r="E686" s="1198"/>
      <c r="F686" s="1198"/>
      <c r="G686" s="1199"/>
      <c r="H686" s="1200"/>
      <c r="I686" s="1170">
        <f t="shared" si="140"/>
        <v>19000</v>
      </c>
      <c r="J686" s="1180"/>
      <c r="K686" s="1180"/>
      <c r="L686" s="1180">
        <f>SUM(L684:L685)</f>
        <v>19000</v>
      </c>
      <c r="M686" s="1192"/>
      <c r="N686" s="1201"/>
    </row>
    <row r="687" spans="1:16" s="431" customFormat="1" x14ac:dyDescent="0.3">
      <c r="A687" s="184">
        <v>677</v>
      </c>
      <c r="B687" s="1266"/>
      <c r="C687" s="1182">
        <v>117</v>
      </c>
      <c r="D687" s="1183" t="s">
        <v>288</v>
      </c>
      <c r="E687" s="1175">
        <v>144202</v>
      </c>
      <c r="F687" s="1175">
        <v>153222</v>
      </c>
      <c r="G687" s="1176">
        <v>156855</v>
      </c>
      <c r="H687" s="1177" t="s">
        <v>23</v>
      </c>
      <c r="I687" s="1187"/>
      <c r="J687" s="1188"/>
      <c r="K687" s="1188"/>
      <c r="L687" s="1188"/>
      <c r="M687" s="1188"/>
      <c r="N687" s="1189"/>
    </row>
    <row r="688" spans="1:16" s="431" customFormat="1" x14ac:dyDescent="0.3">
      <c r="A688" s="184">
        <v>678</v>
      </c>
      <c r="B688" s="1196"/>
      <c r="C688" s="1197"/>
      <c r="D688" s="1190" t="s">
        <v>311</v>
      </c>
      <c r="E688" s="1198"/>
      <c r="F688" s="1198"/>
      <c r="G688" s="1199"/>
      <c r="H688" s="1200"/>
      <c r="I688" s="1191">
        <f>SUM(J688:N688)</f>
        <v>155388</v>
      </c>
      <c r="J688" s="1192"/>
      <c r="K688" s="1192"/>
      <c r="L688" s="1192">
        <v>155388</v>
      </c>
      <c r="M688" s="1192"/>
      <c r="N688" s="1201"/>
    </row>
    <row r="689" spans="1:16" s="431" customFormat="1" x14ac:dyDescent="0.3">
      <c r="A689" s="184">
        <v>679</v>
      </c>
      <c r="B689" s="1196"/>
      <c r="C689" s="1197"/>
      <c r="D689" s="1163" t="s">
        <v>1064</v>
      </c>
      <c r="E689" s="1198"/>
      <c r="F689" s="1198"/>
      <c r="G689" s="1199"/>
      <c r="H689" s="1200"/>
      <c r="I689" s="1170">
        <f t="shared" ref="I689:I691" si="141">SUM(J689:N689)</f>
        <v>155388</v>
      </c>
      <c r="J689" s="1192"/>
      <c r="K689" s="1192"/>
      <c r="L689" s="1180">
        <v>155388</v>
      </c>
      <c r="M689" s="1192"/>
      <c r="N689" s="1201"/>
    </row>
    <row r="690" spans="1:16" s="7" customFormat="1" ht="16.5" x14ac:dyDescent="0.3">
      <c r="A690" s="184">
        <v>680</v>
      </c>
      <c r="B690" s="1196"/>
      <c r="C690" s="1197"/>
      <c r="D690" s="1174" t="s">
        <v>999</v>
      </c>
      <c r="E690" s="1198"/>
      <c r="F690" s="1198"/>
      <c r="G690" s="1199"/>
      <c r="H690" s="1200"/>
      <c r="I690" s="1178">
        <f t="shared" si="141"/>
        <v>0</v>
      </c>
      <c r="J690" s="1180"/>
      <c r="K690" s="1180"/>
      <c r="L690" s="1180"/>
      <c r="M690" s="1192"/>
      <c r="N690" s="1201"/>
    </row>
    <row r="691" spans="1:16" s="7" customFormat="1" ht="16.5" x14ac:dyDescent="0.3">
      <c r="A691" s="184">
        <v>681</v>
      </c>
      <c r="B691" s="1196"/>
      <c r="C691" s="1197"/>
      <c r="D691" s="1163" t="s">
        <v>1116</v>
      </c>
      <c r="E691" s="1198"/>
      <c r="F691" s="1198"/>
      <c r="G691" s="1199"/>
      <c r="H691" s="1200"/>
      <c r="I691" s="1170">
        <f t="shared" si="141"/>
        <v>155388</v>
      </c>
      <c r="J691" s="1180"/>
      <c r="K691" s="1180"/>
      <c r="L691" s="1180">
        <f>SUM(L689:L690)</f>
        <v>155388</v>
      </c>
      <c r="M691" s="1192"/>
      <c r="N691" s="1201"/>
    </row>
    <row r="692" spans="1:16" s="7" customFormat="1" ht="16.5" x14ac:dyDescent="0.3">
      <c r="A692" s="184">
        <v>682</v>
      </c>
      <c r="B692" s="1266"/>
      <c r="C692" s="1182">
        <v>118</v>
      </c>
      <c r="D692" s="1183" t="s">
        <v>457</v>
      </c>
      <c r="E692" s="1175">
        <v>8000</v>
      </c>
      <c r="F692" s="1175">
        <v>3000</v>
      </c>
      <c r="G692" s="1176">
        <v>4930</v>
      </c>
      <c r="H692" s="1177" t="s">
        <v>24</v>
      </c>
      <c r="I692" s="1187"/>
      <c r="J692" s="1188"/>
      <c r="K692" s="1188"/>
      <c r="L692" s="1188"/>
      <c r="M692" s="1188"/>
      <c r="N692" s="1189"/>
    </row>
    <row r="693" spans="1:16" s="7" customFormat="1" ht="16.5" x14ac:dyDescent="0.3">
      <c r="A693" s="184">
        <v>683</v>
      </c>
      <c r="B693" s="1266"/>
      <c r="C693" s="1182"/>
      <c r="D693" s="1163" t="s">
        <v>1064</v>
      </c>
      <c r="E693" s="1175"/>
      <c r="F693" s="1175"/>
      <c r="G693" s="1176"/>
      <c r="H693" s="1177"/>
      <c r="I693" s="1170">
        <f t="shared" ref="I693:I695" si="142">SUM(J693:N693)</f>
        <v>2362</v>
      </c>
      <c r="J693" s="1188"/>
      <c r="K693" s="1188"/>
      <c r="L693" s="1180">
        <v>2362</v>
      </c>
      <c r="M693" s="1188"/>
      <c r="N693" s="1189"/>
    </row>
    <row r="694" spans="1:16" s="3" customFormat="1" ht="16.5" x14ac:dyDescent="0.3">
      <c r="A694" s="184">
        <v>684</v>
      </c>
      <c r="B694" s="1172"/>
      <c r="C694" s="1173"/>
      <c r="D694" s="1174" t="s">
        <v>1012</v>
      </c>
      <c r="E694" s="1175"/>
      <c r="F694" s="1175"/>
      <c r="G694" s="1176"/>
      <c r="H694" s="1177"/>
      <c r="I694" s="1178">
        <f t="shared" si="142"/>
        <v>0</v>
      </c>
      <c r="J694" s="1184"/>
      <c r="K694" s="1184"/>
      <c r="L694" s="1185"/>
      <c r="M694" s="1184"/>
      <c r="N694" s="1186"/>
      <c r="O694" s="7"/>
      <c r="P694" s="7"/>
    </row>
    <row r="695" spans="1:16" s="431" customFormat="1" x14ac:dyDescent="0.3">
      <c r="A695" s="184">
        <v>685</v>
      </c>
      <c r="B695" s="1172"/>
      <c r="C695" s="1173"/>
      <c r="D695" s="1163" t="s">
        <v>1116</v>
      </c>
      <c r="E695" s="1175"/>
      <c r="F695" s="1175"/>
      <c r="G695" s="1176"/>
      <c r="H695" s="1177"/>
      <c r="I695" s="1170">
        <f t="shared" si="142"/>
        <v>2362</v>
      </c>
      <c r="J695" s="1184"/>
      <c r="K695" s="1184"/>
      <c r="L695" s="1180">
        <f>SUM(L693:L694)</f>
        <v>2362</v>
      </c>
      <c r="M695" s="1184"/>
      <c r="N695" s="1186"/>
    </row>
    <row r="696" spans="1:16" s="431" customFormat="1" x14ac:dyDescent="0.3">
      <c r="A696" s="184">
        <v>686</v>
      </c>
      <c r="B696" s="1181"/>
      <c r="C696" s="1182">
        <v>119</v>
      </c>
      <c r="D696" s="1183" t="s">
        <v>113</v>
      </c>
      <c r="E696" s="1175">
        <f>E701+E706+E711+E716+E721</f>
        <v>3250</v>
      </c>
      <c r="F696" s="1175">
        <f>F701+F706+F711+F716+F721</f>
        <v>3250</v>
      </c>
      <c r="G696" s="1175">
        <f>G701+G706+G711+G716+G721</f>
        <v>3250</v>
      </c>
      <c r="H696" s="1177" t="s">
        <v>23</v>
      </c>
      <c r="I696" s="1187"/>
      <c r="J696" s="1188"/>
      <c r="K696" s="1188"/>
      <c r="L696" s="1188"/>
      <c r="M696" s="1188"/>
      <c r="N696" s="1189"/>
    </row>
    <row r="697" spans="1:16" s="431" customFormat="1" x14ac:dyDescent="0.3">
      <c r="A697" s="184">
        <v>687</v>
      </c>
      <c r="B697" s="1196"/>
      <c r="C697" s="1197"/>
      <c r="D697" s="1190" t="s">
        <v>311</v>
      </c>
      <c r="E697" s="1198"/>
      <c r="F697" s="1198"/>
      <c r="G697" s="1199"/>
      <c r="H697" s="1200"/>
      <c r="I697" s="1191">
        <f>SUM(J697:N697)</f>
        <v>2765</v>
      </c>
      <c r="J697" s="1232"/>
      <c r="K697" s="1232"/>
      <c r="L697" s="1232"/>
      <c r="M697" s="1232"/>
      <c r="N697" s="1201">
        <f>N702+N707+N712+N717+N722</f>
        <v>2765</v>
      </c>
    </row>
    <row r="698" spans="1:16" s="431" customFormat="1" x14ac:dyDescent="0.3">
      <c r="A698" s="184">
        <v>688</v>
      </c>
      <c r="B698" s="1196"/>
      <c r="C698" s="1197"/>
      <c r="D698" s="1163" t="s">
        <v>1064</v>
      </c>
      <c r="E698" s="1198"/>
      <c r="F698" s="1198"/>
      <c r="G698" s="1199"/>
      <c r="H698" s="1200"/>
      <c r="I698" s="1170">
        <f t="shared" ref="I698:I700" si="143">SUM(J698:N698)</f>
        <v>2765</v>
      </c>
      <c r="J698" s="1232"/>
      <c r="K698" s="1232"/>
      <c r="L698" s="1232"/>
      <c r="M698" s="1232"/>
      <c r="N698" s="1202">
        <f>N703+N708+N713+N718+N723</f>
        <v>2765</v>
      </c>
    </row>
    <row r="699" spans="1:16" s="8" customFormat="1" x14ac:dyDescent="0.3">
      <c r="A699" s="184">
        <v>689</v>
      </c>
      <c r="B699" s="1196"/>
      <c r="C699" s="1197"/>
      <c r="D699" s="1174" t="s">
        <v>999</v>
      </c>
      <c r="E699" s="1198"/>
      <c r="F699" s="1198"/>
      <c r="G699" s="1199"/>
      <c r="H699" s="1200"/>
      <c r="I699" s="1178">
        <f t="shared" si="143"/>
        <v>0</v>
      </c>
      <c r="J699" s="1232"/>
      <c r="K699" s="1232"/>
      <c r="L699" s="1232"/>
      <c r="M699" s="1232"/>
      <c r="N699" s="1195">
        <f>N704+N709+N714+N719+N724</f>
        <v>0</v>
      </c>
      <c r="P699" s="7"/>
    </row>
    <row r="700" spans="1:16" s="433" customFormat="1" x14ac:dyDescent="0.3">
      <c r="A700" s="184">
        <v>690</v>
      </c>
      <c r="B700" s="1196"/>
      <c r="C700" s="1197"/>
      <c r="D700" s="1163" t="s">
        <v>1116</v>
      </c>
      <c r="E700" s="1198"/>
      <c r="F700" s="1198"/>
      <c r="G700" s="1199"/>
      <c r="H700" s="1200"/>
      <c r="I700" s="1170">
        <f t="shared" si="143"/>
        <v>2765</v>
      </c>
      <c r="J700" s="1232"/>
      <c r="K700" s="1232"/>
      <c r="L700" s="1232"/>
      <c r="M700" s="1232"/>
      <c r="N700" s="1202">
        <f>SUM(N698:N699)</f>
        <v>2765</v>
      </c>
      <c r="P700" s="431"/>
    </row>
    <row r="701" spans="1:16" s="433" customFormat="1" x14ac:dyDescent="0.3">
      <c r="A701" s="184">
        <v>691</v>
      </c>
      <c r="B701" s="1203"/>
      <c r="C701" s="1173"/>
      <c r="D701" s="1224" t="s">
        <v>114</v>
      </c>
      <c r="E701" s="1175">
        <v>650</v>
      </c>
      <c r="F701" s="1206">
        <v>650</v>
      </c>
      <c r="G701" s="1207">
        <v>650</v>
      </c>
      <c r="H701" s="1208"/>
      <c r="I701" s="1225"/>
      <c r="J701" s="1185"/>
      <c r="K701" s="1185"/>
      <c r="L701" s="1185"/>
      <c r="M701" s="1185"/>
      <c r="N701" s="1195"/>
      <c r="P701" s="431"/>
    </row>
    <row r="702" spans="1:16" s="433" customFormat="1" x14ac:dyDescent="0.3">
      <c r="A702" s="184">
        <v>692</v>
      </c>
      <c r="B702" s="1226"/>
      <c r="C702" s="1197"/>
      <c r="D702" s="1227" t="s">
        <v>311</v>
      </c>
      <c r="E702" s="1198"/>
      <c r="F702" s="1228"/>
      <c r="G702" s="1229"/>
      <c r="H702" s="1230"/>
      <c r="I702" s="1231">
        <f>SUM(J702:N702)</f>
        <v>553</v>
      </c>
      <c r="J702" s="1232"/>
      <c r="K702" s="1232"/>
      <c r="L702" s="1232"/>
      <c r="M702" s="1232"/>
      <c r="N702" s="1233">
        <v>553</v>
      </c>
      <c r="P702" s="431"/>
    </row>
    <row r="703" spans="1:16" s="433" customFormat="1" x14ac:dyDescent="0.3">
      <c r="A703" s="184">
        <v>693</v>
      </c>
      <c r="B703" s="1226"/>
      <c r="C703" s="1197"/>
      <c r="D703" s="1234" t="s">
        <v>1064</v>
      </c>
      <c r="E703" s="1198"/>
      <c r="F703" s="1228"/>
      <c r="G703" s="1229"/>
      <c r="H703" s="1230"/>
      <c r="I703" s="1225">
        <f t="shared" ref="I703:I705" si="144">SUM(J703:N703)</f>
        <v>553</v>
      </c>
      <c r="J703" s="1232"/>
      <c r="K703" s="1232"/>
      <c r="L703" s="1232"/>
      <c r="M703" s="1232"/>
      <c r="N703" s="1235">
        <v>553</v>
      </c>
      <c r="P703" s="431"/>
    </row>
    <row r="704" spans="1:16" s="8" customFormat="1" x14ac:dyDescent="0.3">
      <c r="A704" s="184">
        <v>694</v>
      </c>
      <c r="B704" s="1226"/>
      <c r="C704" s="1197"/>
      <c r="D704" s="1236" t="s">
        <v>999</v>
      </c>
      <c r="E704" s="1198"/>
      <c r="F704" s="1228"/>
      <c r="G704" s="1229"/>
      <c r="H704" s="1230"/>
      <c r="I704" s="1178">
        <f t="shared" si="144"/>
        <v>0</v>
      </c>
      <c r="J704" s="1237"/>
      <c r="K704" s="1237"/>
      <c r="L704" s="1237"/>
      <c r="M704" s="1237"/>
      <c r="N704" s="1235"/>
      <c r="P704" s="7"/>
    </row>
    <row r="705" spans="1:16" s="433" customFormat="1" x14ac:dyDescent="0.3">
      <c r="A705" s="184">
        <v>695</v>
      </c>
      <c r="B705" s="1226"/>
      <c r="C705" s="1197"/>
      <c r="D705" s="1234" t="s">
        <v>1116</v>
      </c>
      <c r="E705" s="1198"/>
      <c r="F705" s="1228"/>
      <c r="G705" s="1229"/>
      <c r="H705" s="1230"/>
      <c r="I705" s="1225">
        <f t="shared" si="144"/>
        <v>553</v>
      </c>
      <c r="J705" s="1237"/>
      <c r="K705" s="1237"/>
      <c r="L705" s="1237"/>
      <c r="M705" s="1237"/>
      <c r="N705" s="1235">
        <f>SUM(N703:N704)</f>
        <v>553</v>
      </c>
      <c r="P705" s="431"/>
    </row>
    <row r="706" spans="1:16" s="433" customFormat="1" x14ac:dyDescent="0.3">
      <c r="A706" s="184">
        <v>696</v>
      </c>
      <c r="B706" s="1203"/>
      <c r="C706" s="1173"/>
      <c r="D706" s="1267" t="s">
        <v>115</v>
      </c>
      <c r="E706" s="1175">
        <v>650</v>
      </c>
      <c r="F706" s="1206">
        <v>650</v>
      </c>
      <c r="G706" s="1207">
        <v>650</v>
      </c>
      <c r="H706" s="1208"/>
      <c r="I706" s="1238"/>
      <c r="J706" s="1209"/>
      <c r="K706" s="1209"/>
      <c r="L706" s="1209"/>
      <c r="M706" s="1209"/>
      <c r="N706" s="1210"/>
      <c r="P706" s="431"/>
    </row>
    <row r="707" spans="1:16" s="433" customFormat="1" x14ac:dyDescent="0.3">
      <c r="A707" s="184">
        <v>697</v>
      </c>
      <c r="B707" s="1226"/>
      <c r="C707" s="1197"/>
      <c r="D707" s="1227" t="s">
        <v>311</v>
      </c>
      <c r="E707" s="1198"/>
      <c r="F707" s="1228"/>
      <c r="G707" s="1229"/>
      <c r="H707" s="1230"/>
      <c r="I707" s="1231">
        <f>SUM(J707:N707)</f>
        <v>553</v>
      </c>
      <c r="J707" s="1232"/>
      <c r="K707" s="1232"/>
      <c r="L707" s="1232"/>
      <c r="M707" s="1232"/>
      <c r="N707" s="1233">
        <v>553</v>
      </c>
      <c r="P707" s="431"/>
    </row>
    <row r="708" spans="1:16" s="433" customFormat="1" x14ac:dyDescent="0.3">
      <c r="A708" s="184">
        <v>698</v>
      </c>
      <c r="B708" s="1226"/>
      <c r="C708" s="1197"/>
      <c r="D708" s="1234" t="s">
        <v>1064</v>
      </c>
      <c r="E708" s="1198"/>
      <c r="F708" s="1228"/>
      <c r="G708" s="1229"/>
      <c r="H708" s="1230"/>
      <c r="I708" s="1225">
        <f t="shared" ref="I708:I710" si="145">SUM(J708:N708)</f>
        <v>553</v>
      </c>
      <c r="J708" s="1232"/>
      <c r="K708" s="1232"/>
      <c r="L708" s="1232"/>
      <c r="M708" s="1232"/>
      <c r="N708" s="1235">
        <v>553</v>
      </c>
      <c r="P708" s="431"/>
    </row>
    <row r="709" spans="1:16" s="8" customFormat="1" x14ac:dyDescent="0.3">
      <c r="A709" s="184">
        <v>699</v>
      </c>
      <c r="B709" s="1226"/>
      <c r="C709" s="1197"/>
      <c r="D709" s="1236" t="s">
        <v>999</v>
      </c>
      <c r="E709" s="1198"/>
      <c r="F709" s="1228"/>
      <c r="G709" s="1229"/>
      <c r="H709" s="1230"/>
      <c r="I709" s="1178">
        <f t="shared" si="145"/>
        <v>0</v>
      </c>
      <c r="J709" s="1237"/>
      <c r="K709" s="1237"/>
      <c r="L709" s="1237"/>
      <c r="M709" s="1237"/>
      <c r="N709" s="1235"/>
      <c r="P709" s="7"/>
    </row>
    <row r="710" spans="1:16" s="433" customFormat="1" x14ac:dyDescent="0.3">
      <c r="A710" s="184">
        <v>700</v>
      </c>
      <c r="B710" s="1226"/>
      <c r="C710" s="1197"/>
      <c r="D710" s="1234" t="s">
        <v>1116</v>
      </c>
      <c r="E710" s="1198"/>
      <c r="F710" s="1228"/>
      <c r="G710" s="1229"/>
      <c r="H710" s="1230"/>
      <c r="I710" s="1225">
        <f t="shared" si="145"/>
        <v>553</v>
      </c>
      <c r="J710" s="1237"/>
      <c r="K710" s="1237"/>
      <c r="L710" s="1237"/>
      <c r="M710" s="1237"/>
      <c r="N710" s="1235">
        <f>SUM(N708:N709)</f>
        <v>553</v>
      </c>
      <c r="P710" s="431"/>
    </row>
    <row r="711" spans="1:16" s="433" customFormat="1" x14ac:dyDescent="0.3">
      <c r="A711" s="184">
        <v>701</v>
      </c>
      <c r="B711" s="1203"/>
      <c r="C711" s="1173"/>
      <c r="D711" s="1267" t="s">
        <v>116</v>
      </c>
      <c r="E711" s="1175">
        <v>650</v>
      </c>
      <c r="F711" s="1206">
        <v>650</v>
      </c>
      <c r="G711" s="1207">
        <v>650</v>
      </c>
      <c r="H711" s="1208"/>
      <c r="I711" s="1238"/>
      <c r="J711" s="1209"/>
      <c r="K711" s="1209"/>
      <c r="L711" s="1209"/>
      <c r="M711" s="1209"/>
      <c r="N711" s="1210"/>
      <c r="P711" s="431"/>
    </row>
    <row r="712" spans="1:16" s="433" customFormat="1" x14ac:dyDescent="0.3">
      <c r="A712" s="184">
        <v>702</v>
      </c>
      <c r="B712" s="1226"/>
      <c r="C712" s="1197"/>
      <c r="D712" s="1227" t="s">
        <v>311</v>
      </c>
      <c r="E712" s="1198"/>
      <c r="F712" s="1228"/>
      <c r="G712" s="1229"/>
      <c r="H712" s="1230"/>
      <c r="I712" s="1231">
        <f>SUM(J712:N712)</f>
        <v>553</v>
      </c>
      <c r="J712" s="1232"/>
      <c r="K712" s="1232"/>
      <c r="L712" s="1232"/>
      <c r="M712" s="1232"/>
      <c r="N712" s="1233">
        <v>553</v>
      </c>
      <c r="P712" s="431"/>
    </row>
    <row r="713" spans="1:16" s="433" customFormat="1" x14ac:dyDescent="0.3">
      <c r="A713" s="184">
        <v>703</v>
      </c>
      <c r="B713" s="1226"/>
      <c r="C713" s="1197"/>
      <c r="D713" s="1234" t="s">
        <v>1064</v>
      </c>
      <c r="E713" s="1198"/>
      <c r="F713" s="1228"/>
      <c r="G713" s="1229"/>
      <c r="H713" s="1230"/>
      <c r="I713" s="1225">
        <f t="shared" ref="I713:I715" si="146">SUM(J713:N713)</f>
        <v>553</v>
      </c>
      <c r="J713" s="1232"/>
      <c r="K713" s="1232"/>
      <c r="L713" s="1232"/>
      <c r="M713" s="1232"/>
      <c r="N713" s="1235">
        <v>553</v>
      </c>
      <c r="P713" s="431"/>
    </row>
    <row r="714" spans="1:16" s="8" customFormat="1" x14ac:dyDescent="0.3">
      <c r="A714" s="184">
        <v>704</v>
      </c>
      <c r="B714" s="1226"/>
      <c r="C714" s="1197"/>
      <c r="D714" s="1236" t="s">
        <v>999</v>
      </c>
      <c r="E714" s="1198"/>
      <c r="F714" s="1228"/>
      <c r="G714" s="1229"/>
      <c r="H714" s="1230"/>
      <c r="I714" s="1178">
        <f t="shared" si="146"/>
        <v>0</v>
      </c>
      <c r="J714" s="1237"/>
      <c r="K714" s="1237"/>
      <c r="L714" s="1237"/>
      <c r="M714" s="1237"/>
      <c r="N714" s="1235"/>
      <c r="P714" s="7"/>
    </row>
    <row r="715" spans="1:16" s="433" customFormat="1" x14ac:dyDescent="0.3">
      <c r="A715" s="184">
        <v>705</v>
      </c>
      <c r="B715" s="1226"/>
      <c r="C715" s="1197"/>
      <c r="D715" s="1234" t="s">
        <v>1116</v>
      </c>
      <c r="E715" s="1198"/>
      <c r="F715" s="1228"/>
      <c r="G715" s="1229"/>
      <c r="H715" s="1230"/>
      <c r="I715" s="1225">
        <f t="shared" si="146"/>
        <v>553</v>
      </c>
      <c r="J715" s="1237"/>
      <c r="K715" s="1237"/>
      <c r="L715" s="1237"/>
      <c r="M715" s="1237"/>
      <c r="N715" s="1235">
        <f>SUM(N713:N714)</f>
        <v>553</v>
      </c>
      <c r="P715" s="431"/>
    </row>
    <row r="716" spans="1:16" s="433" customFormat="1" x14ac:dyDescent="0.3">
      <c r="A716" s="184">
        <v>706</v>
      </c>
      <c r="B716" s="1203"/>
      <c r="C716" s="1173"/>
      <c r="D716" s="1267" t="s">
        <v>117</v>
      </c>
      <c r="E716" s="1175">
        <v>650</v>
      </c>
      <c r="F716" s="1206">
        <v>650</v>
      </c>
      <c r="G716" s="1207">
        <v>650</v>
      </c>
      <c r="H716" s="1208"/>
      <c r="I716" s="1238"/>
      <c r="J716" s="1209"/>
      <c r="K716" s="1209"/>
      <c r="L716" s="1209"/>
      <c r="M716" s="1209"/>
      <c r="N716" s="1210"/>
      <c r="P716" s="431"/>
    </row>
    <row r="717" spans="1:16" s="433" customFormat="1" x14ac:dyDescent="0.3">
      <c r="A717" s="184">
        <v>707</v>
      </c>
      <c r="B717" s="1226"/>
      <c r="C717" s="1197"/>
      <c r="D717" s="1227" t="s">
        <v>311</v>
      </c>
      <c r="E717" s="1198"/>
      <c r="F717" s="1228"/>
      <c r="G717" s="1229"/>
      <c r="H717" s="1230"/>
      <c r="I717" s="1231">
        <f>SUM(J717:N717)</f>
        <v>553</v>
      </c>
      <c r="J717" s="1232"/>
      <c r="K717" s="1232"/>
      <c r="L717" s="1232"/>
      <c r="M717" s="1232"/>
      <c r="N717" s="1233">
        <v>553</v>
      </c>
      <c r="P717" s="431"/>
    </row>
    <row r="718" spans="1:16" s="433" customFormat="1" x14ac:dyDescent="0.3">
      <c r="A718" s="184">
        <v>708</v>
      </c>
      <c r="B718" s="1226"/>
      <c r="C718" s="1197"/>
      <c r="D718" s="1234" t="s">
        <v>1064</v>
      </c>
      <c r="E718" s="1198"/>
      <c r="F718" s="1228"/>
      <c r="G718" s="1229"/>
      <c r="H718" s="1230"/>
      <c r="I718" s="1225">
        <f t="shared" ref="I718:I720" si="147">SUM(J718:N718)</f>
        <v>553</v>
      </c>
      <c r="J718" s="1232"/>
      <c r="K718" s="1232"/>
      <c r="L718" s="1232"/>
      <c r="M718" s="1232"/>
      <c r="N718" s="1235">
        <v>553</v>
      </c>
      <c r="P718" s="431"/>
    </row>
    <row r="719" spans="1:16" s="8" customFormat="1" x14ac:dyDescent="0.3">
      <c r="A719" s="184">
        <v>709</v>
      </c>
      <c r="B719" s="1226"/>
      <c r="C719" s="1197"/>
      <c r="D719" s="1236" t="s">
        <v>999</v>
      </c>
      <c r="E719" s="1198"/>
      <c r="F719" s="1228"/>
      <c r="G719" s="1229"/>
      <c r="H719" s="1230"/>
      <c r="I719" s="1178">
        <f t="shared" si="147"/>
        <v>0</v>
      </c>
      <c r="J719" s="1237"/>
      <c r="K719" s="1237"/>
      <c r="L719" s="1237"/>
      <c r="M719" s="1237"/>
      <c r="N719" s="1235"/>
      <c r="P719" s="7"/>
    </row>
    <row r="720" spans="1:16" s="433" customFormat="1" x14ac:dyDescent="0.3">
      <c r="A720" s="184">
        <v>710</v>
      </c>
      <c r="B720" s="1226"/>
      <c r="C720" s="1197"/>
      <c r="D720" s="1234" t="s">
        <v>1116</v>
      </c>
      <c r="E720" s="1198"/>
      <c r="F720" s="1228"/>
      <c r="G720" s="1229"/>
      <c r="H720" s="1230"/>
      <c r="I720" s="1225">
        <f t="shared" si="147"/>
        <v>553</v>
      </c>
      <c r="J720" s="1237"/>
      <c r="K720" s="1237"/>
      <c r="L720" s="1237"/>
      <c r="M720" s="1237"/>
      <c r="N720" s="1235">
        <f>SUM(N718:N719)</f>
        <v>553</v>
      </c>
      <c r="P720" s="431"/>
    </row>
    <row r="721" spans="1:16" s="433" customFormat="1" x14ac:dyDescent="0.3">
      <c r="A721" s="184">
        <v>711</v>
      </c>
      <c r="B721" s="1203"/>
      <c r="C721" s="1173"/>
      <c r="D721" s="1267" t="s">
        <v>118</v>
      </c>
      <c r="E721" s="1175">
        <v>650</v>
      </c>
      <c r="F721" s="1206">
        <v>650</v>
      </c>
      <c r="G721" s="1207">
        <v>650</v>
      </c>
      <c r="H721" s="1208"/>
      <c r="I721" s="1238"/>
      <c r="J721" s="1209"/>
      <c r="K721" s="1209"/>
      <c r="L721" s="1209"/>
      <c r="M721" s="1209"/>
      <c r="N721" s="1210"/>
      <c r="P721" s="431"/>
    </row>
    <row r="722" spans="1:16" s="433" customFormat="1" x14ac:dyDescent="0.3">
      <c r="A722" s="184">
        <v>712</v>
      </c>
      <c r="B722" s="1226"/>
      <c r="C722" s="1197"/>
      <c r="D722" s="1227" t="s">
        <v>311</v>
      </c>
      <c r="E722" s="1198"/>
      <c r="F722" s="1228"/>
      <c r="G722" s="1229"/>
      <c r="H722" s="1230"/>
      <c r="I722" s="1231">
        <f>SUM(J722:N722)</f>
        <v>553</v>
      </c>
      <c r="J722" s="1232"/>
      <c r="K722" s="1232"/>
      <c r="L722" s="1232"/>
      <c r="M722" s="1232"/>
      <c r="N722" s="1233">
        <v>553</v>
      </c>
      <c r="P722" s="431"/>
    </row>
    <row r="723" spans="1:16" s="433" customFormat="1" x14ac:dyDescent="0.3">
      <c r="A723" s="184">
        <v>713</v>
      </c>
      <c r="B723" s="1268"/>
      <c r="C723" s="1197"/>
      <c r="D723" s="1234" t="s">
        <v>1064</v>
      </c>
      <c r="E723" s="1217"/>
      <c r="F723" s="1269"/>
      <c r="G723" s="1270"/>
      <c r="H723" s="1271"/>
      <c r="I723" s="1225">
        <f t="shared" ref="I723:I725" si="148">SUM(J723:N723)</f>
        <v>553</v>
      </c>
      <c r="J723" s="1272"/>
      <c r="K723" s="1272"/>
      <c r="L723" s="1272"/>
      <c r="M723" s="1272"/>
      <c r="N723" s="1273">
        <v>553</v>
      </c>
      <c r="P723" s="431"/>
    </row>
    <row r="724" spans="1:16" s="8" customFormat="1" x14ac:dyDescent="0.3">
      <c r="A724" s="184">
        <v>714</v>
      </c>
      <c r="B724" s="1268"/>
      <c r="C724" s="1197"/>
      <c r="D724" s="1236" t="s">
        <v>999</v>
      </c>
      <c r="E724" s="1217"/>
      <c r="F724" s="1269"/>
      <c r="G724" s="1270"/>
      <c r="H724" s="1271"/>
      <c r="I724" s="1178">
        <f t="shared" si="148"/>
        <v>0</v>
      </c>
      <c r="J724" s="1274"/>
      <c r="K724" s="1274"/>
      <c r="L724" s="1274"/>
      <c r="M724" s="1274"/>
      <c r="N724" s="1273"/>
      <c r="P724" s="7"/>
    </row>
    <row r="725" spans="1:16" s="433" customFormat="1" x14ac:dyDescent="0.3">
      <c r="A725" s="184">
        <v>715</v>
      </c>
      <c r="B725" s="1268"/>
      <c r="C725" s="1197"/>
      <c r="D725" s="1234" t="s">
        <v>1116</v>
      </c>
      <c r="E725" s="1217"/>
      <c r="F725" s="1269"/>
      <c r="G725" s="1270"/>
      <c r="H725" s="1271"/>
      <c r="I725" s="1225">
        <f t="shared" si="148"/>
        <v>553</v>
      </c>
      <c r="J725" s="1274"/>
      <c r="K725" s="1274"/>
      <c r="L725" s="1274"/>
      <c r="M725" s="1274"/>
      <c r="N725" s="1273">
        <f>SUM(N723:N724)</f>
        <v>553</v>
      </c>
      <c r="P725" s="431"/>
    </row>
    <row r="726" spans="1:16" s="433" customFormat="1" ht="45" x14ac:dyDescent="0.3">
      <c r="A726" s="184">
        <v>716</v>
      </c>
      <c r="B726" s="1275"/>
      <c r="C726" s="1204">
        <v>120</v>
      </c>
      <c r="D726" s="1183" t="s">
        <v>560</v>
      </c>
      <c r="E726" s="1164"/>
      <c r="F726" s="1276">
        <v>2000</v>
      </c>
      <c r="G726" s="1277">
        <v>0</v>
      </c>
      <c r="H726" s="1166" t="s">
        <v>24</v>
      </c>
      <c r="I726" s="1170"/>
      <c r="J726" s="1179"/>
      <c r="K726" s="1179"/>
      <c r="L726" s="1168"/>
      <c r="M726" s="1179"/>
      <c r="N726" s="1222"/>
      <c r="P726" s="431"/>
    </row>
    <row r="727" spans="1:16" s="433" customFormat="1" x14ac:dyDescent="0.3">
      <c r="A727" s="184">
        <v>717</v>
      </c>
      <c r="B727" s="1268"/>
      <c r="C727" s="1197"/>
      <c r="D727" s="1190" t="s">
        <v>311</v>
      </c>
      <c r="E727" s="1217"/>
      <c r="F727" s="1269"/>
      <c r="G727" s="1270"/>
      <c r="H727" s="1219"/>
      <c r="I727" s="1191">
        <f>SUM(J727:N727)</f>
        <v>3700</v>
      </c>
      <c r="J727" s="1272"/>
      <c r="K727" s="1272"/>
      <c r="L727" s="1220">
        <f>2000+1700</f>
        <v>3700</v>
      </c>
      <c r="M727" s="1272"/>
      <c r="N727" s="1278"/>
      <c r="P727" s="431"/>
    </row>
    <row r="728" spans="1:16" s="433" customFormat="1" x14ac:dyDescent="0.3">
      <c r="A728" s="184">
        <v>718</v>
      </c>
      <c r="B728" s="1268"/>
      <c r="C728" s="1197"/>
      <c r="D728" s="1163" t="s">
        <v>1064</v>
      </c>
      <c r="E728" s="1217"/>
      <c r="F728" s="1269"/>
      <c r="G728" s="1270"/>
      <c r="H728" s="1219"/>
      <c r="I728" s="1170">
        <f t="shared" ref="I728:I730" si="149">SUM(J728:N728)</f>
        <v>3700</v>
      </c>
      <c r="J728" s="1272"/>
      <c r="K728" s="1272"/>
      <c r="L728" s="1171">
        <v>3700</v>
      </c>
      <c r="M728" s="1272"/>
      <c r="N728" s="1278"/>
      <c r="P728" s="431"/>
    </row>
    <row r="729" spans="1:16" s="240" customFormat="1" x14ac:dyDescent="0.35">
      <c r="A729" s="184">
        <v>719</v>
      </c>
      <c r="B729" s="1268"/>
      <c r="C729" s="1197"/>
      <c r="D729" s="1174" t="s">
        <v>999</v>
      </c>
      <c r="E729" s="1217"/>
      <c r="F729" s="1269"/>
      <c r="G729" s="1270"/>
      <c r="H729" s="1219"/>
      <c r="I729" s="1178">
        <f t="shared" si="149"/>
        <v>0</v>
      </c>
      <c r="J729" s="1274"/>
      <c r="K729" s="1274"/>
      <c r="L729" s="1171"/>
      <c r="M729" s="1274"/>
      <c r="N729" s="1273"/>
      <c r="P729" s="3"/>
    </row>
    <row r="730" spans="1:16" s="433" customFormat="1" x14ac:dyDescent="0.3">
      <c r="A730" s="184">
        <v>720</v>
      </c>
      <c r="B730" s="1268"/>
      <c r="C730" s="1197"/>
      <c r="D730" s="1163" t="s">
        <v>1116</v>
      </c>
      <c r="E730" s="1217"/>
      <c r="F730" s="1269"/>
      <c r="G730" s="1270"/>
      <c r="H730" s="1219"/>
      <c r="I730" s="1170">
        <f t="shared" si="149"/>
        <v>3700</v>
      </c>
      <c r="J730" s="1274"/>
      <c r="K730" s="1274"/>
      <c r="L730" s="1171">
        <f>SUM(L728:L729)</f>
        <v>3700</v>
      </c>
      <c r="M730" s="1274"/>
      <c r="N730" s="1273"/>
      <c r="P730" s="431"/>
    </row>
    <row r="731" spans="1:16" s="433" customFormat="1" x14ac:dyDescent="0.3">
      <c r="A731" s="184">
        <v>721</v>
      </c>
      <c r="B731" s="1279"/>
      <c r="C731" s="1182">
        <v>121</v>
      </c>
      <c r="D731" s="1183" t="s">
        <v>733</v>
      </c>
      <c r="E731" s="1164"/>
      <c r="F731" s="1276"/>
      <c r="G731" s="1277">
        <v>344</v>
      </c>
      <c r="H731" s="1166" t="s">
        <v>24</v>
      </c>
      <c r="I731" s="1170"/>
      <c r="J731" s="1179"/>
      <c r="K731" s="1179"/>
      <c r="L731" s="1168"/>
      <c r="M731" s="1179"/>
      <c r="N731" s="1222"/>
      <c r="P731" s="431"/>
    </row>
    <row r="732" spans="1:16" s="433" customFormat="1" x14ac:dyDescent="0.3">
      <c r="A732" s="184">
        <v>722</v>
      </c>
      <c r="B732" s="1268"/>
      <c r="C732" s="1197"/>
      <c r="D732" s="1190" t="s">
        <v>311</v>
      </c>
      <c r="E732" s="1217"/>
      <c r="F732" s="1269"/>
      <c r="G732" s="1270"/>
      <c r="H732" s="1219"/>
      <c r="I732" s="1191">
        <f>SUM(J732:N732)</f>
        <v>341</v>
      </c>
      <c r="J732" s="1272"/>
      <c r="K732" s="1272"/>
      <c r="L732" s="1220">
        <v>341</v>
      </c>
      <c r="M732" s="1272"/>
      <c r="N732" s="1278"/>
      <c r="P732" s="431"/>
    </row>
    <row r="733" spans="1:16" s="433" customFormat="1" x14ac:dyDescent="0.3">
      <c r="A733" s="184">
        <v>723</v>
      </c>
      <c r="B733" s="1268"/>
      <c r="C733" s="1197"/>
      <c r="D733" s="1163" t="s">
        <v>1064</v>
      </c>
      <c r="E733" s="1217"/>
      <c r="F733" s="1269"/>
      <c r="G733" s="1270"/>
      <c r="H733" s="1219"/>
      <c r="I733" s="1170">
        <f t="shared" ref="I733:I735" si="150">SUM(J733:N733)</f>
        <v>0</v>
      </c>
      <c r="J733" s="1272"/>
      <c r="K733" s="1272"/>
      <c r="L733" s="1171">
        <v>0</v>
      </c>
      <c r="M733" s="1272"/>
      <c r="N733" s="1278"/>
      <c r="P733" s="431"/>
    </row>
    <row r="734" spans="1:16" s="240" customFormat="1" x14ac:dyDescent="0.35">
      <c r="A734" s="184">
        <v>724</v>
      </c>
      <c r="B734" s="1268"/>
      <c r="C734" s="1197"/>
      <c r="D734" s="1174" t="s">
        <v>1012</v>
      </c>
      <c r="E734" s="1217"/>
      <c r="F734" s="1269"/>
      <c r="G734" s="1270"/>
      <c r="H734" s="1219"/>
      <c r="I734" s="1178">
        <f t="shared" si="150"/>
        <v>0</v>
      </c>
      <c r="J734" s="1274"/>
      <c r="K734" s="1274"/>
      <c r="L734" s="1179"/>
      <c r="M734" s="1274"/>
      <c r="N734" s="1273"/>
      <c r="P734" s="3"/>
    </row>
    <row r="735" spans="1:16" s="433" customFormat="1" x14ac:dyDescent="0.3">
      <c r="A735" s="184">
        <v>725</v>
      </c>
      <c r="B735" s="1268"/>
      <c r="C735" s="1197"/>
      <c r="D735" s="1163" t="s">
        <v>1116</v>
      </c>
      <c r="E735" s="1217"/>
      <c r="F735" s="1269"/>
      <c r="G735" s="1270"/>
      <c r="H735" s="1219"/>
      <c r="I735" s="1170">
        <f t="shared" si="150"/>
        <v>0</v>
      </c>
      <c r="J735" s="1274"/>
      <c r="K735" s="1274"/>
      <c r="L735" s="1171">
        <f>SUM(L733:L734)</f>
        <v>0</v>
      </c>
      <c r="M735" s="1274"/>
      <c r="N735" s="1273"/>
      <c r="P735" s="431"/>
    </row>
    <row r="736" spans="1:16" s="433" customFormat="1" x14ac:dyDescent="0.3">
      <c r="A736" s="184">
        <v>726</v>
      </c>
      <c r="B736" s="1279"/>
      <c r="C736" s="1182">
        <v>122</v>
      </c>
      <c r="D736" s="1183" t="s">
        <v>561</v>
      </c>
      <c r="E736" s="1164"/>
      <c r="F736" s="1276"/>
      <c r="G736" s="1277">
        <v>605</v>
      </c>
      <c r="H736" s="1166" t="s">
        <v>24</v>
      </c>
      <c r="I736" s="1170"/>
      <c r="J736" s="1179"/>
      <c r="K736" s="1179"/>
      <c r="L736" s="1168"/>
      <c r="M736" s="1179"/>
      <c r="N736" s="1222"/>
      <c r="P736" s="431"/>
    </row>
    <row r="737" spans="1:16" s="433" customFormat="1" x14ac:dyDescent="0.3">
      <c r="A737" s="184">
        <v>727</v>
      </c>
      <c r="B737" s="1268"/>
      <c r="C737" s="1197"/>
      <c r="D737" s="1190" t="s">
        <v>311</v>
      </c>
      <c r="E737" s="1217"/>
      <c r="F737" s="1269"/>
      <c r="G737" s="1270"/>
      <c r="H737" s="1271"/>
      <c r="I737" s="1191">
        <f>SUM(J737:N737)</f>
        <v>1895</v>
      </c>
      <c r="J737" s="1272"/>
      <c r="K737" s="1272"/>
      <c r="L737" s="1220">
        <v>1895</v>
      </c>
      <c r="M737" s="1272"/>
      <c r="N737" s="1278"/>
      <c r="P737" s="431"/>
    </row>
    <row r="738" spans="1:16" s="433" customFormat="1" x14ac:dyDescent="0.3">
      <c r="A738" s="184">
        <v>728</v>
      </c>
      <c r="B738" s="1268"/>
      <c r="C738" s="1197"/>
      <c r="D738" s="1163" t="s">
        <v>1064</v>
      </c>
      <c r="E738" s="1217"/>
      <c r="F738" s="1269"/>
      <c r="G738" s="1270"/>
      <c r="H738" s="1271"/>
      <c r="I738" s="1170">
        <f t="shared" ref="I738:I740" si="151">SUM(J738:N738)</f>
        <v>1895</v>
      </c>
      <c r="J738" s="1272"/>
      <c r="K738" s="1272"/>
      <c r="L738" s="1171">
        <v>1895</v>
      </c>
      <c r="M738" s="1272"/>
      <c r="N738" s="1278"/>
      <c r="P738" s="431"/>
    </row>
    <row r="739" spans="1:16" s="240" customFormat="1" x14ac:dyDescent="0.35">
      <c r="A739" s="184">
        <v>729</v>
      </c>
      <c r="B739" s="1268"/>
      <c r="C739" s="1197"/>
      <c r="D739" s="1174" t="s">
        <v>999</v>
      </c>
      <c r="E739" s="1217"/>
      <c r="F739" s="1269"/>
      <c r="G739" s="1270"/>
      <c r="H739" s="1271"/>
      <c r="I739" s="1178">
        <f t="shared" si="151"/>
        <v>0</v>
      </c>
      <c r="J739" s="1274"/>
      <c r="K739" s="1274"/>
      <c r="L739" s="1171"/>
      <c r="M739" s="1274"/>
      <c r="N739" s="1273"/>
      <c r="P739" s="3"/>
    </row>
    <row r="740" spans="1:16" s="433" customFormat="1" x14ac:dyDescent="0.3">
      <c r="A740" s="184">
        <v>730</v>
      </c>
      <c r="B740" s="1268"/>
      <c r="C740" s="1197"/>
      <c r="D740" s="1163" t="s">
        <v>1116</v>
      </c>
      <c r="E740" s="1217"/>
      <c r="F740" s="1269"/>
      <c r="G740" s="1270"/>
      <c r="H740" s="1271"/>
      <c r="I740" s="1170">
        <f t="shared" si="151"/>
        <v>1895</v>
      </c>
      <c r="J740" s="1274"/>
      <c r="K740" s="1274"/>
      <c r="L740" s="1171">
        <f>SUM(L738:L739)</f>
        <v>1895</v>
      </c>
      <c r="M740" s="1274"/>
      <c r="N740" s="1273"/>
      <c r="P740" s="431"/>
    </row>
    <row r="741" spans="1:16" s="433" customFormat="1" x14ac:dyDescent="0.3">
      <c r="A741" s="184">
        <v>731</v>
      </c>
      <c r="B741" s="1279"/>
      <c r="C741" s="1182">
        <v>123</v>
      </c>
      <c r="D741" s="1183" t="s">
        <v>950</v>
      </c>
      <c r="E741" s="1164"/>
      <c r="F741" s="1276"/>
      <c r="G741" s="1277">
        <v>3000</v>
      </c>
      <c r="H741" s="1166" t="s">
        <v>24</v>
      </c>
      <c r="I741" s="1170"/>
      <c r="J741" s="1179"/>
      <c r="K741" s="1179"/>
      <c r="L741" s="1168"/>
      <c r="M741" s="1179"/>
      <c r="N741" s="1222"/>
      <c r="P741" s="431"/>
    </row>
    <row r="742" spans="1:16" s="433" customFormat="1" x14ac:dyDescent="0.3">
      <c r="A742" s="184">
        <v>732</v>
      </c>
      <c r="B742" s="1268"/>
      <c r="C742" s="1197"/>
      <c r="D742" s="1190" t="s">
        <v>311</v>
      </c>
      <c r="E742" s="1217"/>
      <c r="F742" s="1269"/>
      <c r="G742" s="1270"/>
      <c r="H742" s="1271"/>
      <c r="I742" s="1191">
        <f>SUM(J742:N742)</f>
        <v>3000</v>
      </c>
      <c r="J742" s="1272"/>
      <c r="K742" s="1272"/>
      <c r="L742" s="1220">
        <v>3000</v>
      </c>
      <c r="M742" s="1272"/>
      <c r="N742" s="1278"/>
      <c r="P742" s="431"/>
    </row>
    <row r="743" spans="1:16" s="433" customFormat="1" x14ac:dyDescent="0.3">
      <c r="A743" s="184">
        <v>733</v>
      </c>
      <c r="B743" s="1268"/>
      <c r="C743" s="1197"/>
      <c r="D743" s="1163" t="s">
        <v>1064</v>
      </c>
      <c r="E743" s="1217"/>
      <c r="F743" s="1269"/>
      <c r="G743" s="1270"/>
      <c r="H743" s="1271"/>
      <c r="I743" s="1170">
        <f t="shared" ref="I743:I745" si="152">SUM(J743:N743)</f>
        <v>3000</v>
      </c>
      <c r="J743" s="1272"/>
      <c r="K743" s="1272"/>
      <c r="L743" s="1171">
        <v>3000</v>
      </c>
      <c r="M743" s="1272"/>
      <c r="N743" s="1278"/>
      <c r="P743" s="431"/>
    </row>
    <row r="744" spans="1:16" s="240" customFormat="1" x14ac:dyDescent="0.35">
      <c r="A744" s="184">
        <v>734</v>
      </c>
      <c r="B744" s="1268"/>
      <c r="C744" s="1197"/>
      <c r="D744" s="1174" t="s">
        <v>999</v>
      </c>
      <c r="E744" s="1217"/>
      <c r="F744" s="1269"/>
      <c r="G744" s="1270"/>
      <c r="H744" s="1271"/>
      <c r="I744" s="1178">
        <f t="shared" si="152"/>
        <v>0</v>
      </c>
      <c r="J744" s="1274"/>
      <c r="K744" s="1274"/>
      <c r="L744" s="1171"/>
      <c r="M744" s="1274"/>
      <c r="N744" s="1273"/>
      <c r="P744" s="3"/>
    </row>
    <row r="745" spans="1:16" s="433" customFormat="1" x14ac:dyDescent="0.3">
      <c r="A745" s="184">
        <v>735</v>
      </c>
      <c r="B745" s="1268"/>
      <c r="C745" s="1197"/>
      <c r="D745" s="1163" t="s">
        <v>1116</v>
      </c>
      <c r="E745" s="1217"/>
      <c r="F745" s="1269"/>
      <c r="G745" s="1270"/>
      <c r="H745" s="1271"/>
      <c r="I745" s="1170">
        <f t="shared" si="152"/>
        <v>3000</v>
      </c>
      <c r="J745" s="1274"/>
      <c r="K745" s="1274"/>
      <c r="L745" s="1171">
        <f>SUM(L743:L744)</f>
        <v>3000</v>
      </c>
      <c r="M745" s="1274"/>
      <c r="N745" s="1273"/>
      <c r="P745" s="431"/>
    </row>
    <row r="746" spans="1:16" s="433" customFormat="1" x14ac:dyDescent="0.3">
      <c r="A746" s="184">
        <v>736</v>
      </c>
      <c r="B746" s="1279"/>
      <c r="C746" s="1182">
        <v>124</v>
      </c>
      <c r="D746" s="1183" t="s">
        <v>562</v>
      </c>
      <c r="E746" s="1164"/>
      <c r="F746" s="1276">
        <v>1100</v>
      </c>
      <c r="G746" s="1277"/>
      <c r="H746" s="1166" t="s">
        <v>24</v>
      </c>
      <c r="I746" s="1170"/>
      <c r="J746" s="1179"/>
      <c r="K746" s="1179"/>
      <c r="L746" s="1168"/>
      <c r="M746" s="1179"/>
      <c r="N746" s="1222"/>
      <c r="P746" s="431"/>
    </row>
    <row r="747" spans="1:16" s="433" customFormat="1" x14ac:dyDescent="0.3">
      <c r="A747" s="184">
        <v>737</v>
      </c>
      <c r="B747" s="1268"/>
      <c r="C747" s="1197"/>
      <c r="D747" s="1190" t="s">
        <v>311</v>
      </c>
      <c r="E747" s="1217"/>
      <c r="F747" s="1269"/>
      <c r="G747" s="1270"/>
      <c r="H747" s="1271"/>
      <c r="I747" s="1191">
        <f>SUM(J747:N747)</f>
        <v>2800</v>
      </c>
      <c r="J747" s="1272"/>
      <c r="K747" s="1272"/>
      <c r="L747" s="1220">
        <f>1100+1700</f>
        <v>2800</v>
      </c>
      <c r="M747" s="1272"/>
      <c r="N747" s="1278"/>
      <c r="P747" s="431"/>
    </row>
    <row r="748" spans="1:16" s="433" customFormat="1" x14ac:dyDescent="0.3">
      <c r="A748" s="184">
        <v>738</v>
      </c>
      <c r="B748" s="1268"/>
      <c r="C748" s="1197"/>
      <c r="D748" s="1163" t="s">
        <v>1064</v>
      </c>
      <c r="E748" s="1217"/>
      <c r="F748" s="1269"/>
      <c r="G748" s="1270"/>
      <c r="H748" s="1271"/>
      <c r="I748" s="1170">
        <f t="shared" ref="I748:I750" si="153">SUM(J748:N748)</f>
        <v>2800</v>
      </c>
      <c r="J748" s="1272"/>
      <c r="K748" s="1272"/>
      <c r="L748" s="1171">
        <v>2800</v>
      </c>
      <c r="M748" s="1272"/>
      <c r="N748" s="1278"/>
      <c r="P748" s="431"/>
    </row>
    <row r="749" spans="1:16" s="7" customFormat="1" ht="16.5" x14ac:dyDescent="0.3">
      <c r="A749" s="184">
        <v>739</v>
      </c>
      <c r="B749" s="1268"/>
      <c r="C749" s="1197"/>
      <c r="D749" s="1174" t="s">
        <v>999</v>
      </c>
      <c r="E749" s="1217"/>
      <c r="F749" s="1269"/>
      <c r="G749" s="1270"/>
      <c r="H749" s="1271"/>
      <c r="I749" s="1178">
        <f t="shared" si="153"/>
        <v>0</v>
      </c>
      <c r="J749" s="1274"/>
      <c r="K749" s="1274"/>
      <c r="L749" s="1171"/>
      <c r="M749" s="1274"/>
      <c r="N749" s="1273"/>
    </row>
    <row r="750" spans="1:16" s="431" customFormat="1" x14ac:dyDescent="0.3">
      <c r="A750" s="184">
        <v>740</v>
      </c>
      <c r="B750" s="1268"/>
      <c r="C750" s="1197"/>
      <c r="D750" s="1163" t="s">
        <v>1116</v>
      </c>
      <c r="E750" s="1217"/>
      <c r="F750" s="1269"/>
      <c r="G750" s="1270"/>
      <c r="H750" s="1271"/>
      <c r="I750" s="1170">
        <f t="shared" si="153"/>
        <v>2800</v>
      </c>
      <c r="J750" s="1274"/>
      <c r="K750" s="1274"/>
      <c r="L750" s="1171">
        <f>SUM(L748:L749)</f>
        <v>2800</v>
      </c>
      <c r="M750" s="1274"/>
      <c r="N750" s="1273"/>
    </row>
    <row r="751" spans="1:16" s="431" customFormat="1" x14ac:dyDescent="0.3">
      <c r="A751" s="184">
        <v>741</v>
      </c>
      <c r="B751" s="1252"/>
      <c r="C751" s="1182">
        <v>125</v>
      </c>
      <c r="D751" s="1163" t="s">
        <v>393</v>
      </c>
      <c r="E751" s="1164"/>
      <c r="F751" s="1276"/>
      <c r="G751" s="1165"/>
      <c r="H751" s="1166" t="s">
        <v>24</v>
      </c>
      <c r="I751" s="1170"/>
      <c r="J751" s="1168"/>
      <c r="K751" s="1168"/>
      <c r="L751" s="1168"/>
      <c r="M751" s="1168"/>
      <c r="N751" s="1169"/>
    </row>
    <row r="752" spans="1:16" s="431" customFormat="1" x14ac:dyDescent="0.3">
      <c r="A752" s="184">
        <v>742</v>
      </c>
      <c r="B752" s="1280"/>
      <c r="C752" s="1281"/>
      <c r="D752" s="1190" t="s">
        <v>311</v>
      </c>
      <c r="E752" s="1217"/>
      <c r="F752" s="1269"/>
      <c r="G752" s="1277">
        <v>6531</v>
      </c>
      <c r="H752" s="1219"/>
      <c r="I752" s="1191">
        <f>SUM(J752:N752)</f>
        <v>13969</v>
      </c>
      <c r="J752" s="1220"/>
      <c r="K752" s="1220"/>
      <c r="L752" s="1220"/>
      <c r="M752" s="1220"/>
      <c r="N752" s="1221">
        <f>1969+12000</f>
        <v>13969</v>
      </c>
    </row>
    <row r="753" spans="1:16" s="431" customFormat="1" x14ac:dyDescent="0.3">
      <c r="A753" s="184">
        <v>743</v>
      </c>
      <c r="B753" s="1280"/>
      <c r="C753" s="1281"/>
      <c r="D753" s="1163" t="s">
        <v>1064</v>
      </c>
      <c r="E753" s="1217"/>
      <c r="F753" s="1269"/>
      <c r="G753" s="1277"/>
      <c r="H753" s="1219"/>
      <c r="I753" s="1170">
        <f t="shared" ref="I753:I755" si="154">SUM(J753:N753)</f>
        <v>13969</v>
      </c>
      <c r="J753" s="1220"/>
      <c r="K753" s="1220"/>
      <c r="L753" s="1220"/>
      <c r="M753" s="1220"/>
      <c r="N753" s="1223">
        <v>13969</v>
      </c>
    </row>
    <row r="754" spans="1:16" s="7" customFormat="1" ht="16.5" x14ac:dyDescent="0.3">
      <c r="A754" s="184">
        <v>744</v>
      </c>
      <c r="B754" s="1280"/>
      <c r="C754" s="1281"/>
      <c r="D754" s="1174" t="s">
        <v>999</v>
      </c>
      <c r="E754" s="1217"/>
      <c r="F754" s="1269"/>
      <c r="G754" s="1218"/>
      <c r="H754" s="1219"/>
      <c r="I754" s="1178">
        <f t="shared" si="154"/>
        <v>0</v>
      </c>
      <c r="J754" s="1171"/>
      <c r="K754" s="1171"/>
      <c r="L754" s="1171"/>
      <c r="M754" s="1171"/>
      <c r="N754" s="1223"/>
    </row>
    <row r="755" spans="1:16" s="431" customFormat="1" x14ac:dyDescent="0.3">
      <c r="A755" s="184">
        <v>745</v>
      </c>
      <c r="B755" s="1280"/>
      <c r="C755" s="1281"/>
      <c r="D755" s="1163" t="s">
        <v>1116</v>
      </c>
      <c r="E755" s="1217"/>
      <c r="F755" s="1269"/>
      <c r="G755" s="1218"/>
      <c r="H755" s="1219"/>
      <c r="I755" s="1170">
        <f t="shared" si="154"/>
        <v>13969</v>
      </c>
      <c r="J755" s="1171"/>
      <c r="K755" s="1171"/>
      <c r="L755" s="1171"/>
      <c r="M755" s="1171"/>
      <c r="N755" s="1223">
        <f>SUM(N753:N754)</f>
        <v>13969</v>
      </c>
    </row>
    <row r="756" spans="1:16" s="431" customFormat="1" x14ac:dyDescent="0.3">
      <c r="A756" s="184">
        <v>746</v>
      </c>
      <c r="B756" s="1252"/>
      <c r="C756" s="1182">
        <v>126</v>
      </c>
      <c r="D756" s="1163" t="s">
        <v>841</v>
      </c>
      <c r="E756" s="1164"/>
      <c r="F756" s="1276"/>
      <c r="G756" s="1165"/>
      <c r="H756" s="1166" t="s">
        <v>23</v>
      </c>
      <c r="I756" s="1170"/>
      <c r="J756" s="1168"/>
      <c r="K756" s="1168"/>
      <c r="L756" s="1168"/>
      <c r="M756" s="1168"/>
      <c r="N756" s="1169"/>
    </row>
    <row r="757" spans="1:16" s="431" customFormat="1" x14ac:dyDescent="0.3">
      <c r="A757" s="184">
        <v>747</v>
      </c>
      <c r="B757" s="1280"/>
      <c r="C757" s="1281"/>
      <c r="D757" s="1190" t="s">
        <v>311</v>
      </c>
      <c r="E757" s="1217"/>
      <c r="F757" s="1269"/>
      <c r="G757" s="1218"/>
      <c r="H757" s="1219"/>
      <c r="I757" s="1191">
        <f>SUM(J757:N757)</f>
        <v>41912</v>
      </c>
      <c r="J757" s="1220"/>
      <c r="K757" s="1220"/>
      <c r="L757" s="1220">
        <v>41912</v>
      </c>
      <c r="M757" s="1220"/>
      <c r="N757" s="1221"/>
    </row>
    <row r="758" spans="1:16" s="431" customFormat="1" x14ac:dyDescent="0.3">
      <c r="A758" s="184">
        <v>748</v>
      </c>
      <c r="B758" s="1280"/>
      <c r="C758" s="1281"/>
      <c r="D758" s="1163" t="s">
        <v>1064</v>
      </c>
      <c r="E758" s="1217"/>
      <c r="F758" s="1269"/>
      <c r="G758" s="1218"/>
      <c r="H758" s="1219"/>
      <c r="I758" s="1170">
        <f t="shared" ref="I758:I760" si="155">SUM(J758:N758)</f>
        <v>41912</v>
      </c>
      <c r="J758" s="1220"/>
      <c r="K758" s="1220"/>
      <c r="L758" s="1171">
        <v>41912</v>
      </c>
      <c r="M758" s="1220"/>
      <c r="N758" s="1221"/>
    </row>
    <row r="759" spans="1:16" s="7" customFormat="1" ht="16.5" x14ac:dyDescent="0.3">
      <c r="A759" s="184">
        <v>749</v>
      </c>
      <c r="B759" s="1280"/>
      <c r="C759" s="1281"/>
      <c r="D759" s="1174" t="s">
        <v>999</v>
      </c>
      <c r="E759" s="1217"/>
      <c r="F759" s="1269"/>
      <c r="G759" s="1218"/>
      <c r="H759" s="1219"/>
      <c r="I759" s="1178">
        <f t="shared" si="155"/>
        <v>0</v>
      </c>
      <c r="J759" s="1171"/>
      <c r="K759" s="1171"/>
      <c r="L759" s="1171"/>
      <c r="M759" s="1171"/>
      <c r="N759" s="1223"/>
    </row>
    <row r="760" spans="1:16" s="431" customFormat="1" x14ac:dyDescent="0.3">
      <c r="A760" s="184">
        <v>750</v>
      </c>
      <c r="B760" s="1280"/>
      <c r="C760" s="1281"/>
      <c r="D760" s="1163" t="s">
        <v>1116</v>
      </c>
      <c r="E760" s="1217"/>
      <c r="F760" s="1269"/>
      <c r="G760" s="1218"/>
      <c r="H760" s="1219"/>
      <c r="I760" s="1170">
        <f t="shared" si="155"/>
        <v>41912</v>
      </c>
      <c r="J760" s="1171"/>
      <c r="K760" s="1171"/>
      <c r="L760" s="1171">
        <f>SUM(L758:L759)</f>
        <v>41912</v>
      </c>
      <c r="M760" s="1171"/>
      <c r="N760" s="1223"/>
    </row>
    <row r="761" spans="1:16" s="431" customFormat="1" x14ac:dyDescent="0.3">
      <c r="A761" s="184">
        <v>751</v>
      </c>
      <c r="B761" s="1252"/>
      <c r="C761" s="1182">
        <v>127</v>
      </c>
      <c r="D761" s="1163" t="s">
        <v>507</v>
      </c>
      <c r="E761" s="1164"/>
      <c r="F761" s="1276"/>
      <c r="G761" s="1165"/>
      <c r="H761" s="1177" t="s">
        <v>24</v>
      </c>
      <c r="I761" s="1170"/>
      <c r="J761" s="1168"/>
      <c r="K761" s="1168"/>
      <c r="L761" s="1168"/>
      <c r="M761" s="1168"/>
      <c r="N761" s="1169"/>
    </row>
    <row r="762" spans="1:16" s="431" customFormat="1" x14ac:dyDescent="0.3">
      <c r="A762" s="184">
        <v>752</v>
      </c>
      <c r="B762" s="1280"/>
      <c r="C762" s="1281"/>
      <c r="D762" s="1190" t="s">
        <v>311</v>
      </c>
      <c r="E762" s="1217"/>
      <c r="F762" s="1269"/>
      <c r="G762" s="1277">
        <v>268</v>
      </c>
      <c r="H762" s="1200"/>
      <c r="I762" s="1191">
        <f>SUM(J762:N762)</f>
        <v>509</v>
      </c>
      <c r="J762" s="1220"/>
      <c r="K762" s="1220"/>
      <c r="L762" s="1220">
        <v>509</v>
      </c>
      <c r="M762" s="1220"/>
      <c r="N762" s="1221"/>
    </row>
    <row r="763" spans="1:16" s="431" customFormat="1" x14ac:dyDescent="0.3">
      <c r="A763" s="184">
        <v>753</v>
      </c>
      <c r="B763" s="1280"/>
      <c r="C763" s="1281"/>
      <c r="D763" s="1163" t="s">
        <v>1064</v>
      </c>
      <c r="E763" s="1217"/>
      <c r="F763" s="1269"/>
      <c r="G763" s="1277"/>
      <c r="H763" s="1219"/>
      <c r="I763" s="1170">
        <f t="shared" ref="I763:I765" si="156">SUM(J763:N763)</f>
        <v>509</v>
      </c>
      <c r="J763" s="1220"/>
      <c r="K763" s="1220"/>
      <c r="L763" s="1171">
        <v>509</v>
      </c>
      <c r="M763" s="1220"/>
      <c r="N763" s="1221"/>
    </row>
    <row r="764" spans="1:16" s="3" customFormat="1" ht="16.5" x14ac:dyDescent="0.3">
      <c r="A764" s="184">
        <v>754</v>
      </c>
      <c r="B764" s="1280"/>
      <c r="C764" s="1281"/>
      <c r="D764" s="1174" t="s">
        <v>999</v>
      </c>
      <c r="E764" s="1217"/>
      <c r="F764" s="1269"/>
      <c r="G764" s="1277"/>
      <c r="H764" s="1219"/>
      <c r="I764" s="1178">
        <f t="shared" si="156"/>
        <v>0</v>
      </c>
      <c r="J764" s="1171"/>
      <c r="K764" s="1171"/>
      <c r="L764" s="1171"/>
      <c r="M764" s="1171"/>
      <c r="N764" s="1223"/>
      <c r="O764" s="7"/>
      <c r="P764" s="7"/>
    </row>
    <row r="765" spans="1:16" s="432" customFormat="1" x14ac:dyDescent="0.35">
      <c r="A765" s="184">
        <v>755</v>
      </c>
      <c r="B765" s="1280"/>
      <c r="C765" s="1281"/>
      <c r="D765" s="1163" t="s">
        <v>1116</v>
      </c>
      <c r="E765" s="1217"/>
      <c r="F765" s="1269"/>
      <c r="G765" s="1277"/>
      <c r="H765" s="1219"/>
      <c r="I765" s="1170">
        <f t="shared" si="156"/>
        <v>509</v>
      </c>
      <c r="J765" s="1171"/>
      <c r="K765" s="1171"/>
      <c r="L765" s="1171">
        <f>SUM(L763:L764)</f>
        <v>509</v>
      </c>
      <c r="M765" s="1171"/>
      <c r="N765" s="1223"/>
      <c r="O765" s="431"/>
      <c r="P765" s="431"/>
    </row>
    <row r="766" spans="1:16" s="432" customFormat="1" x14ac:dyDescent="0.35">
      <c r="A766" s="184">
        <v>756</v>
      </c>
      <c r="B766" s="1250"/>
      <c r="C766" s="1182">
        <v>128</v>
      </c>
      <c r="D766" s="1163" t="s">
        <v>725</v>
      </c>
      <c r="E766" s="1164"/>
      <c r="F766" s="1164"/>
      <c r="G766" s="1277"/>
      <c r="H766" s="1166" t="s">
        <v>24</v>
      </c>
      <c r="I766" s="1170"/>
      <c r="J766" s="1168"/>
      <c r="K766" s="1168"/>
      <c r="L766" s="1168"/>
      <c r="M766" s="1168"/>
      <c r="N766" s="1169"/>
      <c r="O766" s="431"/>
      <c r="P766" s="431"/>
    </row>
    <row r="767" spans="1:16" s="432" customFormat="1" x14ac:dyDescent="0.35">
      <c r="A767" s="184">
        <v>757</v>
      </c>
      <c r="B767" s="1251"/>
      <c r="C767" s="1281"/>
      <c r="D767" s="1190" t="s">
        <v>311</v>
      </c>
      <c r="E767" s="1217"/>
      <c r="F767" s="1217"/>
      <c r="G767" s="1277">
        <v>698</v>
      </c>
      <c r="H767" s="1219"/>
      <c r="I767" s="1191">
        <f>SUM(J767:N767)</f>
        <v>687</v>
      </c>
      <c r="J767" s="1220"/>
      <c r="K767" s="1220"/>
      <c r="L767" s="1220">
        <v>687</v>
      </c>
      <c r="M767" s="1220"/>
      <c r="N767" s="1221"/>
      <c r="O767" s="431"/>
      <c r="P767" s="431"/>
    </row>
    <row r="768" spans="1:16" s="432" customFormat="1" x14ac:dyDescent="0.35">
      <c r="A768" s="184">
        <v>758</v>
      </c>
      <c r="B768" s="1251"/>
      <c r="C768" s="1281"/>
      <c r="D768" s="1163" t="s">
        <v>1064</v>
      </c>
      <c r="E768" s="1217"/>
      <c r="F768" s="1217"/>
      <c r="G768" s="1277"/>
      <c r="H768" s="1219"/>
      <c r="I768" s="1170">
        <f t="shared" ref="I768:I770" si="157">SUM(J768:N768)</f>
        <v>687</v>
      </c>
      <c r="J768" s="1220"/>
      <c r="K768" s="1220"/>
      <c r="L768" s="1171">
        <v>687</v>
      </c>
      <c r="M768" s="1220"/>
      <c r="N768" s="1221"/>
      <c r="O768" s="431"/>
      <c r="P768" s="431"/>
    </row>
    <row r="769" spans="1:16" s="3" customFormat="1" ht="16.5" x14ac:dyDescent="0.3">
      <c r="A769" s="184">
        <v>759</v>
      </c>
      <c r="B769" s="1251"/>
      <c r="C769" s="1281"/>
      <c r="D769" s="1174" t="s">
        <v>999</v>
      </c>
      <c r="E769" s="1217"/>
      <c r="F769" s="1217"/>
      <c r="G769" s="1277"/>
      <c r="H769" s="1219"/>
      <c r="I769" s="1178">
        <f t="shared" si="157"/>
        <v>0</v>
      </c>
      <c r="J769" s="1171"/>
      <c r="K769" s="1171"/>
      <c r="L769" s="1171"/>
      <c r="M769" s="1171"/>
      <c r="N769" s="1223"/>
      <c r="O769" s="7"/>
      <c r="P769" s="7"/>
    </row>
    <row r="770" spans="1:16" s="432" customFormat="1" x14ac:dyDescent="0.35">
      <c r="A770" s="184">
        <v>760</v>
      </c>
      <c r="B770" s="1251"/>
      <c r="C770" s="1281"/>
      <c r="D770" s="1163" t="s">
        <v>1116</v>
      </c>
      <c r="E770" s="1217"/>
      <c r="F770" s="1217"/>
      <c r="G770" s="1277"/>
      <c r="H770" s="1219"/>
      <c r="I770" s="1170">
        <f t="shared" si="157"/>
        <v>687</v>
      </c>
      <c r="J770" s="1171"/>
      <c r="K770" s="1171"/>
      <c r="L770" s="1171">
        <f>SUM(L768:L769)</f>
        <v>687</v>
      </c>
      <c r="M770" s="1171"/>
      <c r="N770" s="1223"/>
      <c r="O770" s="431"/>
      <c r="P770" s="431"/>
    </row>
    <row r="771" spans="1:16" s="432" customFormat="1" x14ac:dyDescent="0.35">
      <c r="A771" s="184">
        <v>761</v>
      </c>
      <c r="B771" s="1250"/>
      <c r="C771" s="1182">
        <v>129</v>
      </c>
      <c r="D771" s="1163" t="s">
        <v>726</v>
      </c>
      <c r="E771" s="1164"/>
      <c r="F771" s="1164"/>
      <c r="G771" s="1277"/>
      <c r="H771" s="1166" t="s">
        <v>24</v>
      </c>
      <c r="I771" s="1170"/>
      <c r="J771" s="1168"/>
      <c r="K771" s="1168"/>
      <c r="L771" s="1168"/>
      <c r="M771" s="1168"/>
      <c r="N771" s="1169"/>
      <c r="O771" s="431"/>
      <c r="P771" s="431"/>
    </row>
    <row r="772" spans="1:16" s="432" customFormat="1" x14ac:dyDescent="0.35">
      <c r="A772" s="184">
        <v>762</v>
      </c>
      <c r="B772" s="1251"/>
      <c r="C772" s="1281"/>
      <c r="D772" s="1190" t="s">
        <v>311</v>
      </c>
      <c r="E772" s="1217"/>
      <c r="F772" s="1217"/>
      <c r="G772" s="1277"/>
      <c r="H772" s="1219"/>
      <c r="I772" s="1191">
        <f>SUM(J772:N772)</f>
        <v>4000</v>
      </c>
      <c r="J772" s="1220"/>
      <c r="K772" s="1220"/>
      <c r="L772" s="1220">
        <v>4000</v>
      </c>
      <c r="M772" s="1220"/>
      <c r="N772" s="1221"/>
      <c r="O772" s="431"/>
      <c r="P772" s="431"/>
    </row>
    <row r="773" spans="1:16" s="432" customFormat="1" x14ac:dyDescent="0.35">
      <c r="A773" s="184">
        <v>763</v>
      </c>
      <c r="B773" s="1251"/>
      <c r="C773" s="1281"/>
      <c r="D773" s="1163" t="s">
        <v>1064</v>
      </c>
      <c r="E773" s="1217"/>
      <c r="F773" s="1217"/>
      <c r="G773" s="1277"/>
      <c r="H773" s="1219"/>
      <c r="I773" s="1170">
        <f t="shared" ref="I773:I775" si="158">SUM(J773:N773)</f>
        <v>0</v>
      </c>
      <c r="J773" s="1220"/>
      <c r="K773" s="1220"/>
      <c r="L773" s="1171">
        <v>0</v>
      </c>
      <c r="M773" s="1220"/>
      <c r="N773" s="1221"/>
      <c r="O773" s="431"/>
      <c r="P773" s="431"/>
    </row>
    <row r="774" spans="1:16" s="3" customFormat="1" ht="16.5" x14ac:dyDescent="0.3">
      <c r="A774" s="184">
        <v>764</v>
      </c>
      <c r="B774" s="1251"/>
      <c r="C774" s="1281"/>
      <c r="D774" s="1174" t="s">
        <v>990</v>
      </c>
      <c r="E774" s="1217"/>
      <c r="F774" s="1217"/>
      <c r="G774" s="1277"/>
      <c r="H774" s="1219"/>
      <c r="I774" s="1178">
        <f t="shared" si="158"/>
        <v>0</v>
      </c>
      <c r="J774" s="1171"/>
      <c r="K774" s="1171"/>
      <c r="L774" s="1179"/>
      <c r="M774" s="1220"/>
      <c r="N774" s="1221"/>
      <c r="O774" s="7"/>
      <c r="P774" s="7"/>
    </row>
    <row r="775" spans="1:16" s="432" customFormat="1" x14ac:dyDescent="0.35">
      <c r="A775" s="184">
        <v>765</v>
      </c>
      <c r="B775" s="1251"/>
      <c r="C775" s="1281"/>
      <c r="D775" s="1163" t="s">
        <v>1116</v>
      </c>
      <c r="E775" s="1217"/>
      <c r="F775" s="1217"/>
      <c r="G775" s="1277"/>
      <c r="H775" s="1219"/>
      <c r="I775" s="1170">
        <f t="shared" si="158"/>
        <v>0</v>
      </c>
      <c r="J775" s="1171"/>
      <c r="K775" s="1171"/>
      <c r="L775" s="1171">
        <f>SUM(L773:L774)</f>
        <v>0</v>
      </c>
      <c r="M775" s="1220"/>
      <c r="N775" s="1221"/>
      <c r="O775" s="431"/>
      <c r="P775" s="431"/>
    </row>
    <row r="776" spans="1:16" s="432" customFormat="1" x14ac:dyDescent="0.35">
      <c r="A776" s="184">
        <v>766</v>
      </c>
      <c r="B776" s="1250"/>
      <c r="C776" s="1182">
        <v>130</v>
      </c>
      <c r="D776" s="1163" t="s">
        <v>727</v>
      </c>
      <c r="E776" s="1164"/>
      <c r="F776" s="1164"/>
      <c r="G776" s="1277"/>
      <c r="H776" s="1166" t="s">
        <v>24</v>
      </c>
      <c r="I776" s="1170"/>
      <c r="J776" s="1168"/>
      <c r="K776" s="1168"/>
      <c r="L776" s="1168"/>
      <c r="M776" s="1168"/>
      <c r="N776" s="1169"/>
      <c r="O776" s="431"/>
      <c r="P776" s="431"/>
    </row>
    <row r="777" spans="1:16" s="432" customFormat="1" x14ac:dyDescent="0.35">
      <c r="A777" s="184">
        <v>767</v>
      </c>
      <c r="B777" s="1251"/>
      <c r="C777" s="1281"/>
      <c r="D777" s="1190" t="s">
        <v>311</v>
      </c>
      <c r="E777" s="1217"/>
      <c r="F777" s="1217"/>
      <c r="G777" s="1277">
        <v>4389</v>
      </c>
      <c r="H777" s="1219"/>
      <c r="I777" s="1191">
        <f>SUM(J777:N777)</f>
        <v>1811</v>
      </c>
      <c r="J777" s="1220"/>
      <c r="K777" s="1220"/>
      <c r="L777" s="1220">
        <v>1811</v>
      </c>
      <c r="M777" s="1220"/>
      <c r="N777" s="1221"/>
      <c r="O777" s="431"/>
      <c r="P777" s="431"/>
    </row>
    <row r="778" spans="1:16" s="432" customFormat="1" x14ac:dyDescent="0.35">
      <c r="A778" s="184">
        <v>768</v>
      </c>
      <c r="B778" s="1251"/>
      <c r="C778" s="1281"/>
      <c r="D778" s="1163" t="s">
        <v>1064</v>
      </c>
      <c r="E778" s="1217"/>
      <c r="F778" s="1217"/>
      <c r="G778" s="1277"/>
      <c r="H778" s="1219"/>
      <c r="I778" s="1170">
        <f t="shared" ref="I778:I780" si="159">SUM(J778:N778)</f>
        <v>0</v>
      </c>
      <c r="J778" s="1220"/>
      <c r="K778" s="1220"/>
      <c r="L778" s="1171">
        <v>0</v>
      </c>
      <c r="M778" s="1220"/>
      <c r="N778" s="1221"/>
      <c r="O778" s="431"/>
      <c r="P778" s="431"/>
    </row>
    <row r="779" spans="1:16" s="7" customFormat="1" ht="16.5" x14ac:dyDescent="0.3">
      <c r="A779" s="184">
        <v>769</v>
      </c>
      <c r="B779" s="1251"/>
      <c r="C779" s="1281"/>
      <c r="D779" s="1174" t="s">
        <v>999</v>
      </c>
      <c r="E779" s="1217"/>
      <c r="F779" s="1217"/>
      <c r="G779" s="1277"/>
      <c r="H779" s="1219"/>
      <c r="I779" s="1178">
        <f t="shared" si="159"/>
        <v>0</v>
      </c>
      <c r="J779" s="1171"/>
      <c r="K779" s="1171"/>
      <c r="L779" s="1179"/>
      <c r="M779" s="1220"/>
      <c r="N779" s="1221"/>
    </row>
    <row r="780" spans="1:16" s="431" customFormat="1" x14ac:dyDescent="0.3">
      <c r="A780" s="184">
        <v>770</v>
      </c>
      <c r="B780" s="1251"/>
      <c r="C780" s="1281"/>
      <c r="D780" s="1163" t="s">
        <v>1116</v>
      </c>
      <c r="E780" s="1217"/>
      <c r="F780" s="1217"/>
      <c r="G780" s="1277"/>
      <c r="H780" s="1219"/>
      <c r="I780" s="1170">
        <f t="shared" si="159"/>
        <v>0</v>
      </c>
      <c r="J780" s="1171"/>
      <c r="K780" s="1171"/>
      <c r="L780" s="1171">
        <f>SUM(L778:L779)</f>
        <v>0</v>
      </c>
      <c r="M780" s="1220"/>
      <c r="N780" s="1221"/>
    </row>
    <row r="781" spans="1:16" s="431" customFormat="1" x14ac:dyDescent="0.3">
      <c r="A781" s="184">
        <v>771</v>
      </c>
      <c r="B781" s="1252"/>
      <c r="C781" s="1182">
        <v>131</v>
      </c>
      <c r="D781" s="1163" t="s">
        <v>571</v>
      </c>
      <c r="E781" s="1164"/>
      <c r="F781" s="1276"/>
      <c r="G781" s="1277"/>
      <c r="H781" s="1177" t="s">
        <v>24</v>
      </c>
      <c r="I781" s="1170"/>
      <c r="J781" s="1168"/>
      <c r="K781" s="1168"/>
      <c r="L781" s="1168"/>
      <c r="M781" s="1168"/>
      <c r="N781" s="1169"/>
    </row>
    <row r="782" spans="1:16" s="431" customFormat="1" x14ac:dyDescent="0.3">
      <c r="A782" s="184">
        <v>772</v>
      </c>
      <c r="B782" s="1280"/>
      <c r="C782" s="1281"/>
      <c r="D782" s="1190" t="s">
        <v>311</v>
      </c>
      <c r="E782" s="1217"/>
      <c r="F782" s="1269"/>
      <c r="G782" s="1277"/>
      <c r="H782" s="1200"/>
      <c r="I782" s="1191">
        <f>SUM(J782:N782)</f>
        <v>377</v>
      </c>
      <c r="J782" s="1220"/>
      <c r="K782" s="1220"/>
      <c r="L782" s="1220">
        <v>377</v>
      </c>
      <c r="M782" s="1220"/>
      <c r="N782" s="1221"/>
    </row>
    <row r="783" spans="1:16" s="431" customFormat="1" x14ac:dyDescent="0.3">
      <c r="A783" s="184">
        <v>773</v>
      </c>
      <c r="B783" s="1280"/>
      <c r="C783" s="1281"/>
      <c r="D783" s="1163" t="s">
        <v>1064</v>
      </c>
      <c r="E783" s="1217"/>
      <c r="F783" s="1269"/>
      <c r="G783" s="1277"/>
      <c r="H783" s="1200"/>
      <c r="I783" s="1170">
        <f t="shared" ref="I783:I785" si="160">SUM(J783:N783)</f>
        <v>0</v>
      </c>
      <c r="J783" s="1220"/>
      <c r="K783" s="1220"/>
      <c r="L783" s="1171">
        <v>0</v>
      </c>
      <c r="M783" s="1220"/>
      <c r="N783" s="1221"/>
    </row>
    <row r="784" spans="1:16" s="3" customFormat="1" ht="16.5" x14ac:dyDescent="0.3">
      <c r="A784" s="184">
        <v>774</v>
      </c>
      <c r="B784" s="1280"/>
      <c r="C784" s="1281"/>
      <c r="D784" s="1174" t="s">
        <v>1012</v>
      </c>
      <c r="E784" s="1217"/>
      <c r="F784" s="1269"/>
      <c r="G784" s="1277"/>
      <c r="H784" s="1200"/>
      <c r="I784" s="1178">
        <f t="shared" si="160"/>
        <v>0</v>
      </c>
      <c r="J784" s="1171"/>
      <c r="K784" s="1171"/>
      <c r="L784" s="1274"/>
      <c r="M784" s="1220"/>
      <c r="N784" s="1221"/>
      <c r="O784" s="7"/>
      <c r="P784" s="7"/>
    </row>
    <row r="785" spans="1:16" s="432" customFormat="1" x14ac:dyDescent="0.35">
      <c r="A785" s="184">
        <v>775</v>
      </c>
      <c r="B785" s="1280"/>
      <c r="C785" s="1281"/>
      <c r="D785" s="1163" t="s">
        <v>1116</v>
      </c>
      <c r="E785" s="1217"/>
      <c r="F785" s="1269"/>
      <c r="G785" s="1277"/>
      <c r="H785" s="1200"/>
      <c r="I785" s="1170">
        <f t="shared" si="160"/>
        <v>0</v>
      </c>
      <c r="J785" s="1171"/>
      <c r="K785" s="1171"/>
      <c r="L785" s="1171">
        <f>SUM(L783:L784)</f>
        <v>0</v>
      </c>
      <c r="M785" s="1220"/>
      <c r="N785" s="1221"/>
      <c r="O785" s="431"/>
      <c r="P785" s="431"/>
    </row>
    <row r="786" spans="1:16" s="432" customFormat="1" x14ac:dyDescent="0.35">
      <c r="A786" s="184">
        <v>776</v>
      </c>
      <c r="B786" s="1172"/>
      <c r="C786" s="1182">
        <v>132</v>
      </c>
      <c r="D786" s="1163" t="s">
        <v>275</v>
      </c>
      <c r="E786" s="1175"/>
      <c r="F786" s="1175"/>
      <c r="G786" s="1207"/>
      <c r="H786" s="1177" t="s">
        <v>24</v>
      </c>
      <c r="I786" s="1187"/>
      <c r="J786" s="1188"/>
      <c r="K786" s="1188"/>
      <c r="L786" s="1188"/>
      <c r="M786" s="1188"/>
      <c r="N786" s="1189"/>
      <c r="O786" s="431"/>
      <c r="P786" s="431"/>
    </row>
    <row r="787" spans="1:16" s="432" customFormat="1" x14ac:dyDescent="0.35">
      <c r="A787" s="184">
        <v>777</v>
      </c>
      <c r="B787" s="1196"/>
      <c r="C787" s="1281"/>
      <c r="D787" s="1282" t="s">
        <v>311</v>
      </c>
      <c r="E787" s="1198"/>
      <c r="F787" s="1198"/>
      <c r="G787" s="1207"/>
      <c r="H787" s="1200"/>
      <c r="I787" s="1191">
        <f>SUM(J787:N787)</f>
        <v>1210</v>
      </c>
      <c r="J787" s="1243"/>
      <c r="K787" s="1243"/>
      <c r="L787" s="1243">
        <v>1210</v>
      </c>
      <c r="M787" s="1243"/>
      <c r="N787" s="1283"/>
      <c r="O787" s="431"/>
      <c r="P787" s="431"/>
    </row>
    <row r="788" spans="1:16" s="432" customFormat="1" x14ac:dyDescent="0.35">
      <c r="A788" s="184">
        <v>778</v>
      </c>
      <c r="B788" s="1196"/>
      <c r="C788" s="1281"/>
      <c r="D788" s="1163" t="s">
        <v>1064</v>
      </c>
      <c r="E788" s="1198"/>
      <c r="F788" s="1198"/>
      <c r="G788" s="1207"/>
      <c r="H788" s="1200"/>
      <c r="I788" s="1170">
        <f t="shared" ref="I788:I790" si="161">SUM(J788:N788)</f>
        <v>1210</v>
      </c>
      <c r="J788" s="1243"/>
      <c r="K788" s="1243"/>
      <c r="L788" s="1244">
        <v>1210</v>
      </c>
      <c r="M788" s="1243"/>
      <c r="N788" s="1283"/>
      <c r="O788" s="431"/>
      <c r="P788" s="431"/>
    </row>
    <row r="789" spans="1:16" s="3" customFormat="1" ht="16.5" x14ac:dyDescent="0.3">
      <c r="A789" s="184">
        <v>779</v>
      </c>
      <c r="B789" s="1196"/>
      <c r="C789" s="1281"/>
      <c r="D789" s="1174" t="s">
        <v>999</v>
      </c>
      <c r="E789" s="1198"/>
      <c r="F789" s="1198"/>
      <c r="G789" s="1207"/>
      <c r="H789" s="1200"/>
      <c r="I789" s="1178">
        <f t="shared" si="161"/>
        <v>0</v>
      </c>
      <c r="J789" s="1244"/>
      <c r="K789" s="1244"/>
      <c r="L789" s="1244"/>
      <c r="M789" s="1243"/>
      <c r="N789" s="1283"/>
      <c r="O789" s="7"/>
      <c r="P789" s="7"/>
    </row>
    <row r="790" spans="1:16" s="432" customFormat="1" x14ac:dyDescent="0.35">
      <c r="A790" s="184">
        <v>780</v>
      </c>
      <c r="B790" s="1196"/>
      <c r="C790" s="1281"/>
      <c r="D790" s="1163" t="s">
        <v>1116</v>
      </c>
      <c r="E790" s="1198"/>
      <c r="F790" s="1198"/>
      <c r="G790" s="1207"/>
      <c r="H790" s="1200"/>
      <c r="I790" s="1170">
        <f t="shared" si="161"/>
        <v>1210</v>
      </c>
      <c r="J790" s="1244"/>
      <c r="K790" s="1244"/>
      <c r="L790" s="1244">
        <f>SUM(L788:L789)</f>
        <v>1210</v>
      </c>
      <c r="M790" s="1243"/>
      <c r="N790" s="1283"/>
      <c r="O790" s="431"/>
      <c r="P790" s="431"/>
    </row>
    <row r="791" spans="1:16" s="432" customFormat="1" x14ac:dyDescent="0.35">
      <c r="A791" s="184">
        <v>781</v>
      </c>
      <c r="B791" s="1172"/>
      <c r="C791" s="1182">
        <v>133</v>
      </c>
      <c r="D791" s="1163" t="s">
        <v>1013</v>
      </c>
      <c r="E791" s="1175"/>
      <c r="F791" s="1175"/>
      <c r="G791" s="1207"/>
      <c r="H791" s="1177" t="s">
        <v>24</v>
      </c>
      <c r="I791" s="1187"/>
      <c r="J791" s="1188"/>
      <c r="K791" s="1188"/>
      <c r="L791" s="1188"/>
      <c r="M791" s="1188"/>
      <c r="N791" s="1189"/>
      <c r="O791" s="431"/>
      <c r="P791" s="431"/>
    </row>
    <row r="792" spans="1:16" s="432" customFormat="1" x14ac:dyDescent="0.35">
      <c r="A792" s="184">
        <v>782</v>
      </c>
      <c r="B792" s="1196"/>
      <c r="C792" s="1281"/>
      <c r="D792" s="1282" t="s">
        <v>311</v>
      </c>
      <c r="E792" s="1198"/>
      <c r="F792" s="1198"/>
      <c r="G792" s="1207"/>
      <c r="H792" s="1200"/>
      <c r="I792" s="1191">
        <f>SUM(J792:N792)</f>
        <v>1254</v>
      </c>
      <c r="J792" s="1243"/>
      <c r="K792" s="1243"/>
      <c r="L792" s="1243">
        <v>1254</v>
      </c>
      <c r="M792" s="1243"/>
      <c r="N792" s="1283"/>
      <c r="O792" s="431"/>
      <c r="P792" s="431"/>
    </row>
    <row r="793" spans="1:16" s="432" customFormat="1" x14ac:dyDescent="0.35">
      <c r="A793" s="184">
        <v>783</v>
      </c>
      <c r="B793" s="1196"/>
      <c r="C793" s="1281"/>
      <c r="D793" s="1163" t="s">
        <v>1064</v>
      </c>
      <c r="E793" s="1198"/>
      <c r="F793" s="1198"/>
      <c r="G793" s="1207"/>
      <c r="H793" s="1200"/>
      <c r="I793" s="1170">
        <f t="shared" ref="I793:I795" si="162">SUM(J793:N793)</f>
        <v>1254</v>
      </c>
      <c r="J793" s="1243"/>
      <c r="K793" s="1243"/>
      <c r="L793" s="1244">
        <v>1254</v>
      </c>
      <c r="M793" s="1243"/>
      <c r="N793" s="1283"/>
      <c r="O793" s="431"/>
      <c r="P793" s="431"/>
    </row>
    <row r="794" spans="1:16" s="3" customFormat="1" ht="16.5" x14ac:dyDescent="0.3">
      <c r="A794" s="184">
        <v>784</v>
      </c>
      <c r="B794" s="1196"/>
      <c r="C794" s="1281"/>
      <c r="D794" s="1174" t="s">
        <v>999</v>
      </c>
      <c r="E794" s="1198"/>
      <c r="F794" s="1198"/>
      <c r="G794" s="1207"/>
      <c r="H794" s="1200"/>
      <c r="I794" s="1178">
        <f t="shared" si="162"/>
        <v>0</v>
      </c>
      <c r="J794" s="1244"/>
      <c r="K794" s="1244"/>
      <c r="L794" s="1244"/>
      <c r="M794" s="1243"/>
      <c r="N794" s="1283"/>
      <c r="O794" s="7"/>
      <c r="P794" s="7"/>
    </row>
    <row r="795" spans="1:16" s="432" customFormat="1" x14ac:dyDescent="0.35">
      <c r="A795" s="184">
        <v>785</v>
      </c>
      <c r="B795" s="1196"/>
      <c r="C795" s="1281"/>
      <c r="D795" s="1163" t="s">
        <v>1116</v>
      </c>
      <c r="E795" s="1198"/>
      <c r="F795" s="1198"/>
      <c r="G795" s="1207"/>
      <c r="H795" s="1200"/>
      <c r="I795" s="1170">
        <f t="shared" si="162"/>
        <v>1254</v>
      </c>
      <c r="J795" s="1244"/>
      <c r="K795" s="1244"/>
      <c r="L795" s="1244">
        <f>SUM(L793:L794)</f>
        <v>1254</v>
      </c>
      <c r="M795" s="1243"/>
      <c r="N795" s="1283"/>
      <c r="O795" s="431"/>
      <c r="P795" s="431"/>
    </row>
    <row r="796" spans="1:16" s="432" customFormat="1" x14ac:dyDescent="0.35">
      <c r="A796" s="184">
        <v>786</v>
      </c>
      <c r="B796" s="1172"/>
      <c r="C796" s="1182">
        <v>134</v>
      </c>
      <c r="D796" s="1163" t="s">
        <v>512</v>
      </c>
      <c r="E796" s="1175"/>
      <c r="F796" s="1175"/>
      <c r="G796" s="1207"/>
      <c r="H796" s="1177" t="s">
        <v>24</v>
      </c>
      <c r="I796" s="1187"/>
      <c r="J796" s="1188"/>
      <c r="K796" s="1188"/>
      <c r="L796" s="1188"/>
      <c r="M796" s="1188"/>
      <c r="N796" s="1189"/>
      <c r="O796" s="431"/>
      <c r="P796" s="431"/>
    </row>
    <row r="797" spans="1:16" s="432" customFormat="1" x14ac:dyDescent="0.35">
      <c r="A797" s="184">
        <v>787</v>
      </c>
      <c r="B797" s="1196"/>
      <c r="C797" s="1281"/>
      <c r="D797" s="1282" t="s">
        <v>311</v>
      </c>
      <c r="E797" s="1198"/>
      <c r="F797" s="1198"/>
      <c r="G797" s="1207">
        <v>0</v>
      </c>
      <c r="H797" s="1200"/>
      <c r="I797" s="1191">
        <f>SUM(J797:N797)</f>
        <v>451</v>
      </c>
      <c r="J797" s="1243"/>
      <c r="K797" s="1243"/>
      <c r="L797" s="1243">
        <v>451</v>
      </c>
      <c r="M797" s="1243"/>
      <c r="N797" s="1283"/>
      <c r="O797" s="431"/>
      <c r="P797" s="431"/>
    </row>
    <row r="798" spans="1:16" s="432" customFormat="1" x14ac:dyDescent="0.35">
      <c r="A798" s="184">
        <v>788</v>
      </c>
      <c r="B798" s="1196"/>
      <c r="C798" s="1281"/>
      <c r="D798" s="1163" t="s">
        <v>1064</v>
      </c>
      <c r="E798" s="1198"/>
      <c r="F798" s="1198"/>
      <c r="G798" s="1207"/>
      <c r="H798" s="1200"/>
      <c r="I798" s="1170">
        <f t="shared" ref="I798:I800" si="163">SUM(J798:N798)</f>
        <v>0</v>
      </c>
      <c r="J798" s="1243"/>
      <c r="K798" s="1243"/>
      <c r="L798" s="1244">
        <v>0</v>
      </c>
      <c r="M798" s="1243"/>
      <c r="N798" s="1283"/>
      <c r="O798" s="431"/>
      <c r="P798" s="431"/>
    </row>
    <row r="799" spans="1:16" s="3" customFormat="1" ht="16.5" x14ac:dyDescent="0.3">
      <c r="A799" s="184">
        <v>789</v>
      </c>
      <c r="B799" s="1196"/>
      <c r="C799" s="1281"/>
      <c r="D799" s="1174" t="s">
        <v>1012</v>
      </c>
      <c r="E799" s="1198"/>
      <c r="F799" s="1198"/>
      <c r="G799" s="1207"/>
      <c r="H799" s="1200"/>
      <c r="I799" s="1178">
        <f t="shared" si="163"/>
        <v>0</v>
      </c>
      <c r="J799" s="1244"/>
      <c r="K799" s="1244"/>
      <c r="L799" s="1209"/>
      <c r="M799" s="1243"/>
      <c r="N799" s="1283"/>
      <c r="O799" s="7"/>
      <c r="P799" s="7"/>
    </row>
    <row r="800" spans="1:16" s="432" customFormat="1" x14ac:dyDescent="0.35">
      <c r="A800" s="184">
        <v>790</v>
      </c>
      <c r="B800" s="1196"/>
      <c r="C800" s="1281"/>
      <c r="D800" s="1163" t="s">
        <v>1116</v>
      </c>
      <c r="E800" s="1198"/>
      <c r="F800" s="1198"/>
      <c r="G800" s="1207"/>
      <c r="H800" s="1200"/>
      <c r="I800" s="1170">
        <f t="shared" si="163"/>
        <v>0</v>
      </c>
      <c r="J800" s="1244"/>
      <c r="K800" s="1244"/>
      <c r="L800" s="1244">
        <f>SUM(L798:L799)</f>
        <v>0</v>
      </c>
      <c r="M800" s="1243"/>
      <c r="N800" s="1283"/>
      <c r="O800" s="431"/>
      <c r="P800" s="431"/>
    </row>
    <row r="801" spans="1:16" s="432" customFormat="1" x14ac:dyDescent="0.35">
      <c r="A801" s="184">
        <v>791</v>
      </c>
      <c r="B801" s="1172"/>
      <c r="C801" s="1182">
        <v>135</v>
      </c>
      <c r="D801" s="1163" t="s">
        <v>515</v>
      </c>
      <c r="E801" s="1175"/>
      <c r="F801" s="1175"/>
      <c r="G801" s="1207"/>
      <c r="H801" s="1177" t="s">
        <v>24</v>
      </c>
      <c r="I801" s="1187"/>
      <c r="J801" s="1188"/>
      <c r="K801" s="1188"/>
      <c r="L801" s="1188"/>
      <c r="M801" s="1188"/>
      <c r="N801" s="1189"/>
      <c r="O801" s="431"/>
      <c r="P801" s="431"/>
    </row>
    <row r="802" spans="1:16" s="432" customFormat="1" x14ac:dyDescent="0.35">
      <c r="A802" s="184">
        <v>792</v>
      </c>
      <c r="B802" s="1196"/>
      <c r="C802" s="1281"/>
      <c r="D802" s="1282" t="s">
        <v>311</v>
      </c>
      <c r="E802" s="1198"/>
      <c r="F802" s="1198"/>
      <c r="G802" s="1207">
        <v>4</v>
      </c>
      <c r="H802" s="1200"/>
      <c r="I802" s="1191">
        <f>SUM(J802:N802)</f>
        <v>259</v>
      </c>
      <c r="J802" s="1243"/>
      <c r="K802" s="1243"/>
      <c r="L802" s="1243">
        <v>259</v>
      </c>
      <c r="M802" s="1243"/>
      <c r="N802" s="1283"/>
      <c r="O802" s="431"/>
      <c r="P802" s="431"/>
    </row>
    <row r="803" spans="1:16" s="432" customFormat="1" x14ac:dyDescent="0.35">
      <c r="A803" s="184">
        <v>793</v>
      </c>
      <c r="B803" s="1196"/>
      <c r="C803" s="1281"/>
      <c r="D803" s="1163" t="s">
        <v>1064</v>
      </c>
      <c r="E803" s="1198"/>
      <c r="F803" s="1198"/>
      <c r="G803" s="1207"/>
      <c r="H803" s="1200"/>
      <c r="I803" s="1170">
        <f t="shared" ref="I803:I805" si="164">SUM(J803:N803)</f>
        <v>259</v>
      </c>
      <c r="J803" s="1243"/>
      <c r="K803" s="1243"/>
      <c r="L803" s="1244">
        <v>259</v>
      </c>
      <c r="M803" s="1243"/>
      <c r="N803" s="1283"/>
      <c r="O803" s="431"/>
      <c r="P803" s="431"/>
    </row>
    <row r="804" spans="1:16" s="3" customFormat="1" ht="16.5" x14ac:dyDescent="0.3">
      <c r="A804" s="184">
        <v>794</v>
      </c>
      <c r="B804" s="1196"/>
      <c r="C804" s="1281"/>
      <c r="D804" s="1174" t="s">
        <v>999</v>
      </c>
      <c r="E804" s="1198"/>
      <c r="F804" s="1198"/>
      <c r="G804" s="1207"/>
      <c r="H804" s="1200"/>
      <c r="I804" s="1178">
        <f t="shared" si="164"/>
        <v>0</v>
      </c>
      <c r="J804" s="1244"/>
      <c r="K804" s="1244"/>
      <c r="L804" s="1244"/>
      <c r="M804" s="1243"/>
      <c r="N804" s="1283"/>
      <c r="O804" s="7"/>
      <c r="P804" s="7"/>
    </row>
    <row r="805" spans="1:16" s="432" customFormat="1" x14ac:dyDescent="0.35">
      <c r="A805" s="184">
        <v>795</v>
      </c>
      <c r="B805" s="1196"/>
      <c r="C805" s="1281"/>
      <c r="D805" s="1163" t="s">
        <v>1116</v>
      </c>
      <c r="E805" s="1198"/>
      <c r="F805" s="1198"/>
      <c r="G805" s="1207"/>
      <c r="H805" s="1200"/>
      <c r="I805" s="1170">
        <f t="shared" si="164"/>
        <v>259</v>
      </c>
      <c r="J805" s="1244"/>
      <c r="K805" s="1244"/>
      <c r="L805" s="1244">
        <f>SUM(L803:L804)</f>
        <v>259</v>
      </c>
      <c r="M805" s="1243"/>
      <c r="N805" s="1283"/>
      <c r="O805" s="431"/>
      <c r="P805" s="431"/>
    </row>
    <row r="806" spans="1:16" s="432" customFormat="1" x14ac:dyDescent="0.35">
      <c r="A806" s="184">
        <v>796</v>
      </c>
      <c r="B806" s="1172"/>
      <c r="C806" s="1182">
        <v>136</v>
      </c>
      <c r="D806" s="1163" t="s">
        <v>730</v>
      </c>
      <c r="E806" s="1175"/>
      <c r="F806" s="1175"/>
      <c r="G806" s="1207"/>
      <c r="H806" s="1177" t="s">
        <v>24</v>
      </c>
      <c r="I806" s="1170"/>
      <c r="J806" s="1188"/>
      <c r="K806" s="1188"/>
      <c r="L806" s="1188"/>
      <c r="M806" s="1188"/>
      <c r="N806" s="1189"/>
      <c r="O806" s="431"/>
      <c r="P806" s="431"/>
    </row>
    <row r="807" spans="1:16" s="432" customFormat="1" x14ac:dyDescent="0.35">
      <c r="A807" s="184">
        <v>797</v>
      </c>
      <c r="B807" s="1196"/>
      <c r="C807" s="1281"/>
      <c r="D807" s="1282" t="s">
        <v>311</v>
      </c>
      <c r="E807" s="1198"/>
      <c r="F807" s="1198"/>
      <c r="G807" s="1207"/>
      <c r="H807" s="1200"/>
      <c r="I807" s="1191">
        <f>SUM(J807:N807)</f>
        <v>480</v>
      </c>
      <c r="J807" s="1243"/>
      <c r="K807" s="1243"/>
      <c r="L807" s="1243">
        <v>480</v>
      </c>
      <c r="M807" s="1243"/>
      <c r="N807" s="1283"/>
      <c r="O807" s="431"/>
      <c r="P807" s="431"/>
    </row>
    <row r="808" spans="1:16" s="432" customFormat="1" x14ac:dyDescent="0.35">
      <c r="A808" s="184">
        <v>798</v>
      </c>
      <c r="B808" s="1196"/>
      <c r="C808" s="1281"/>
      <c r="D808" s="1163" t="s">
        <v>1064</v>
      </c>
      <c r="E808" s="1198"/>
      <c r="F808" s="1198"/>
      <c r="G808" s="1207"/>
      <c r="H808" s="1200"/>
      <c r="I808" s="1170">
        <f t="shared" ref="I808:I810" si="165">SUM(J808:N808)</f>
        <v>0</v>
      </c>
      <c r="J808" s="1243"/>
      <c r="K808" s="1243"/>
      <c r="L808" s="1244">
        <v>0</v>
      </c>
      <c r="M808" s="1243"/>
      <c r="N808" s="1283"/>
      <c r="O808" s="431"/>
      <c r="P808" s="431"/>
    </row>
    <row r="809" spans="1:16" s="3" customFormat="1" ht="16.5" x14ac:dyDescent="0.3">
      <c r="A809" s="184">
        <v>799</v>
      </c>
      <c r="B809" s="1196"/>
      <c r="C809" s="1281"/>
      <c r="D809" s="1174" t="s">
        <v>1012</v>
      </c>
      <c r="E809" s="1198"/>
      <c r="F809" s="1198"/>
      <c r="G809" s="1207"/>
      <c r="H809" s="1200"/>
      <c r="I809" s="1178">
        <f t="shared" si="165"/>
        <v>0</v>
      </c>
      <c r="J809" s="1244"/>
      <c r="K809" s="1244"/>
      <c r="L809" s="1209"/>
      <c r="M809" s="1243"/>
      <c r="N809" s="1283"/>
      <c r="O809" s="7"/>
      <c r="P809" s="7"/>
    </row>
    <row r="810" spans="1:16" s="432" customFormat="1" x14ac:dyDescent="0.35">
      <c r="A810" s="184">
        <v>800</v>
      </c>
      <c r="B810" s="1196"/>
      <c r="C810" s="1281"/>
      <c r="D810" s="1163" t="s">
        <v>1116</v>
      </c>
      <c r="E810" s="1198"/>
      <c r="F810" s="1198"/>
      <c r="G810" s="1207"/>
      <c r="H810" s="1200"/>
      <c r="I810" s="1170">
        <f t="shared" si="165"/>
        <v>0</v>
      </c>
      <c r="J810" s="1244"/>
      <c r="K810" s="1244"/>
      <c r="L810" s="1244">
        <f>SUM(L808:L809)</f>
        <v>0</v>
      </c>
      <c r="M810" s="1243"/>
      <c r="N810" s="1283"/>
      <c r="O810" s="431"/>
      <c r="P810" s="431"/>
    </row>
    <row r="811" spans="1:16" s="432" customFormat="1" x14ac:dyDescent="0.35">
      <c r="A811" s="184">
        <v>801</v>
      </c>
      <c r="B811" s="1172"/>
      <c r="C811" s="1182">
        <v>137</v>
      </c>
      <c r="D811" s="1163" t="s">
        <v>951</v>
      </c>
      <c r="E811" s="1175"/>
      <c r="F811" s="1175"/>
      <c r="G811" s="1207"/>
      <c r="H811" s="1177" t="s">
        <v>24</v>
      </c>
      <c r="I811" s="1170"/>
      <c r="J811" s="1188"/>
      <c r="K811" s="1188"/>
      <c r="L811" s="1188"/>
      <c r="M811" s="1188"/>
      <c r="N811" s="1189"/>
      <c r="O811" s="431"/>
      <c r="P811" s="431"/>
    </row>
    <row r="812" spans="1:16" s="432" customFormat="1" x14ac:dyDescent="0.35">
      <c r="A812" s="184">
        <v>802</v>
      </c>
      <c r="B812" s="1196"/>
      <c r="C812" s="1281"/>
      <c r="D812" s="1282" t="s">
        <v>311</v>
      </c>
      <c r="E812" s="1198"/>
      <c r="F812" s="1198"/>
      <c r="G812" s="1207"/>
      <c r="H812" s="1200"/>
      <c r="I812" s="1191">
        <f>SUM(J812:N812)</f>
        <v>362</v>
      </c>
      <c r="J812" s="1243"/>
      <c r="K812" s="1243"/>
      <c r="L812" s="1243">
        <v>362</v>
      </c>
      <c r="M812" s="1243"/>
      <c r="N812" s="1283"/>
      <c r="O812" s="431"/>
      <c r="P812" s="431"/>
    </row>
    <row r="813" spans="1:16" s="432" customFormat="1" x14ac:dyDescent="0.35">
      <c r="A813" s="184">
        <v>803</v>
      </c>
      <c r="B813" s="1196"/>
      <c r="C813" s="1281"/>
      <c r="D813" s="1163" t="s">
        <v>1064</v>
      </c>
      <c r="E813" s="1198"/>
      <c r="F813" s="1198"/>
      <c r="G813" s="1207"/>
      <c r="H813" s="1200"/>
      <c r="I813" s="1170">
        <f t="shared" ref="I813:I815" si="166">SUM(J813:N813)</f>
        <v>362</v>
      </c>
      <c r="J813" s="1243"/>
      <c r="K813" s="1243"/>
      <c r="L813" s="1243">
        <v>362</v>
      </c>
      <c r="M813" s="1243"/>
      <c r="N813" s="1283"/>
      <c r="O813" s="431"/>
      <c r="P813" s="431"/>
    </row>
    <row r="814" spans="1:16" s="3" customFormat="1" ht="16.5" x14ac:dyDescent="0.3">
      <c r="A814" s="184">
        <v>804</v>
      </c>
      <c r="B814" s="1196"/>
      <c r="C814" s="1281"/>
      <c r="D814" s="1174" t="s">
        <v>999</v>
      </c>
      <c r="E814" s="1198"/>
      <c r="F814" s="1198"/>
      <c r="G814" s="1207"/>
      <c r="H814" s="1200"/>
      <c r="I814" s="1178">
        <f t="shared" si="166"/>
        <v>0</v>
      </c>
      <c r="J814" s="1244"/>
      <c r="K814" s="1244"/>
      <c r="L814" s="1244"/>
      <c r="M814" s="1243"/>
      <c r="N814" s="1283"/>
      <c r="O814" s="7"/>
      <c r="P814" s="7"/>
    </row>
    <row r="815" spans="1:16" s="432" customFormat="1" x14ac:dyDescent="0.35">
      <c r="A815" s="184">
        <v>805</v>
      </c>
      <c r="B815" s="1196"/>
      <c r="C815" s="1281"/>
      <c r="D815" s="1163" t="s">
        <v>1116</v>
      </c>
      <c r="E815" s="1198"/>
      <c r="F815" s="1198"/>
      <c r="G815" s="1207"/>
      <c r="H815" s="1200"/>
      <c r="I815" s="1170">
        <f t="shared" si="166"/>
        <v>362</v>
      </c>
      <c r="J815" s="1244"/>
      <c r="K815" s="1244"/>
      <c r="L815" s="1244">
        <f>SUM(L813:L814)</f>
        <v>362</v>
      </c>
      <c r="M815" s="1243"/>
      <c r="N815" s="1283"/>
      <c r="O815" s="431"/>
      <c r="P815" s="431"/>
    </row>
    <row r="816" spans="1:16" s="432" customFormat="1" x14ac:dyDescent="0.35">
      <c r="A816" s="184">
        <v>806</v>
      </c>
      <c r="B816" s="1172"/>
      <c r="C816" s="1182">
        <v>138</v>
      </c>
      <c r="D816" s="1163" t="s">
        <v>731</v>
      </c>
      <c r="E816" s="1175"/>
      <c r="F816" s="1175"/>
      <c r="G816" s="1207"/>
      <c r="H816" s="1177" t="s">
        <v>24</v>
      </c>
      <c r="I816" s="1170"/>
      <c r="J816" s="1188"/>
      <c r="K816" s="1188"/>
      <c r="L816" s="1188"/>
      <c r="M816" s="1188"/>
      <c r="N816" s="1189"/>
      <c r="O816" s="431"/>
      <c r="P816" s="431"/>
    </row>
    <row r="817" spans="1:16" s="432" customFormat="1" x14ac:dyDescent="0.35">
      <c r="A817" s="184">
        <v>807</v>
      </c>
      <c r="B817" s="1196"/>
      <c r="C817" s="1281"/>
      <c r="D817" s="1282" t="s">
        <v>311</v>
      </c>
      <c r="E817" s="1198"/>
      <c r="F817" s="1198"/>
      <c r="G817" s="1207"/>
      <c r="H817" s="1200"/>
      <c r="I817" s="1191">
        <f>SUM(J817:N817)</f>
        <v>400</v>
      </c>
      <c r="J817" s="1243"/>
      <c r="K817" s="1243"/>
      <c r="L817" s="1243">
        <v>400</v>
      </c>
      <c r="M817" s="1243"/>
      <c r="N817" s="1283"/>
      <c r="O817" s="431"/>
      <c r="P817" s="431"/>
    </row>
    <row r="818" spans="1:16" s="432" customFormat="1" x14ac:dyDescent="0.35">
      <c r="A818" s="184">
        <v>808</v>
      </c>
      <c r="B818" s="1196"/>
      <c r="C818" s="1281"/>
      <c r="D818" s="1163" t="s">
        <v>1064</v>
      </c>
      <c r="E818" s="1198"/>
      <c r="F818" s="1198"/>
      <c r="G818" s="1207"/>
      <c r="H818" s="1200"/>
      <c r="I818" s="1170">
        <f t="shared" ref="I818:I820" si="167">SUM(J818:N818)</f>
        <v>400</v>
      </c>
      <c r="J818" s="1243"/>
      <c r="K818" s="1243"/>
      <c r="L818" s="1244">
        <v>400</v>
      </c>
      <c r="M818" s="1243"/>
      <c r="N818" s="1283"/>
      <c r="O818" s="431"/>
      <c r="P818" s="431"/>
    </row>
    <row r="819" spans="1:16" s="3" customFormat="1" ht="16.5" x14ac:dyDescent="0.3">
      <c r="A819" s="184">
        <v>809</v>
      </c>
      <c r="B819" s="1196"/>
      <c r="C819" s="1281"/>
      <c r="D819" s="1174" t="s">
        <v>999</v>
      </c>
      <c r="E819" s="1198"/>
      <c r="F819" s="1198"/>
      <c r="G819" s="1207"/>
      <c r="H819" s="1200"/>
      <c r="I819" s="1178">
        <f t="shared" si="167"/>
        <v>0</v>
      </c>
      <c r="J819" s="1244"/>
      <c r="K819" s="1244"/>
      <c r="L819" s="1244"/>
      <c r="M819" s="1243"/>
      <c r="N819" s="1283"/>
      <c r="O819" s="7"/>
      <c r="P819" s="7"/>
    </row>
    <row r="820" spans="1:16" s="432" customFormat="1" x14ac:dyDescent="0.35">
      <c r="A820" s="184">
        <v>810</v>
      </c>
      <c r="B820" s="1196"/>
      <c r="C820" s="1281"/>
      <c r="D820" s="1163" t="s">
        <v>1116</v>
      </c>
      <c r="E820" s="1198"/>
      <c r="F820" s="1198"/>
      <c r="G820" s="1207"/>
      <c r="H820" s="1200"/>
      <c r="I820" s="1170">
        <f t="shared" si="167"/>
        <v>400</v>
      </c>
      <c r="J820" s="1244"/>
      <c r="K820" s="1244"/>
      <c r="L820" s="1244">
        <f>SUM(L818:L819)</f>
        <v>400</v>
      </c>
      <c r="M820" s="1243"/>
      <c r="N820" s="1283"/>
      <c r="O820" s="431"/>
      <c r="P820" s="431"/>
    </row>
    <row r="821" spans="1:16" s="432" customFormat="1" x14ac:dyDescent="0.35">
      <c r="A821" s="184">
        <v>811</v>
      </c>
      <c r="B821" s="1172"/>
      <c r="C821" s="1182">
        <v>139</v>
      </c>
      <c r="D821" s="1163" t="s">
        <v>732</v>
      </c>
      <c r="E821" s="1175"/>
      <c r="F821" s="1175"/>
      <c r="G821" s="1207"/>
      <c r="H821" s="1177" t="s">
        <v>24</v>
      </c>
      <c r="I821" s="1170"/>
      <c r="J821" s="1188"/>
      <c r="K821" s="1188"/>
      <c r="L821" s="1188"/>
      <c r="M821" s="1188"/>
      <c r="N821" s="1189"/>
      <c r="O821" s="431"/>
      <c r="P821" s="431"/>
    </row>
    <row r="822" spans="1:16" s="432" customFormat="1" x14ac:dyDescent="0.35">
      <c r="A822" s="184">
        <v>812</v>
      </c>
      <c r="B822" s="1196"/>
      <c r="C822" s="1281"/>
      <c r="D822" s="1282" t="s">
        <v>311</v>
      </c>
      <c r="E822" s="1198"/>
      <c r="F822" s="1198"/>
      <c r="G822" s="1207"/>
      <c r="H822" s="1200"/>
      <c r="I822" s="1191">
        <f>SUM(J822:N822)</f>
        <v>738</v>
      </c>
      <c r="J822" s="1243"/>
      <c r="K822" s="1243"/>
      <c r="L822" s="1243">
        <v>738</v>
      </c>
      <c r="M822" s="1243"/>
      <c r="N822" s="1283"/>
      <c r="O822" s="431"/>
      <c r="P822" s="431"/>
    </row>
    <row r="823" spans="1:16" s="432" customFormat="1" x14ac:dyDescent="0.35">
      <c r="A823" s="184">
        <v>813</v>
      </c>
      <c r="B823" s="1196"/>
      <c r="C823" s="1281"/>
      <c r="D823" s="1163" t="s">
        <v>1064</v>
      </c>
      <c r="E823" s="1198"/>
      <c r="F823" s="1198"/>
      <c r="G823" s="1207"/>
      <c r="H823" s="1200"/>
      <c r="I823" s="1170">
        <f t="shared" ref="I823:I825" si="168">SUM(J823:N823)</f>
        <v>738</v>
      </c>
      <c r="J823" s="1243"/>
      <c r="K823" s="1243"/>
      <c r="L823" s="1244">
        <v>738</v>
      </c>
      <c r="M823" s="1243"/>
      <c r="N823" s="1283"/>
      <c r="O823" s="431"/>
      <c r="P823" s="431"/>
    </row>
    <row r="824" spans="1:16" s="3" customFormat="1" ht="16.5" x14ac:dyDescent="0.3">
      <c r="A824" s="184">
        <v>814</v>
      </c>
      <c r="B824" s="1196"/>
      <c r="C824" s="1281"/>
      <c r="D824" s="1174" t="s">
        <v>999</v>
      </c>
      <c r="E824" s="1198"/>
      <c r="F824" s="1198"/>
      <c r="G824" s="1207"/>
      <c r="H824" s="1200"/>
      <c r="I824" s="1178">
        <f t="shared" si="168"/>
        <v>0</v>
      </c>
      <c r="J824" s="1244"/>
      <c r="K824" s="1244"/>
      <c r="L824" s="1244"/>
      <c r="M824" s="1243"/>
      <c r="N824" s="1283"/>
      <c r="O824" s="7"/>
      <c r="P824" s="7"/>
    </row>
    <row r="825" spans="1:16" s="3" customFormat="1" ht="16.5" x14ac:dyDescent="0.3">
      <c r="A825" s="184">
        <v>815</v>
      </c>
      <c r="B825" s="1196"/>
      <c r="C825" s="1281"/>
      <c r="D825" s="1163" t="s">
        <v>1116</v>
      </c>
      <c r="E825" s="1198"/>
      <c r="F825" s="1198"/>
      <c r="G825" s="1207"/>
      <c r="H825" s="1200"/>
      <c r="I825" s="1170">
        <f t="shared" si="168"/>
        <v>738</v>
      </c>
      <c r="J825" s="1244"/>
      <c r="K825" s="1244"/>
      <c r="L825" s="1244">
        <f>SUM(L823:L824)</f>
        <v>738</v>
      </c>
      <c r="M825" s="1243"/>
      <c r="N825" s="1283"/>
      <c r="O825" s="7"/>
      <c r="P825" s="7"/>
    </row>
    <row r="826" spans="1:16" s="3" customFormat="1" ht="16.5" x14ac:dyDescent="0.3">
      <c r="A826" s="184">
        <v>816</v>
      </c>
      <c r="B826" s="1172"/>
      <c r="C826" s="1182">
        <v>140</v>
      </c>
      <c r="D826" s="1163" t="s">
        <v>588</v>
      </c>
      <c r="E826" s="1175"/>
      <c r="F826" s="1175"/>
      <c r="G826" s="1207"/>
      <c r="H826" s="1177" t="s">
        <v>24</v>
      </c>
      <c r="I826" s="1187"/>
      <c r="J826" s="1188"/>
      <c r="K826" s="1188"/>
      <c r="L826" s="1188"/>
      <c r="M826" s="1188"/>
      <c r="N826" s="1189"/>
      <c r="O826" s="7"/>
      <c r="P826" s="7"/>
    </row>
    <row r="827" spans="1:16" s="3" customFormat="1" ht="16.5" x14ac:dyDescent="0.3">
      <c r="A827" s="184">
        <v>817</v>
      </c>
      <c r="B827" s="1284"/>
      <c r="C827" s="1285"/>
      <c r="D827" s="1282" t="s">
        <v>311</v>
      </c>
      <c r="E827" s="1175"/>
      <c r="F827" s="1175"/>
      <c r="G827" s="1207"/>
      <c r="H827" s="1286"/>
      <c r="I827" s="1191">
        <f>SUM(J827:N827)</f>
        <v>100</v>
      </c>
      <c r="J827" s="1287"/>
      <c r="K827" s="1287"/>
      <c r="L827" s="1243">
        <v>100</v>
      </c>
      <c r="M827" s="1287"/>
      <c r="N827" s="1288"/>
      <c r="O827" s="7"/>
      <c r="P827" s="7"/>
    </row>
    <row r="828" spans="1:16" s="3" customFormat="1" ht="16.5" x14ac:dyDescent="0.3">
      <c r="A828" s="184">
        <v>818</v>
      </c>
      <c r="B828" s="1284"/>
      <c r="C828" s="1285"/>
      <c r="D828" s="1163" t="s">
        <v>1064</v>
      </c>
      <c r="E828" s="1175"/>
      <c r="F828" s="1175"/>
      <c r="G828" s="1207"/>
      <c r="H828" s="1286"/>
      <c r="I828" s="1170">
        <f t="shared" ref="I828:I842" si="169">SUM(J828:N828)</f>
        <v>0</v>
      </c>
      <c r="J828" s="1287"/>
      <c r="K828" s="1287"/>
      <c r="L828" s="1289">
        <v>0</v>
      </c>
      <c r="M828" s="1287"/>
      <c r="N828" s="1288"/>
      <c r="O828" s="7"/>
      <c r="P828" s="7"/>
    </row>
    <row r="829" spans="1:16" s="3" customFormat="1" ht="16.5" x14ac:dyDescent="0.3">
      <c r="A829" s="184">
        <v>819</v>
      </c>
      <c r="B829" s="1284"/>
      <c r="C829" s="1285"/>
      <c r="D829" s="1174" t="s">
        <v>1012</v>
      </c>
      <c r="E829" s="1175"/>
      <c r="F829" s="1175"/>
      <c r="G829" s="1207"/>
      <c r="H829" s="1286"/>
      <c r="I829" s="1178">
        <f t="shared" si="169"/>
        <v>0</v>
      </c>
      <c r="J829" s="1287"/>
      <c r="K829" s="1287"/>
      <c r="L829" s="1290"/>
      <c r="M829" s="1287"/>
      <c r="N829" s="1288"/>
      <c r="O829" s="7"/>
      <c r="P829" s="7"/>
    </row>
    <row r="830" spans="1:16" s="3" customFormat="1" ht="16.5" x14ac:dyDescent="0.3">
      <c r="A830" s="184">
        <v>820</v>
      </c>
      <c r="B830" s="1284"/>
      <c r="C830" s="1285"/>
      <c r="D830" s="1163" t="s">
        <v>1116</v>
      </c>
      <c r="E830" s="1175"/>
      <c r="F830" s="1175"/>
      <c r="G830" s="1207"/>
      <c r="H830" s="1286"/>
      <c r="I830" s="1170">
        <f t="shared" si="169"/>
        <v>0</v>
      </c>
      <c r="J830" s="1287"/>
      <c r="K830" s="1287"/>
      <c r="L830" s="1289">
        <f>SUM(L828:L829)</f>
        <v>0</v>
      </c>
      <c r="M830" s="1287"/>
      <c r="N830" s="1288"/>
      <c r="O830" s="7"/>
      <c r="P830" s="7"/>
    </row>
    <row r="831" spans="1:16" s="3" customFormat="1" ht="16.5" x14ac:dyDescent="0.3">
      <c r="A831" s="184">
        <v>821</v>
      </c>
      <c r="B831" s="1284"/>
      <c r="C831" s="1285">
        <v>141</v>
      </c>
      <c r="D831" s="1183" t="s">
        <v>556</v>
      </c>
      <c r="E831" s="1175"/>
      <c r="F831" s="1175"/>
      <c r="G831" s="1207">
        <v>1956</v>
      </c>
      <c r="H831" s="1286" t="s">
        <v>23</v>
      </c>
      <c r="I831" s="1291"/>
      <c r="J831" s="1287"/>
      <c r="K831" s="1287"/>
      <c r="L831" s="1292"/>
      <c r="M831" s="1287"/>
      <c r="N831" s="1288"/>
      <c r="O831" s="7"/>
      <c r="P831" s="7"/>
    </row>
    <row r="832" spans="1:16" s="3" customFormat="1" ht="16.5" x14ac:dyDescent="0.3">
      <c r="A832" s="184">
        <v>822</v>
      </c>
      <c r="B832" s="1284"/>
      <c r="C832" s="1285"/>
      <c r="D832" s="1163" t="s">
        <v>1064</v>
      </c>
      <c r="E832" s="1293"/>
      <c r="F832" s="1294"/>
      <c r="G832" s="1295"/>
      <c r="H832" s="1286"/>
      <c r="I832" s="1170">
        <f>SUM(J832:N832)</f>
        <v>159</v>
      </c>
      <c r="J832" s="1287"/>
      <c r="K832" s="1287"/>
      <c r="L832" s="1292">
        <v>3</v>
      </c>
      <c r="M832" s="1287"/>
      <c r="N832" s="1288">
        <v>156</v>
      </c>
      <c r="O832" s="7"/>
      <c r="P832" s="7"/>
    </row>
    <row r="833" spans="1:16" s="3" customFormat="1" ht="16.5" x14ac:dyDescent="0.3">
      <c r="A833" s="184">
        <v>823</v>
      </c>
      <c r="B833" s="1284"/>
      <c r="C833" s="1285"/>
      <c r="D833" s="1174" t="s">
        <v>1002</v>
      </c>
      <c r="E833" s="1293"/>
      <c r="F833" s="1294"/>
      <c r="G833" s="1296"/>
      <c r="H833" s="1286"/>
      <c r="I833" s="1178">
        <f>SUM(J833:N833)</f>
        <v>0</v>
      </c>
      <c r="J833" s="1287"/>
      <c r="K833" s="1287"/>
      <c r="L833" s="1290"/>
      <c r="M833" s="1290"/>
      <c r="N833" s="1297"/>
      <c r="O833" s="7"/>
      <c r="P833" s="7"/>
    </row>
    <row r="834" spans="1:16" s="3" customFormat="1" ht="16.5" x14ac:dyDescent="0.3">
      <c r="A834" s="184">
        <v>824</v>
      </c>
      <c r="B834" s="1284"/>
      <c r="C834" s="1285"/>
      <c r="D834" s="1163" t="s">
        <v>1116</v>
      </c>
      <c r="E834" s="1293"/>
      <c r="F834" s="1294"/>
      <c r="G834" s="1296"/>
      <c r="H834" s="1286"/>
      <c r="I834" s="1170">
        <f>SUM(J834:N834)</f>
        <v>159</v>
      </c>
      <c r="J834" s="1287"/>
      <c r="K834" s="1287"/>
      <c r="L834" s="1289">
        <f>SUM(L832:L833)</f>
        <v>3</v>
      </c>
      <c r="M834" s="1289"/>
      <c r="N834" s="1298">
        <f>SUM(N832:N833)</f>
        <v>156</v>
      </c>
      <c r="O834" s="7"/>
      <c r="P834" s="7"/>
    </row>
    <row r="835" spans="1:16" s="3" customFormat="1" ht="16.5" x14ac:dyDescent="0.3">
      <c r="A835" s="184">
        <v>825</v>
      </c>
      <c r="B835" s="1284"/>
      <c r="C835" s="1285">
        <v>142</v>
      </c>
      <c r="D835" s="1163" t="s">
        <v>1014</v>
      </c>
      <c r="E835" s="1293"/>
      <c r="F835" s="1294"/>
      <c r="G835" s="1296">
        <v>12653</v>
      </c>
      <c r="H835" s="1286" t="s">
        <v>24</v>
      </c>
      <c r="I835" s="1299"/>
      <c r="J835" s="1287"/>
      <c r="K835" s="1287"/>
      <c r="L835" s="1289"/>
      <c r="M835" s="1289"/>
      <c r="N835" s="1298"/>
      <c r="O835" s="7"/>
      <c r="P835" s="7"/>
    </row>
    <row r="836" spans="1:16" s="3" customFormat="1" ht="16.5" x14ac:dyDescent="0.3">
      <c r="A836" s="184">
        <v>826</v>
      </c>
      <c r="B836" s="1284"/>
      <c r="C836" s="1285"/>
      <c r="D836" s="1163" t="s">
        <v>1064</v>
      </c>
      <c r="E836" s="1293"/>
      <c r="F836" s="1294"/>
      <c r="G836" s="1296"/>
      <c r="H836" s="1286"/>
      <c r="I836" s="1170">
        <f>SUM(J836:N836)</f>
        <v>50</v>
      </c>
      <c r="J836" s="1287"/>
      <c r="K836" s="1287"/>
      <c r="L836" s="1289"/>
      <c r="M836" s="1289"/>
      <c r="N836" s="1298">
        <v>50</v>
      </c>
      <c r="O836" s="7"/>
      <c r="P836" s="7"/>
    </row>
    <row r="837" spans="1:16" s="3" customFormat="1" ht="16.5" x14ac:dyDescent="0.3">
      <c r="A837" s="184">
        <v>827</v>
      </c>
      <c r="B837" s="1284"/>
      <c r="C837" s="1285"/>
      <c r="D837" s="1174" t="s">
        <v>1012</v>
      </c>
      <c r="E837" s="1293"/>
      <c r="F837" s="1294"/>
      <c r="G837" s="1296"/>
      <c r="H837" s="1286"/>
      <c r="I837" s="1178">
        <f>SUM(J837:N837)</f>
        <v>0</v>
      </c>
      <c r="J837" s="1287"/>
      <c r="K837" s="1287"/>
      <c r="L837" s="1289"/>
      <c r="M837" s="1289"/>
      <c r="N837" s="1297"/>
      <c r="O837" s="7"/>
      <c r="P837" s="7"/>
    </row>
    <row r="838" spans="1:16" s="3" customFormat="1" ht="16.5" x14ac:dyDescent="0.3">
      <c r="A838" s="184">
        <v>828</v>
      </c>
      <c r="B838" s="1284"/>
      <c r="C838" s="1285"/>
      <c r="D838" s="1163" t="s">
        <v>1116</v>
      </c>
      <c r="E838" s="1176"/>
      <c r="F838" s="1175"/>
      <c r="G838" s="1296"/>
      <c r="H838" s="1286"/>
      <c r="I838" s="1170">
        <f>SUM(J838:N838)</f>
        <v>50</v>
      </c>
      <c r="J838" s="1287"/>
      <c r="K838" s="1287"/>
      <c r="L838" s="1289"/>
      <c r="M838" s="1289"/>
      <c r="N838" s="1298">
        <f>SUM(N836:N837)</f>
        <v>50</v>
      </c>
      <c r="O838" s="7"/>
      <c r="P838" s="7"/>
    </row>
    <row r="839" spans="1:16" s="3" customFormat="1" ht="16.5" x14ac:dyDescent="0.3">
      <c r="A839" s="184">
        <v>829</v>
      </c>
      <c r="B839" s="1284"/>
      <c r="C839" s="1285">
        <v>143</v>
      </c>
      <c r="D839" s="1163" t="s">
        <v>1015</v>
      </c>
      <c r="E839" s="1163"/>
      <c r="F839" s="1163"/>
      <c r="G839" s="1207"/>
      <c r="H839" s="1286" t="s">
        <v>24</v>
      </c>
      <c r="I839" s="1299"/>
      <c r="J839" s="1287"/>
      <c r="K839" s="1287"/>
      <c r="L839" s="1289"/>
      <c r="M839" s="1287"/>
      <c r="N839" s="1288"/>
      <c r="O839" s="7"/>
      <c r="P839" s="7"/>
    </row>
    <row r="840" spans="1:16" s="3" customFormat="1" ht="16.5" x14ac:dyDescent="0.3">
      <c r="A840" s="184">
        <v>830</v>
      </c>
      <c r="B840" s="1284"/>
      <c r="C840" s="1285"/>
      <c r="D840" s="1282" t="s">
        <v>311</v>
      </c>
      <c r="E840" s="1163"/>
      <c r="F840" s="1163"/>
      <c r="G840" s="1207"/>
      <c r="H840" s="1286"/>
      <c r="I840" s="1191">
        <f>SUM(J840:N840)</f>
        <v>32172</v>
      </c>
      <c r="J840" s="1287"/>
      <c r="K840" s="1287"/>
      <c r="L840" s="1292">
        <v>32172</v>
      </c>
      <c r="M840" s="1287"/>
      <c r="N840" s="1288"/>
      <c r="O840" s="7"/>
      <c r="P840" s="7"/>
    </row>
    <row r="841" spans="1:16" s="3" customFormat="1" ht="16.5" x14ac:dyDescent="0.3">
      <c r="A841" s="184">
        <v>831</v>
      </c>
      <c r="B841" s="1284"/>
      <c r="C841" s="1285"/>
      <c r="D841" s="1163" t="s">
        <v>1064</v>
      </c>
      <c r="E841" s="1163"/>
      <c r="F841" s="1163"/>
      <c r="G841" s="1207"/>
      <c r="H841" s="1286"/>
      <c r="I841" s="1170">
        <f>SUM(J841:N841)</f>
        <v>29738</v>
      </c>
      <c r="J841" s="1289">
        <v>19</v>
      </c>
      <c r="K841" s="1289">
        <v>10</v>
      </c>
      <c r="L841" s="1289">
        <f>32284-2575</f>
        <v>29709</v>
      </c>
      <c r="M841" s="1287"/>
      <c r="N841" s="1288"/>
      <c r="O841" s="7"/>
      <c r="P841" s="7"/>
    </row>
    <row r="842" spans="1:16" s="3" customFormat="1" ht="16.5" x14ac:dyDescent="0.3">
      <c r="A842" s="184">
        <v>832</v>
      </c>
      <c r="B842" s="1284"/>
      <c r="C842" s="1285"/>
      <c r="D842" s="1174" t="s">
        <v>1175</v>
      </c>
      <c r="E842" s="1175"/>
      <c r="F842" s="1175"/>
      <c r="G842" s="1207"/>
      <c r="H842" s="1286"/>
      <c r="I842" s="1178">
        <f t="shared" si="169"/>
        <v>432</v>
      </c>
      <c r="J842" s="1287"/>
      <c r="K842" s="1287"/>
      <c r="L842" s="1290">
        <v>432</v>
      </c>
      <c r="M842" s="1287"/>
      <c r="N842" s="1288"/>
      <c r="O842" s="7"/>
      <c r="P842" s="7"/>
    </row>
    <row r="843" spans="1:16" s="3" customFormat="1" ht="16.5" x14ac:dyDescent="0.3">
      <c r="A843" s="184">
        <v>833</v>
      </c>
      <c r="B843" s="1284"/>
      <c r="C843" s="1285"/>
      <c r="D843" s="1163" t="s">
        <v>1116</v>
      </c>
      <c r="E843" s="1175"/>
      <c r="F843" s="1175"/>
      <c r="G843" s="1207"/>
      <c r="H843" s="1286"/>
      <c r="I843" s="1170">
        <f>SUM(J843:N843)</f>
        <v>30170</v>
      </c>
      <c r="J843" s="1289">
        <f>SUM(J841:J842)</f>
        <v>19</v>
      </c>
      <c r="K843" s="1289">
        <f>SUM(K841:K842)</f>
        <v>10</v>
      </c>
      <c r="L843" s="1289">
        <f>SUM(L841:L842)</f>
        <v>30141</v>
      </c>
      <c r="M843" s="1287"/>
      <c r="N843" s="1288"/>
      <c r="O843" s="7"/>
      <c r="P843" s="7"/>
    </row>
    <row r="844" spans="1:16" s="432" customFormat="1" ht="18" thickBot="1" x14ac:dyDescent="0.4">
      <c r="A844" s="184">
        <v>834</v>
      </c>
      <c r="B844" s="1300"/>
      <c r="C844" s="1301"/>
      <c r="D844" s="1302"/>
      <c r="E844" s="1303"/>
      <c r="F844" s="1304"/>
      <c r="G844" s="1305"/>
      <c r="H844" s="1306"/>
      <c r="I844" s="1307"/>
      <c r="J844" s="1308"/>
      <c r="K844" s="1308"/>
      <c r="L844" s="1308"/>
      <c r="M844" s="1308"/>
      <c r="N844" s="1309"/>
      <c r="O844" s="431"/>
      <c r="P844" s="431"/>
    </row>
    <row r="845" spans="1:16" s="506" customFormat="1" ht="18" thickTop="1" x14ac:dyDescent="0.35">
      <c r="A845" s="184">
        <v>835</v>
      </c>
      <c r="B845" s="1310"/>
      <c r="C845" s="1162"/>
      <c r="D845" s="1163" t="s">
        <v>77</v>
      </c>
      <c r="E845" s="1164">
        <v>8674</v>
      </c>
      <c r="F845" s="1164">
        <v>650</v>
      </c>
      <c r="G845" s="1165">
        <v>650</v>
      </c>
      <c r="H845" s="1166" t="s">
        <v>24</v>
      </c>
      <c r="I845" s="1167"/>
      <c r="J845" s="1168"/>
      <c r="K845" s="1168"/>
      <c r="L845" s="1168"/>
      <c r="M845" s="1168"/>
      <c r="N845" s="1169"/>
      <c r="P845" s="507"/>
    </row>
    <row r="846" spans="1:16" s="7" customFormat="1" ht="16.5" x14ac:dyDescent="0.3">
      <c r="A846" s="184">
        <v>836</v>
      </c>
      <c r="B846" s="1172"/>
      <c r="C846" s="1173"/>
      <c r="D846" s="1311" t="s">
        <v>311</v>
      </c>
      <c r="E846" s="1175"/>
      <c r="F846" s="1175"/>
      <c r="G846" s="1176"/>
      <c r="H846" s="1177"/>
      <c r="I846" s="1170">
        <f>SUM(J846:N846)</f>
        <v>0</v>
      </c>
      <c r="J846" s="1184"/>
      <c r="K846" s="1184"/>
      <c r="L846" s="1184"/>
      <c r="M846" s="1184"/>
      <c r="N846" s="1186"/>
    </row>
    <row r="847" spans="1:16" s="7" customFormat="1" ht="16.5" x14ac:dyDescent="0.3">
      <c r="A847" s="184">
        <v>837</v>
      </c>
      <c r="B847" s="1172"/>
      <c r="C847" s="1182"/>
      <c r="D847" s="1183" t="s">
        <v>556</v>
      </c>
      <c r="E847" s="1175"/>
      <c r="F847" s="1175">
        <v>2112</v>
      </c>
      <c r="G847" s="1176">
        <v>2112</v>
      </c>
      <c r="H847" s="1177" t="s">
        <v>23</v>
      </c>
      <c r="I847" s="1170"/>
      <c r="J847" s="1184"/>
      <c r="K847" s="1184"/>
      <c r="L847" s="1184"/>
      <c r="M847" s="1184"/>
      <c r="N847" s="1186"/>
    </row>
    <row r="848" spans="1:16" s="7" customFormat="1" ht="16.5" x14ac:dyDescent="0.3">
      <c r="A848" s="184">
        <v>838</v>
      </c>
      <c r="B848" s="1172"/>
      <c r="C848" s="1173"/>
      <c r="D848" s="1311" t="s">
        <v>311</v>
      </c>
      <c r="E848" s="1175"/>
      <c r="F848" s="1175"/>
      <c r="G848" s="1176"/>
      <c r="H848" s="1177"/>
      <c r="I848" s="1170">
        <f>SUM(J848:N848)</f>
        <v>0</v>
      </c>
      <c r="J848" s="1184"/>
      <c r="K848" s="1184"/>
      <c r="L848" s="1184"/>
      <c r="M848" s="1184"/>
      <c r="N848" s="1186"/>
    </row>
    <row r="849" spans="1:16" s="7" customFormat="1" ht="16.5" x14ac:dyDescent="0.3">
      <c r="A849" s="184">
        <v>839</v>
      </c>
      <c r="B849" s="1172"/>
      <c r="C849" s="1182"/>
      <c r="D849" s="1163" t="s">
        <v>486</v>
      </c>
      <c r="E849" s="1175">
        <v>31491</v>
      </c>
      <c r="F849" s="1175">
        <v>7868</v>
      </c>
      <c r="G849" s="1176">
        <v>7868</v>
      </c>
      <c r="H849" s="1177" t="s">
        <v>24</v>
      </c>
      <c r="I849" s="1170"/>
      <c r="J849" s="1184"/>
      <c r="K849" s="1184"/>
      <c r="L849" s="1184"/>
      <c r="M849" s="1184"/>
      <c r="N849" s="1186"/>
    </row>
    <row r="850" spans="1:16" s="7" customFormat="1" ht="16.5" x14ac:dyDescent="0.3">
      <c r="A850" s="184">
        <v>840</v>
      </c>
      <c r="B850" s="1172"/>
      <c r="C850" s="1173"/>
      <c r="D850" s="1311" t="s">
        <v>311</v>
      </c>
      <c r="E850" s="1175"/>
      <c r="F850" s="1175"/>
      <c r="G850" s="1176"/>
      <c r="H850" s="1177"/>
      <c r="I850" s="1170">
        <f>SUM(J850:N850)</f>
        <v>0</v>
      </c>
      <c r="J850" s="1184"/>
      <c r="K850" s="1184"/>
      <c r="L850" s="1184"/>
      <c r="M850" s="1184"/>
      <c r="N850" s="1186"/>
    </row>
    <row r="851" spans="1:16" s="3" customFormat="1" ht="16.5" x14ac:dyDescent="0.3">
      <c r="A851" s="184">
        <v>841</v>
      </c>
      <c r="B851" s="1181"/>
      <c r="C851" s="1182"/>
      <c r="D851" s="1183" t="s">
        <v>100</v>
      </c>
      <c r="E851" s="1175"/>
      <c r="F851" s="1175">
        <v>1500</v>
      </c>
      <c r="G851" s="1176">
        <v>1500</v>
      </c>
      <c r="H851" s="1177" t="s">
        <v>24</v>
      </c>
      <c r="I851" s="1170"/>
      <c r="J851" s="1184"/>
      <c r="K851" s="1184"/>
      <c r="L851" s="1184"/>
      <c r="M851" s="1184"/>
      <c r="N851" s="1186"/>
      <c r="P851" s="7"/>
    </row>
    <row r="852" spans="1:16" s="7" customFormat="1" thickBot="1" x14ac:dyDescent="0.35">
      <c r="A852" s="184">
        <v>842</v>
      </c>
      <c r="B852" s="1312"/>
      <c r="C852" s="1313"/>
      <c r="D852" s="1314" t="s">
        <v>311</v>
      </c>
      <c r="E852" s="1315"/>
      <c r="F852" s="1315"/>
      <c r="G852" s="1316"/>
      <c r="H852" s="1317"/>
      <c r="I852" s="1318">
        <f>SUM(J852:N852)</f>
        <v>0</v>
      </c>
      <c r="J852" s="1319"/>
      <c r="K852" s="1319"/>
      <c r="L852" s="1319"/>
      <c r="M852" s="1319"/>
      <c r="N852" s="1320"/>
    </row>
    <row r="853" spans="1:16" s="506" customFormat="1" ht="18" thickTop="1" x14ac:dyDescent="0.35">
      <c r="A853" s="184">
        <v>843</v>
      </c>
      <c r="B853" s="1310"/>
      <c r="C853" s="1162"/>
      <c r="D853" s="1311" t="s">
        <v>79</v>
      </c>
      <c r="E853" s="1164"/>
      <c r="F853" s="1164"/>
      <c r="G853" s="1165"/>
      <c r="H853" s="1166" t="s">
        <v>23</v>
      </c>
      <c r="I853" s="1167"/>
      <c r="J853" s="1168"/>
      <c r="K853" s="1168"/>
      <c r="L853" s="1168"/>
      <c r="M853" s="1168"/>
      <c r="N853" s="1169"/>
      <c r="P853" s="507"/>
    </row>
    <row r="854" spans="1:16" s="7" customFormat="1" ht="16.5" x14ac:dyDescent="0.3">
      <c r="A854" s="184">
        <v>844</v>
      </c>
      <c r="B854" s="1172"/>
      <c r="C854" s="1173"/>
      <c r="D854" s="1311" t="s">
        <v>311</v>
      </c>
      <c r="E854" s="1175"/>
      <c r="F854" s="1175"/>
      <c r="G854" s="1176"/>
      <c r="H854" s="1177"/>
      <c r="I854" s="1170">
        <f>SUM(J854:N854)</f>
        <v>0</v>
      </c>
      <c r="J854" s="1184"/>
      <c r="K854" s="1184"/>
      <c r="L854" s="1184"/>
      <c r="M854" s="1184"/>
      <c r="N854" s="1186"/>
    </row>
    <row r="855" spans="1:16" s="3" customFormat="1" ht="16.5" x14ac:dyDescent="0.3">
      <c r="A855" s="184">
        <v>845</v>
      </c>
      <c r="B855" s="1181"/>
      <c r="C855" s="1182"/>
      <c r="D855" s="1321" t="s">
        <v>89</v>
      </c>
      <c r="E855" s="1175"/>
      <c r="F855" s="1175"/>
      <c r="G855" s="1176"/>
      <c r="H855" s="1177" t="s">
        <v>23</v>
      </c>
      <c r="I855" s="1170"/>
      <c r="J855" s="1184"/>
      <c r="K855" s="1184"/>
      <c r="L855" s="1184"/>
      <c r="M855" s="1184"/>
      <c r="N855" s="1186"/>
      <c r="P855" s="7"/>
    </row>
    <row r="856" spans="1:16" s="7" customFormat="1" ht="16.5" x14ac:dyDescent="0.3">
      <c r="A856" s="184">
        <v>846</v>
      </c>
      <c r="B856" s="1172"/>
      <c r="C856" s="1173"/>
      <c r="D856" s="1311" t="s">
        <v>311</v>
      </c>
      <c r="E856" s="1175"/>
      <c r="F856" s="1175"/>
      <c r="G856" s="1176"/>
      <c r="H856" s="1177"/>
      <c r="I856" s="1170">
        <f>SUM(J856:N856)</f>
        <v>0</v>
      </c>
      <c r="J856" s="1184"/>
      <c r="K856" s="1184"/>
      <c r="L856" s="1184"/>
      <c r="M856" s="1184"/>
      <c r="N856" s="1186"/>
    </row>
    <row r="857" spans="1:16" s="7" customFormat="1" ht="30" x14ac:dyDescent="0.3">
      <c r="A857" s="184">
        <v>847</v>
      </c>
      <c r="B857" s="1172"/>
      <c r="C857" s="1204"/>
      <c r="D857" s="1311" t="s">
        <v>541</v>
      </c>
      <c r="E857" s="1175"/>
      <c r="F857" s="1175"/>
      <c r="G857" s="1176"/>
      <c r="H857" s="1177" t="s">
        <v>24</v>
      </c>
      <c r="I857" s="1170"/>
      <c r="J857" s="1184"/>
      <c r="K857" s="1184"/>
      <c r="L857" s="1184"/>
      <c r="M857" s="1184"/>
      <c r="N857" s="1186"/>
    </row>
    <row r="858" spans="1:16" s="7" customFormat="1" ht="16.5" x14ac:dyDescent="0.3">
      <c r="A858" s="184">
        <v>848</v>
      </c>
      <c r="B858" s="1172"/>
      <c r="C858" s="1173"/>
      <c r="D858" s="1311" t="s">
        <v>311</v>
      </c>
      <c r="E858" s="1175"/>
      <c r="F858" s="1175"/>
      <c r="G858" s="1176"/>
      <c r="H858" s="1177"/>
      <c r="I858" s="1170">
        <f>SUM(J858:N858)</f>
        <v>0</v>
      </c>
      <c r="J858" s="1184"/>
      <c r="K858" s="1184"/>
      <c r="L858" s="1184"/>
      <c r="M858" s="1184"/>
      <c r="N858" s="1186"/>
    </row>
    <row r="859" spans="1:16" s="7" customFormat="1" ht="16.5" x14ac:dyDescent="0.3">
      <c r="A859" s="184">
        <v>849</v>
      </c>
      <c r="B859" s="1172"/>
      <c r="C859" s="1182"/>
      <c r="D859" s="1311" t="s">
        <v>482</v>
      </c>
      <c r="E859" s="1175"/>
      <c r="F859" s="1175"/>
      <c r="G859" s="1176"/>
      <c r="H859" s="1177" t="s">
        <v>24</v>
      </c>
      <c r="I859" s="1170"/>
      <c r="J859" s="1184"/>
      <c r="K859" s="1184"/>
      <c r="L859" s="1184"/>
      <c r="M859" s="1184"/>
      <c r="N859" s="1186"/>
    </row>
    <row r="860" spans="1:16" s="7" customFormat="1" ht="16.5" x14ac:dyDescent="0.3">
      <c r="A860" s="184">
        <v>850</v>
      </c>
      <c r="B860" s="1172"/>
      <c r="C860" s="1173"/>
      <c r="D860" s="1311" t="s">
        <v>311</v>
      </c>
      <c r="E860" s="1175"/>
      <c r="F860" s="1175"/>
      <c r="G860" s="1176"/>
      <c r="H860" s="1177"/>
      <c r="I860" s="1170">
        <f>SUM(J860:N860)</f>
        <v>0</v>
      </c>
      <c r="J860" s="1184"/>
      <c r="K860" s="1184"/>
      <c r="L860" s="1184"/>
      <c r="M860" s="1184"/>
      <c r="N860" s="1186"/>
    </row>
    <row r="861" spans="1:16" s="7" customFormat="1" ht="16.5" x14ac:dyDescent="0.3">
      <c r="A861" s="184">
        <v>851</v>
      </c>
      <c r="B861" s="1172"/>
      <c r="C861" s="1182"/>
      <c r="D861" s="1321" t="s">
        <v>510</v>
      </c>
      <c r="E861" s="1175"/>
      <c r="F861" s="1175"/>
      <c r="G861" s="1176"/>
      <c r="H861" s="1177" t="s">
        <v>24</v>
      </c>
      <c r="I861" s="1170"/>
      <c r="J861" s="1184"/>
      <c r="K861" s="1184"/>
      <c r="L861" s="1184"/>
      <c r="M861" s="1184"/>
      <c r="N861" s="1186"/>
    </row>
    <row r="862" spans="1:16" s="7" customFormat="1" ht="16.5" x14ac:dyDescent="0.3">
      <c r="A862" s="184">
        <v>852</v>
      </c>
      <c r="B862" s="1172"/>
      <c r="C862" s="1173"/>
      <c r="D862" s="1311" t="s">
        <v>311</v>
      </c>
      <c r="E862" s="1175"/>
      <c r="F862" s="1175"/>
      <c r="G862" s="1176"/>
      <c r="H862" s="1177"/>
      <c r="I862" s="1170">
        <f>SUM(J862:N862)</f>
        <v>0</v>
      </c>
      <c r="J862" s="1184"/>
      <c r="K862" s="1184"/>
      <c r="L862" s="1184"/>
      <c r="M862" s="1184"/>
      <c r="N862" s="1186"/>
    </row>
    <row r="863" spans="1:16" s="7" customFormat="1" ht="16.5" x14ac:dyDescent="0.3">
      <c r="A863" s="184">
        <v>853</v>
      </c>
      <c r="B863" s="1266"/>
      <c r="C863" s="1182"/>
      <c r="D863" s="1321" t="s">
        <v>112</v>
      </c>
      <c r="E863" s="1175"/>
      <c r="F863" s="1175"/>
      <c r="G863" s="1176"/>
      <c r="H863" s="1177" t="s">
        <v>24</v>
      </c>
      <c r="I863" s="1187"/>
      <c r="J863" s="1188"/>
      <c r="K863" s="1188"/>
      <c r="L863" s="1188"/>
      <c r="M863" s="1188"/>
      <c r="N863" s="1189"/>
    </row>
    <row r="864" spans="1:16" s="7" customFormat="1" ht="16.5" x14ac:dyDescent="0.3">
      <c r="A864" s="184">
        <v>854</v>
      </c>
      <c r="B864" s="1172"/>
      <c r="C864" s="1173"/>
      <c r="D864" s="1311" t="s">
        <v>311</v>
      </c>
      <c r="E864" s="1175"/>
      <c r="F864" s="1175"/>
      <c r="G864" s="1176"/>
      <c r="H864" s="1177"/>
      <c r="I864" s="1170">
        <f>SUM(J864:N864)</f>
        <v>0</v>
      </c>
      <c r="J864" s="1184"/>
      <c r="K864" s="1184"/>
      <c r="L864" s="1184"/>
      <c r="M864" s="1184"/>
      <c r="N864" s="1186"/>
    </row>
    <row r="865" spans="1:16" s="7" customFormat="1" ht="16.5" x14ac:dyDescent="0.3">
      <c r="A865" s="184">
        <v>855</v>
      </c>
      <c r="B865" s="1266"/>
      <c r="C865" s="1182"/>
      <c r="D865" s="1321" t="s">
        <v>455</v>
      </c>
      <c r="E865" s="1175"/>
      <c r="F865" s="1175"/>
      <c r="G865" s="1176"/>
      <c r="H865" s="1177" t="s">
        <v>24</v>
      </c>
      <c r="I865" s="1187"/>
      <c r="J865" s="1188"/>
      <c r="K865" s="1188"/>
      <c r="L865" s="1188"/>
      <c r="M865" s="1188"/>
      <c r="N865" s="1189"/>
    </row>
    <row r="866" spans="1:16" s="7" customFormat="1" ht="16.5" x14ac:dyDescent="0.3">
      <c r="A866" s="184">
        <v>856</v>
      </c>
      <c r="B866" s="1172"/>
      <c r="C866" s="1173"/>
      <c r="D866" s="1311" t="s">
        <v>311</v>
      </c>
      <c r="E866" s="1175"/>
      <c r="F866" s="1175"/>
      <c r="G866" s="1176"/>
      <c r="H866" s="1177"/>
      <c r="I866" s="1170">
        <f>SUM(J866:N866)</f>
        <v>0</v>
      </c>
      <c r="J866" s="1184"/>
      <c r="K866" s="1184"/>
      <c r="L866" s="1184"/>
      <c r="M866" s="1184"/>
      <c r="N866" s="1186"/>
    </row>
    <row r="867" spans="1:16" s="7" customFormat="1" ht="16.5" x14ac:dyDescent="0.3">
      <c r="A867" s="184">
        <v>857</v>
      </c>
      <c r="B867" s="1266"/>
      <c r="C867" s="1182"/>
      <c r="D867" s="1321" t="s">
        <v>456</v>
      </c>
      <c r="E867" s="1175"/>
      <c r="F867" s="1175"/>
      <c r="G867" s="1176"/>
      <c r="H867" s="1177" t="s">
        <v>24</v>
      </c>
      <c r="I867" s="1187"/>
      <c r="J867" s="1188"/>
      <c r="K867" s="1188"/>
      <c r="L867" s="1188"/>
      <c r="M867" s="1188"/>
      <c r="N867" s="1189"/>
    </row>
    <row r="868" spans="1:16" s="7" customFormat="1" ht="16.5" x14ac:dyDescent="0.3">
      <c r="A868" s="184">
        <v>858</v>
      </c>
      <c r="B868" s="1172"/>
      <c r="C868" s="1173"/>
      <c r="D868" s="1311" t="s">
        <v>311</v>
      </c>
      <c r="E868" s="1175"/>
      <c r="F868" s="1175"/>
      <c r="G868" s="1176"/>
      <c r="H868" s="1177"/>
      <c r="I868" s="1170">
        <f>SUM(J868:N868)</f>
        <v>0</v>
      </c>
      <c r="J868" s="1184"/>
      <c r="K868" s="1184"/>
      <c r="L868" s="1184"/>
      <c r="M868" s="1184"/>
      <c r="N868" s="1186"/>
    </row>
    <row r="869" spans="1:16" s="7" customFormat="1" ht="16.5" x14ac:dyDescent="0.3">
      <c r="A869" s="184">
        <v>859</v>
      </c>
      <c r="B869" s="1172"/>
      <c r="C869" s="1182"/>
      <c r="D869" s="1311" t="s">
        <v>463</v>
      </c>
      <c r="E869" s="1175"/>
      <c r="F869" s="1175"/>
      <c r="G869" s="1176"/>
      <c r="H869" s="1177" t="s">
        <v>24</v>
      </c>
      <c r="I869" s="1170"/>
      <c r="J869" s="1184"/>
      <c r="K869" s="1184"/>
      <c r="L869" s="1184"/>
      <c r="M869" s="1184"/>
      <c r="N869" s="1186"/>
    </row>
    <row r="870" spans="1:16" s="7" customFormat="1" ht="16.5" x14ac:dyDescent="0.3">
      <c r="A870" s="184">
        <v>860</v>
      </c>
      <c r="B870" s="1172"/>
      <c r="C870" s="1173"/>
      <c r="D870" s="1311" t="s">
        <v>311</v>
      </c>
      <c r="E870" s="1175"/>
      <c r="F870" s="1175"/>
      <c r="G870" s="1176"/>
      <c r="H870" s="1177"/>
      <c r="I870" s="1170">
        <f>SUM(J870:N870)</f>
        <v>0</v>
      </c>
      <c r="J870" s="1184"/>
      <c r="K870" s="1184"/>
      <c r="L870" s="1184"/>
      <c r="M870" s="1184"/>
      <c r="N870" s="1186"/>
    </row>
    <row r="871" spans="1:16" s="3" customFormat="1" ht="16.5" x14ac:dyDescent="0.3">
      <c r="A871" s="184">
        <v>861</v>
      </c>
      <c r="B871" s="1181"/>
      <c r="C871" s="1182"/>
      <c r="D871" s="1321" t="s">
        <v>564</v>
      </c>
      <c r="E871" s="1175"/>
      <c r="F871" s="1175"/>
      <c r="G871" s="1176"/>
      <c r="H871" s="1177" t="s">
        <v>23</v>
      </c>
      <c r="I871" s="1170"/>
      <c r="J871" s="1184"/>
      <c r="K871" s="1184"/>
      <c r="L871" s="1184"/>
      <c r="M871" s="1184"/>
      <c r="N871" s="1186"/>
    </row>
    <row r="872" spans="1:16" s="7" customFormat="1" ht="16.5" x14ac:dyDescent="0.3">
      <c r="A872" s="184">
        <v>862</v>
      </c>
      <c r="B872" s="1172"/>
      <c r="C872" s="1173"/>
      <c r="D872" s="1311" t="s">
        <v>311</v>
      </c>
      <c r="E872" s="1175"/>
      <c r="F872" s="1175"/>
      <c r="G872" s="1176"/>
      <c r="H872" s="1177"/>
      <c r="I872" s="1170">
        <f>SUM(J872:N872)</f>
        <v>0</v>
      </c>
      <c r="J872" s="1184"/>
      <c r="K872" s="1184"/>
      <c r="L872" s="1184"/>
      <c r="M872" s="1184"/>
      <c r="N872" s="1186"/>
    </row>
    <row r="873" spans="1:16" s="7" customFormat="1" ht="30" x14ac:dyDescent="0.3">
      <c r="A873" s="184">
        <v>863</v>
      </c>
      <c r="B873" s="1172"/>
      <c r="C873" s="1204"/>
      <c r="D873" s="1311" t="s">
        <v>487</v>
      </c>
      <c r="E873" s="1175"/>
      <c r="F873" s="1175"/>
      <c r="G873" s="1176"/>
      <c r="H873" s="1177" t="s">
        <v>24</v>
      </c>
      <c r="I873" s="1170"/>
      <c r="J873" s="1184"/>
      <c r="K873" s="1184"/>
      <c r="L873" s="1184"/>
      <c r="M873" s="1184"/>
      <c r="N873" s="1186"/>
    </row>
    <row r="874" spans="1:16" s="7" customFormat="1" ht="16.5" x14ac:dyDescent="0.3">
      <c r="A874" s="184">
        <v>864</v>
      </c>
      <c r="B874" s="1172"/>
      <c r="C874" s="1173"/>
      <c r="D874" s="1311" t="s">
        <v>311</v>
      </c>
      <c r="E874" s="1175"/>
      <c r="F874" s="1175"/>
      <c r="G874" s="1176"/>
      <c r="H874" s="1177"/>
      <c r="I874" s="1170">
        <f>SUM(J874:N874)</f>
        <v>0</v>
      </c>
      <c r="J874" s="1184"/>
      <c r="K874" s="1184"/>
      <c r="L874" s="1184"/>
      <c r="M874" s="1184"/>
      <c r="N874" s="1186"/>
    </row>
    <row r="875" spans="1:16" s="8" customFormat="1" ht="30" x14ac:dyDescent="0.3">
      <c r="A875" s="184">
        <v>865</v>
      </c>
      <c r="B875" s="1275"/>
      <c r="C875" s="1204"/>
      <c r="D875" s="1321" t="s">
        <v>540</v>
      </c>
      <c r="E875" s="1164"/>
      <c r="F875" s="1276"/>
      <c r="G875" s="1277"/>
      <c r="H875" s="1166" t="s">
        <v>24</v>
      </c>
      <c r="I875" s="1170"/>
      <c r="J875" s="1179"/>
      <c r="K875" s="1179"/>
      <c r="L875" s="1168"/>
      <c r="M875" s="1179"/>
      <c r="N875" s="1222"/>
      <c r="P875" s="7"/>
    </row>
    <row r="876" spans="1:16" s="8" customFormat="1" x14ac:dyDescent="0.3">
      <c r="A876" s="184">
        <v>866</v>
      </c>
      <c r="B876" s="1275"/>
      <c r="C876" s="1173"/>
      <c r="D876" s="1311" t="s">
        <v>311</v>
      </c>
      <c r="E876" s="1164"/>
      <c r="F876" s="1276"/>
      <c r="G876" s="1277"/>
      <c r="H876" s="1166"/>
      <c r="I876" s="1170">
        <f>SUM(J876:N876)</f>
        <v>0</v>
      </c>
      <c r="J876" s="1179"/>
      <c r="K876" s="1179"/>
      <c r="L876" s="1168"/>
      <c r="M876" s="1179"/>
      <c r="N876" s="1222"/>
      <c r="P876" s="7"/>
    </row>
    <row r="877" spans="1:16" s="240" customFormat="1" x14ac:dyDescent="0.35">
      <c r="A877" s="184">
        <v>867</v>
      </c>
      <c r="B877" s="1279"/>
      <c r="C877" s="1182"/>
      <c r="D877" s="1321" t="s">
        <v>563</v>
      </c>
      <c r="E877" s="1164"/>
      <c r="F877" s="1276"/>
      <c r="G877" s="1277"/>
      <c r="H877" s="1166" t="s">
        <v>24</v>
      </c>
      <c r="I877" s="1170"/>
      <c r="J877" s="1179"/>
      <c r="K877" s="1179"/>
      <c r="L877" s="1168"/>
      <c r="M877" s="1179"/>
      <c r="N877" s="1222"/>
      <c r="P877" s="3"/>
    </row>
    <row r="878" spans="1:16" s="8" customFormat="1" x14ac:dyDescent="0.3">
      <c r="A878" s="184">
        <v>868</v>
      </c>
      <c r="B878" s="1275"/>
      <c r="C878" s="1173"/>
      <c r="D878" s="1311" t="s">
        <v>311</v>
      </c>
      <c r="E878" s="1164"/>
      <c r="F878" s="1276"/>
      <c r="G878" s="1277"/>
      <c r="H878" s="1322"/>
      <c r="I878" s="1170">
        <f>SUM(J878:N878)</f>
        <v>0</v>
      </c>
      <c r="J878" s="1179"/>
      <c r="K878" s="1179"/>
      <c r="L878" s="1168"/>
      <c r="M878" s="1179"/>
      <c r="N878" s="1222"/>
      <c r="P878" s="7"/>
    </row>
    <row r="879" spans="1:16" s="240" customFormat="1" x14ac:dyDescent="0.35">
      <c r="A879" s="184">
        <v>869</v>
      </c>
      <c r="B879" s="1279"/>
      <c r="C879" s="1182"/>
      <c r="D879" s="1321" t="s">
        <v>392</v>
      </c>
      <c r="E879" s="1164"/>
      <c r="F879" s="1276"/>
      <c r="G879" s="1277"/>
      <c r="H879" s="1166" t="s">
        <v>24</v>
      </c>
      <c r="I879" s="1170"/>
      <c r="J879" s="1179"/>
      <c r="K879" s="1179"/>
      <c r="L879" s="1168"/>
      <c r="M879" s="1179"/>
      <c r="N879" s="1222"/>
      <c r="P879" s="3"/>
    </row>
    <row r="880" spans="1:16" s="8" customFormat="1" x14ac:dyDescent="0.3">
      <c r="A880" s="184">
        <v>870</v>
      </c>
      <c r="B880" s="1275"/>
      <c r="C880" s="1173"/>
      <c r="D880" s="1311" t="s">
        <v>311</v>
      </c>
      <c r="E880" s="1164"/>
      <c r="F880" s="1276"/>
      <c r="G880" s="1277"/>
      <c r="H880" s="1322"/>
      <c r="I880" s="1170">
        <f>SUM(J880:N880)</f>
        <v>0</v>
      </c>
      <c r="J880" s="1179"/>
      <c r="K880" s="1179"/>
      <c r="L880" s="1168"/>
      <c r="M880" s="1179"/>
      <c r="N880" s="1222"/>
      <c r="P880" s="7"/>
    </row>
    <row r="881" spans="1:16" s="7" customFormat="1" ht="16.5" x14ac:dyDescent="0.3">
      <c r="A881" s="184">
        <v>871</v>
      </c>
      <c r="B881" s="1252"/>
      <c r="C881" s="1182"/>
      <c r="D881" s="1311" t="s">
        <v>614</v>
      </c>
      <c r="E881" s="1164"/>
      <c r="F881" s="1276"/>
      <c r="G881" s="1165"/>
      <c r="H881" s="1166" t="s">
        <v>24</v>
      </c>
      <c r="I881" s="1170"/>
      <c r="J881" s="1168"/>
      <c r="K881" s="1168"/>
      <c r="L881" s="1168"/>
      <c r="M881" s="1168"/>
      <c r="N881" s="1169"/>
    </row>
    <row r="882" spans="1:16" s="7" customFormat="1" ht="16.5" x14ac:dyDescent="0.3">
      <c r="A882" s="184">
        <v>872</v>
      </c>
      <c r="B882" s="1252"/>
      <c r="C882" s="1182"/>
      <c r="D882" s="1311" t="s">
        <v>311</v>
      </c>
      <c r="E882" s="1164"/>
      <c r="F882" s="1276"/>
      <c r="G882" s="1165"/>
      <c r="H882" s="1166"/>
      <c r="I882" s="1170">
        <f>SUM(J882:N882)</f>
        <v>0</v>
      </c>
      <c r="J882" s="1168"/>
      <c r="K882" s="1168"/>
      <c r="L882" s="1168"/>
      <c r="M882" s="1168"/>
      <c r="N882" s="1169"/>
    </row>
    <row r="883" spans="1:16" s="7" customFormat="1" ht="16.5" x14ac:dyDescent="0.3">
      <c r="A883" s="184">
        <v>873</v>
      </c>
      <c r="B883" s="1252"/>
      <c r="C883" s="1182"/>
      <c r="D883" s="1311" t="s">
        <v>615</v>
      </c>
      <c r="E883" s="1164"/>
      <c r="F883" s="1276"/>
      <c r="G883" s="1165"/>
      <c r="H883" s="1166" t="s">
        <v>24</v>
      </c>
      <c r="I883" s="1170"/>
      <c r="J883" s="1168"/>
      <c r="K883" s="1168"/>
      <c r="L883" s="1168"/>
      <c r="M883" s="1168"/>
      <c r="N883" s="1169"/>
    </row>
    <row r="884" spans="1:16" s="7" customFormat="1" ht="16.5" x14ac:dyDescent="0.3">
      <c r="A884" s="184">
        <v>874</v>
      </c>
      <c r="B884" s="1252"/>
      <c r="C884" s="1182"/>
      <c r="D884" s="1311" t="s">
        <v>311</v>
      </c>
      <c r="E884" s="1164"/>
      <c r="F884" s="1276"/>
      <c r="G884" s="1165"/>
      <c r="H884" s="1166"/>
      <c r="I884" s="1170">
        <f>SUM(J884:N884)</f>
        <v>0</v>
      </c>
      <c r="J884" s="1168"/>
      <c r="K884" s="1168"/>
      <c r="L884" s="1168"/>
      <c r="M884" s="1168"/>
      <c r="N884" s="1169"/>
    </row>
    <row r="885" spans="1:16" s="7" customFormat="1" ht="30" x14ac:dyDescent="0.3">
      <c r="A885" s="184">
        <v>875</v>
      </c>
      <c r="B885" s="1252"/>
      <c r="C885" s="1182"/>
      <c r="D885" s="1311" t="s">
        <v>617</v>
      </c>
      <c r="E885" s="1164"/>
      <c r="F885" s="1276"/>
      <c r="G885" s="1165"/>
      <c r="H885" s="1166" t="s">
        <v>24</v>
      </c>
      <c r="I885" s="1170"/>
      <c r="J885" s="1168"/>
      <c r="K885" s="1168"/>
      <c r="L885" s="1168"/>
      <c r="M885" s="1168"/>
      <c r="N885" s="1169"/>
    </row>
    <row r="886" spans="1:16" s="7" customFormat="1" ht="16.5" x14ac:dyDescent="0.3">
      <c r="A886" s="184">
        <v>876</v>
      </c>
      <c r="B886" s="1252"/>
      <c r="C886" s="1182"/>
      <c r="D886" s="1311" t="s">
        <v>311</v>
      </c>
      <c r="E886" s="1164"/>
      <c r="F886" s="1276"/>
      <c r="G886" s="1165"/>
      <c r="H886" s="1166"/>
      <c r="I886" s="1170">
        <f>SUM(J886:N886)</f>
        <v>0</v>
      </c>
      <c r="J886" s="1168"/>
      <c r="K886" s="1168"/>
      <c r="L886" s="1168"/>
      <c r="M886" s="1168"/>
      <c r="N886" s="1169"/>
    </row>
    <row r="887" spans="1:16" s="7" customFormat="1" ht="16.5" x14ac:dyDescent="0.3">
      <c r="A887" s="184">
        <v>877</v>
      </c>
      <c r="B887" s="1252"/>
      <c r="C887" s="1182"/>
      <c r="D887" s="1311" t="s">
        <v>616</v>
      </c>
      <c r="E887" s="1164"/>
      <c r="F887" s="1276"/>
      <c r="G887" s="1165"/>
      <c r="H887" s="1166" t="s">
        <v>24</v>
      </c>
      <c r="I887" s="1170"/>
      <c r="J887" s="1168"/>
      <c r="K887" s="1168"/>
      <c r="L887" s="1168"/>
      <c r="M887" s="1168"/>
      <c r="N887" s="1169"/>
    </row>
    <row r="888" spans="1:16" s="7" customFormat="1" ht="16.5" x14ac:dyDescent="0.3">
      <c r="A888" s="184">
        <v>878</v>
      </c>
      <c r="B888" s="1252"/>
      <c r="C888" s="1182"/>
      <c r="D888" s="1311" t="s">
        <v>311</v>
      </c>
      <c r="E888" s="1164"/>
      <c r="F888" s="1276"/>
      <c r="G888" s="1165"/>
      <c r="H888" s="1166"/>
      <c r="I888" s="1170">
        <f>SUM(J888:N888)</f>
        <v>0</v>
      </c>
      <c r="J888" s="1168"/>
      <c r="K888" s="1168"/>
      <c r="L888" s="1168"/>
      <c r="M888" s="1168"/>
      <c r="N888" s="1169"/>
    </row>
    <row r="889" spans="1:16" s="7" customFormat="1" ht="16.5" x14ac:dyDescent="0.3">
      <c r="A889" s="184">
        <v>879</v>
      </c>
      <c r="B889" s="1252"/>
      <c r="C889" s="1182"/>
      <c r="D889" s="1311" t="s">
        <v>609</v>
      </c>
      <c r="E889" s="1164"/>
      <c r="F889" s="1276"/>
      <c r="G889" s="1165"/>
      <c r="H889" s="1166" t="s">
        <v>24</v>
      </c>
      <c r="I889" s="1170"/>
      <c r="J889" s="1168"/>
      <c r="K889" s="1168"/>
      <c r="L889" s="1168"/>
      <c r="M889" s="1168"/>
      <c r="N889" s="1169"/>
    </row>
    <row r="890" spans="1:16" s="7" customFormat="1" ht="16.5" x14ac:dyDescent="0.3">
      <c r="A890" s="184">
        <v>880</v>
      </c>
      <c r="B890" s="1252"/>
      <c r="C890" s="1182"/>
      <c r="D890" s="1311" t="s">
        <v>311</v>
      </c>
      <c r="E890" s="1164"/>
      <c r="F890" s="1276"/>
      <c r="G890" s="1165"/>
      <c r="H890" s="1166"/>
      <c r="I890" s="1170">
        <f>SUM(J890:N890)</f>
        <v>0</v>
      </c>
      <c r="J890" s="1168"/>
      <c r="K890" s="1168"/>
      <c r="L890" s="1168"/>
      <c r="M890" s="1168"/>
      <c r="N890" s="1169"/>
    </row>
    <row r="891" spans="1:16" s="7" customFormat="1" ht="16.5" x14ac:dyDescent="0.3">
      <c r="A891" s="184">
        <v>881</v>
      </c>
      <c r="B891" s="1252"/>
      <c r="C891" s="1182"/>
      <c r="D891" s="1311" t="s">
        <v>608</v>
      </c>
      <c r="E891" s="1164"/>
      <c r="F891" s="1276"/>
      <c r="G891" s="1165"/>
      <c r="H891" s="1166" t="s">
        <v>24</v>
      </c>
      <c r="I891" s="1170"/>
      <c r="J891" s="1168"/>
      <c r="K891" s="1168"/>
      <c r="L891" s="1168"/>
      <c r="M891" s="1168"/>
      <c r="N891" s="1169"/>
    </row>
    <row r="892" spans="1:16" s="7" customFormat="1" ht="16.5" x14ac:dyDescent="0.3">
      <c r="A892" s="184">
        <v>882</v>
      </c>
      <c r="B892" s="1252"/>
      <c r="C892" s="1182"/>
      <c r="D892" s="1311" t="s">
        <v>311</v>
      </c>
      <c r="E892" s="1164"/>
      <c r="F892" s="1276"/>
      <c r="G892" s="1165"/>
      <c r="H892" s="1166"/>
      <c r="I892" s="1170">
        <f>SUM(J892:N892)</f>
        <v>0</v>
      </c>
      <c r="J892" s="1168"/>
      <c r="K892" s="1168"/>
      <c r="L892" s="1168"/>
      <c r="M892" s="1168"/>
      <c r="N892" s="1169"/>
    </row>
    <row r="893" spans="1:16" s="8" customFormat="1" x14ac:dyDescent="0.3">
      <c r="A893" s="184">
        <v>883</v>
      </c>
      <c r="B893" s="1203"/>
      <c r="C893" s="1182"/>
      <c r="D893" s="1321" t="s">
        <v>523</v>
      </c>
      <c r="E893" s="1175"/>
      <c r="F893" s="1206"/>
      <c r="G893" s="1207"/>
      <c r="H893" s="1177" t="s">
        <v>24</v>
      </c>
      <c r="I893" s="1225"/>
      <c r="J893" s="1185"/>
      <c r="K893" s="1185"/>
      <c r="L893" s="1185"/>
      <c r="M893" s="1185"/>
      <c r="N893" s="1195"/>
      <c r="P893" s="7"/>
    </row>
    <row r="894" spans="1:16" s="8" customFormat="1" x14ac:dyDescent="0.3">
      <c r="A894" s="184">
        <v>884</v>
      </c>
      <c r="B894" s="1203"/>
      <c r="C894" s="1182"/>
      <c r="D894" s="1321" t="s">
        <v>565</v>
      </c>
      <c r="E894" s="1175"/>
      <c r="F894" s="1206"/>
      <c r="G894" s="1207"/>
      <c r="H894" s="1177" t="s">
        <v>24</v>
      </c>
      <c r="I894" s="1225"/>
      <c r="J894" s="1185"/>
      <c r="K894" s="1185"/>
      <c r="L894" s="1185"/>
      <c r="M894" s="1185"/>
      <c r="N894" s="1195"/>
      <c r="P894" s="7"/>
    </row>
    <row r="895" spans="1:16" s="8" customFormat="1" x14ac:dyDescent="0.3">
      <c r="A895" s="184">
        <v>885</v>
      </c>
      <c r="B895" s="1203"/>
      <c r="C895" s="1182"/>
      <c r="D895" s="1321" t="s">
        <v>488</v>
      </c>
      <c r="E895" s="1175"/>
      <c r="F895" s="1206"/>
      <c r="G895" s="1207"/>
      <c r="H895" s="1177" t="s">
        <v>24</v>
      </c>
      <c r="I895" s="1225"/>
      <c r="J895" s="1185"/>
      <c r="K895" s="1185"/>
      <c r="L895" s="1185"/>
      <c r="M895" s="1185"/>
      <c r="N895" s="1195"/>
      <c r="P895" s="7"/>
    </row>
    <row r="896" spans="1:16" s="7" customFormat="1" ht="16.5" x14ac:dyDescent="0.3">
      <c r="A896" s="184">
        <v>886</v>
      </c>
      <c r="B896" s="1252"/>
      <c r="C896" s="1182"/>
      <c r="D896" s="1311" t="s">
        <v>566</v>
      </c>
      <c r="E896" s="1164"/>
      <c r="F896" s="1276"/>
      <c r="G896" s="1165"/>
      <c r="H896" s="1177" t="s">
        <v>24</v>
      </c>
      <c r="I896" s="1170"/>
      <c r="J896" s="1168"/>
      <c r="K896" s="1168"/>
      <c r="L896" s="1168"/>
      <c r="M896" s="1168"/>
      <c r="N896" s="1169"/>
    </row>
    <row r="897" spans="1:16" s="7" customFormat="1" ht="16.5" x14ac:dyDescent="0.3">
      <c r="A897" s="184">
        <v>887</v>
      </c>
      <c r="B897" s="1252"/>
      <c r="C897" s="1182"/>
      <c r="D897" s="1311" t="s">
        <v>567</v>
      </c>
      <c r="E897" s="1164"/>
      <c r="F897" s="1276"/>
      <c r="G897" s="1165"/>
      <c r="H897" s="1177" t="s">
        <v>24</v>
      </c>
      <c r="I897" s="1170"/>
      <c r="J897" s="1168"/>
      <c r="K897" s="1168"/>
      <c r="L897" s="1168"/>
      <c r="M897" s="1168"/>
      <c r="N897" s="1169"/>
    </row>
    <row r="898" spans="1:16" s="7" customFormat="1" ht="16.5" x14ac:dyDescent="0.3">
      <c r="A898" s="184">
        <v>888</v>
      </c>
      <c r="B898" s="1252"/>
      <c r="C898" s="1182"/>
      <c r="D898" s="1311" t="s">
        <v>568</v>
      </c>
      <c r="E898" s="1164"/>
      <c r="F898" s="1276"/>
      <c r="G898" s="1165"/>
      <c r="H898" s="1177" t="s">
        <v>24</v>
      </c>
      <c r="I898" s="1170"/>
      <c r="J898" s="1168"/>
      <c r="K898" s="1168"/>
      <c r="L898" s="1168"/>
      <c r="M898" s="1168"/>
      <c r="N898" s="1169"/>
    </row>
    <row r="899" spans="1:16" s="3" customFormat="1" ht="16.5" x14ac:dyDescent="0.3">
      <c r="A899" s="184">
        <v>889</v>
      </c>
      <c r="B899" s="1250"/>
      <c r="C899" s="1182"/>
      <c r="D899" s="1311" t="s">
        <v>493</v>
      </c>
      <c r="E899" s="1164"/>
      <c r="F899" s="1164"/>
      <c r="G899" s="1165"/>
      <c r="H899" s="1166" t="s">
        <v>24</v>
      </c>
      <c r="I899" s="1170"/>
      <c r="J899" s="1168"/>
      <c r="K899" s="1168"/>
      <c r="L899" s="1168"/>
      <c r="M899" s="1168"/>
      <c r="N899" s="1169"/>
      <c r="O899" s="7"/>
      <c r="P899" s="7"/>
    </row>
    <row r="900" spans="1:16" s="7" customFormat="1" ht="30" x14ac:dyDescent="0.3">
      <c r="A900" s="184">
        <v>890</v>
      </c>
      <c r="B900" s="1252"/>
      <c r="C900" s="1204"/>
      <c r="D900" s="1311" t="s">
        <v>536</v>
      </c>
      <c r="E900" s="1164"/>
      <c r="F900" s="1276"/>
      <c r="G900" s="1165"/>
      <c r="H900" s="1177" t="s">
        <v>24</v>
      </c>
      <c r="I900" s="1170"/>
      <c r="J900" s="1168"/>
      <c r="K900" s="1168"/>
      <c r="L900" s="1168"/>
      <c r="M900" s="1168"/>
      <c r="N900" s="1169"/>
    </row>
    <row r="901" spans="1:16" s="7" customFormat="1" ht="16.5" x14ac:dyDescent="0.3">
      <c r="A901" s="184">
        <v>891</v>
      </c>
      <c r="B901" s="1252"/>
      <c r="C901" s="1182"/>
      <c r="D901" s="1311" t="s">
        <v>504</v>
      </c>
      <c r="E901" s="1164"/>
      <c r="F901" s="1276"/>
      <c r="G901" s="1165"/>
      <c r="H901" s="1177" t="s">
        <v>24</v>
      </c>
      <c r="I901" s="1170"/>
      <c r="J901" s="1168"/>
      <c r="K901" s="1168"/>
      <c r="L901" s="1168"/>
      <c r="M901" s="1168"/>
      <c r="N901" s="1169"/>
    </row>
    <row r="902" spans="1:16" s="7" customFormat="1" ht="16.5" x14ac:dyDescent="0.3">
      <c r="A902" s="184">
        <v>892</v>
      </c>
      <c r="B902" s="1252"/>
      <c r="C902" s="1182"/>
      <c r="D902" s="1311" t="s">
        <v>569</v>
      </c>
      <c r="E902" s="1164"/>
      <c r="F902" s="1276"/>
      <c r="G902" s="1165"/>
      <c r="H902" s="1177" t="s">
        <v>24</v>
      </c>
      <c r="I902" s="1170"/>
      <c r="J902" s="1168"/>
      <c r="K902" s="1168"/>
      <c r="L902" s="1168"/>
      <c r="M902" s="1168"/>
      <c r="N902" s="1169"/>
    </row>
    <row r="903" spans="1:16" s="7" customFormat="1" ht="16.5" x14ac:dyDescent="0.3">
      <c r="A903" s="184">
        <v>893</v>
      </c>
      <c r="B903" s="1252"/>
      <c r="C903" s="1182"/>
      <c r="D903" s="1311" t="s">
        <v>539</v>
      </c>
      <c r="E903" s="1164"/>
      <c r="F903" s="1276"/>
      <c r="G903" s="1165"/>
      <c r="H903" s="1177" t="s">
        <v>24</v>
      </c>
      <c r="I903" s="1170"/>
      <c r="J903" s="1168"/>
      <c r="K903" s="1168"/>
      <c r="L903" s="1168"/>
      <c r="M903" s="1168"/>
      <c r="N903" s="1169"/>
    </row>
    <row r="904" spans="1:16" s="7" customFormat="1" ht="16.5" x14ac:dyDescent="0.3">
      <c r="A904" s="184">
        <v>894</v>
      </c>
      <c r="B904" s="1252"/>
      <c r="C904" s="1182"/>
      <c r="D904" s="1311" t="s">
        <v>570</v>
      </c>
      <c r="E904" s="1164"/>
      <c r="F904" s="1276"/>
      <c r="G904" s="1165"/>
      <c r="H904" s="1177" t="s">
        <v>24</v>
      </c>
      <c r="I904" s="1170"/>
      <c r="J904" s="1168"/>
      <c r="K904" s="1168"/>
      <c r="L904" s="1168"/>
      <c r="M904" s="1168"/>
      <c r="N904" s="1169"/>
    </row>
    <row r="905" spans="1:16" s="7" customFormat="1" ht="16.5" x14ac:dyDescent="0.3">
      <c r="A905" s="184">
        <v>895</v>
      </c>
      <c r="B905" s="1252"/>
      <c r="C905" s="1182"/>
      <c r="D905" s="1311" t="s">
        <v>503</v>
      </c>
      <c r="E905" s="1164"/>
      <c r="F905" s="1276"/>
      <c r="G905" s="1165"/>
      <c r="H905" s="1177" t="s">
        <v>24</v>
      </c>
      <c r="I905" s="1170"/>
      <c r="J905" s="1168"/>
      <c r="K905" s="1168"/>
      <c r="L905" s="1168"/>
      <c r="M905" s="1168"/>
      <c r="N905" s="1169"/>
    </row>
    <row r="906" spans="1:16" s="7" customFormat="1" ht="16.5" x14ac:dyDescent="0.3">
      <c r="A906" s="184">
        <v>896</v>
      </c>
      <c r="B906" s="1252"/>
      <c r="C906" s="1182"/>
      <c r="D906" s="1311" t="s">
        <v>535</v>
      </c>
      <c r="E906" s="1164"/>
      <c r="F906" s="1276"/>
      <c r="G906" s="1165"/>
      <c r="H906" s="1177" t="s">
        <v>24</v>
      </c>
      <c r="I906" s="1170"/>
      <c r="J906" s="1168"/>
      <c r="K906" s="1168"/>
      <c r="L906" s="1168"/>
      <c r="M906" s="1168"/>
      <c r="N906" s="1169"/>
    </row>
    <row r="907" spans="1:16" s="7" customFormat="1" ht="16.5" x14ac:dyDescent="0.3">
      <c r="A907" s="184">
        <v>897</v>
      </c>
      <c r="B907" s="1252"/>
      <c r="C907" s="1182"/>
      <c r="D907" s="1311" t="s">
        <v>537</v>
      </c>
      <c r="E907" s="1164"/>
      <c r="F907" s="1276"/>
      <c r="G907" s="1165"/>
      <c r="H907" s="1177" t="s">
        <v>24</v>
      </c>
      <c r="I907" s="1170"/>
      <c r="J907" s="1168"/>
      <c r="K907" s="1168"/>
      <c r="L907" s="1168"/>
      <c r="M907" s="1168"/>
      <c r="N907" s="1169"/>
    </row>
    <row r="908" spans="1:16" s="7" customFormat="1" ht="16.5" x14ac:dyDescent="0.3">
      <c r="A908" s="184">
        <v>898</v>
      </c>
      <c r="B908" s="1252"/>
      <c r="C908" s="1182"/>
      <c r="D908" s="1311" t="s">
        <v>458</v>
      </c>
      <c r="E908" s="1164"/>
      <c r="F908" s="1276"/>
      <c r="G908" s="1165"/>
      <c r="H908" s="1177" t="s">
        <v>23</v>
      </c>
      <c r="I908" s="1170"/>
      <c r="J908" s="1168"/>
      <c r="K908" s="1168"/>
      <c r="L908" s="1168"/>
      <c r="M908" s="1168"/>
      <c r="N908" s="1169"/>
    </row>
    <row r="909" spans="1:16" s="82" customFormat="1" ht="16.5" x14ac:dyDescent="0.3">
      <c r="A909" s="184">
        <v>899</v>
      </c>
      <c r="B909" s="1252"/>
      <c r="C909" s="1182"/>
      <c r="D909" s="1311" t="s">
        <v>315</v>
      </c>
      <c r="E909" s="1164"/>
      <c r="F909" s="1276"/>
      <c r="G909" s="1165"/>
      <c r="H909" s="1166" t="s">
        <v>24</v>
      </c>
      <c r="I909" s="1170"/>
      <c r="J909" s="1168"/>
      <c r="K909" s="1168"/>
      <c r="L909" s="1168"/>
      <c r="M909" s="1168"/>
      <c r="N909" s="1169"/>
      <c r="O909" s="81"/>
      <c r="P909" s="7"/>
    </row>
    <row r="910" spans="1:16" s="82" customFormat="1" ht="30" x14ac:dyDescent="0.3">
      <c r="A910" s="184">
        <v>900</v>
      </c>
      <c r="B910" s="1252"/>
      <c r="C910" s="1204"/>
      <c r="D910" s="1321" t="s">
        <v>459</v>
      </c>
      <c r="E910" s="1164"/>
      <c r="F910" s="1164"/>
      <c r="G910" s="1165"/>
      <c r="H910" s="1166" t="s">
        <v>24</v>
      </c>
      <c r="I910" s="1170"/>
      <c r="J910" s="1168"/>
      <c r="K910" s="1168"/>
      <c r="L910" s="1168"/>
      <c r="M910" s="1168"/>
      <c r="N910" s="1169"/>
      <c r="O910" s="81"/>
      <c r="P910" s="7"/>
    </row>
    <row r="911" spans="1:16" s="82" customFormat="1" ht="45" x14ac:dyDescent="0.3">
      <c r="A911" s="184">
        <v>901</v>
      </c>
      <c r="B911" s="1252"/>
      <c r="C911" s="1204"/>
      <c r="D911" s="1321" t="s">
        <v>572</v>
      </c>
      <c r="E911" s="1164"/>
      <c r="F911" s="1164"/>
      <c r="G911" s="1165"/>
      <c r="H911" s="1166" t="s">
        <v>24</v>
      </c>
      <c r="I911" s="1170"/>
      <c r="J911" s="1168"/>
      <c r="K911" s="1168"/>
      <c r="L911" s="1168"/>
      <c r="M911" s="1168"/>
      <c r="N911" s="1169"/>
      <c r="O911" s="81"/>
      <c r="P911" s="7"/>
    </row>
    <row r="912" spans="1:16" s="3" customFormat="1" ht="30" x14ac:dyDescent="0.3">
      <c r="A912" s="184">
        <v>902</v>
      </c>
      <c r="B912" s="1172"/>
      <c r="C912" s="1204"/>
      <c r="D912" s="1311" t="s">
        <v>460</v>
      </c>
      <c r="E912" s="1175"/>
      <c r="F912" s="1175"/>
      <c r="G912" s="1176"/>
      <c r="H912" s="1166" t="s">
        <v>24</v>
      </c>
      <c r="I912" s="1170"/>
      <c r="J912" s="1168"/>
      <c r="K912" s="1168"/>
      <c r="L912" s="1168"/>
      <c r="M912" s="1168"/>
      <c r="N912" s="1169"/>
      <c r="O912" s="7"/>
      <c r="P912" s="7"/>
    </row>
    <row r="913" spans="1:16" s="3" customFormat="1" ht="16.5" x14ac:dyDescent="0.3">
      <c r="A913" s="184">
        <v>903</v>
      </c>
      <c r="B913" s="1250"/>
      <c r="C913" s="1182"/>
      <c r="D913" s="1311" t="s">
        <v>552</v>
      </c>
      <c r="E913" s="1164"/>
      <c r="F913" s="1164"/>
      <c r="G913" s="1165"/>
      <c r="H913" s="1166" t="s">
        <v>24</v>
      </c>
      <c r="I913" s="1170"/>
      <c r="J913" s="1168"/>
      <c r="K913" s="1168"/>
      <c r="L913" s="1168"/>
      <c r="M913" s="1168"/>
      <c r="N913" s="1169"/>
      <c r="O913" s="7"/>
      <c r="P913" s="7"/>
    </row>
    <row r="914" spans="1:16" s="82" customFormat="1" ht="16.5" x14ac:dyDescent="0.3">
      <c r="A914" s="184">
        <v>904</v>
      </c>
      <c r="B914" s="1252"/>
      <c r="C914" s="1182"/>
      <c r="D914" s="1321" t="s">
        <v>394</v>
      </c>
      <c r="E914" s="1164"/>
      <c r="F914" s="1164"/>
      <c r="G914" s="1165"/>
      <c r="H914" s="1166" t="s">
        <v>24</v>
      </c>
      <c r="I914" s="1170"/>
      <c r="J914" s="1168"/>
      <c r="K914" s="1168"/>
      <c r="L914" s="1168"/>
      <c r="M914" s="1168"/>
      <c r="N914" s="1169"/>
      <c r="P914" s="7"/>
    </row>
    <row r="915" spans="1:16" s="3" customFormat="1" ht="16.5" x14ac:dyDescent="0.3">
      <c r="A915" s="184">
        <v>905</v>
      </c>
      <c r="B915" s="1250"/>
      <c r="C915" s="1182"/>
      <c r="D915" s="1321" t="s">
        <v>395</v>
      </c>
      <c r="E915" s="1164"/>
      <c r="F915" s="1164"/>
      <c r="G915" s="1165"/>
      <c r="H915" s="1166" t="s">
        <v>24</v>
      </c>
      <c r="I915" s="1170"/>
      <c r="J915" s="1168"/>
      <c r="K915" s="1168"/>
      <c r="L915" s="1168"/>
      <c r="M915" s="1168"/>
      <c r="N915" s="1169"/>
      <c r="O915" s="7"/>
      <c r="P915" s="7"/>
    </row>
    <row r="916" spans="1:16" s="7" customFormat="1" ht="16.5" x14ac:dyDescent="0.3">
      <c r="A916" s="184">
        <v>906</v>
      </c>
      <c r="B916" s="1172"/>
      <c r="C916" s="1182"/>
      <c r="D916" s="1311" t="s">
        <v>406</v>
      </c>
      <c r="E916" s="1175"/>
      <c r="F916" s="1175"/>
      <c r="G916" s="1176"/>
      <c r="H916" s="1166" t="s">
        <v>24</v>
      </c>
      <c r="I916" s="1170"/>
      <c r="J916" s="1168"/>
      <c r="K916" s="1168"/>
      <c r="L916" s="1168"/>
      <c r="M916" s="1168"/>
      <c r="N916" s="1169"/>
    </row>
    <row r="917" spans="1:16" s="3" customFormat="1" ht="16.5" x14ac:dyDescent="0.3">
      <c r="A917" s="184">
        <v>907</v>
      </c>
      <c r="B917" s="1172"/>
      <c r="C917" s="1182"/>
      <c r="D917" s="1311" t="s">
        <v>405</v>
      </c>
      <c r="E917" s="1175"/>
      <c r="F917" s="1175"/>
      <c r="G917" s="1176"/>
      <c r="H917" s="1166" t="s">
        <v>24</v>
      </c>
      <c r="I917" s="1170"/>
      <c r="J917" s="1168"/>
      <c r="K917" s="1168"/>
      <c r="L917" s="1168"/>
      <c r="M917" s="1168"/>
      <c r="N917" s="1169"/>
      <c r="O917" s="7"/>
      <c r="P917" s="7"/>
    </row>
    <row r="918" spans="1:16" s="3" customFormat="1" ht="16.5" x14ac:dyDescent="0.3">
      <c r="A918" s="184">
        <v>908</v>
      </c>
      <c r="B918" s="1172"/>
      <c r="C918" s="1182"/>
      <c r="D918" s="1311" t="s">
        <v>573</v>
      </c>
      <c r="E918" s="1175"/>
      <c r="F918" s="1175"/>
      <c r="G918" s="1176"/>
      <c r="H918" s="1166" t="s">
        <v>24</v>
      </c>
      <c r="I918" s="1170"/>
      <c r="J918" s="1168"/>
      <c r="K918" s="1168"/>
      <c r="L918" s="1168"/>
      <c r="M918" s="1168"/>
      <c r="N918" s="1169"/>
      <c r="O918" s="7"/>
      <c r="P918" s="7"/>
    </row>
    <row r="919" spans="1:16" s="3" customFormat="1" ht="16.5" x14ac:dyDescent="0.3">
      <c r="A919" s="184">
        <v>909</v>
      </c>
      <c r="B919" s="1250"/>
      <c r="C919" s="1182"/>
      <c r="D919" s="1311" t="s">
        <v>494</v>
      </c>
      <c r="E919" s="1164"/>
      <c r="F919" s="1164"/>
      <c r="G919" s="1165"/>
      <c r="H919" s="1166" t="s">
        <v>24</v>
      </c>
      <c r="I919" s="1170"/>
      <c r="J919" s="1168"/>
      <c r="K919" s="1168"/>
      <c r="L919" s="1168"/>
      <c r="M919" s="1168"/>
      <c r="N919" s="1169"/>
      <c r="O919" s="7"/>
      <c r="P919" s="7"/>
    </row>
    <row r="920" spans="1:16" s="3" customFormat="1" ht="30" x14ac:dyDescent="0.3">
      <c r="A920" s="184">
        <v>910</v>
      </c>
      <c r="B920" s="1250"/>
      <c r="C920" s="1204"/>
      <c r="D920" s="1311" t="s">
        <v>468</v>
      </c>
      <c r="E920" s="1164"/>
      <c r="F920" s="1164"/>
      <c r="G920" s="1165"/>
      <c r="H920" s="1323" t="s">
        <v>24</v>
      </c>
      <c r="I920" s="1170"/>
      <c r="J920" s="1168"/>
      <c r="K920" s="1168"/>
      <c r="L920" s="1168"/>
      <c r="M920" s="1168"/>
      <c r="N920" s="1169"/>
      <c r="O920" s="7"/>
      <c r="P920" s="7"/>
    </row>
    <row r="921" spans="1:16" s="3" customFormat="1" ht="30" x14ac:dyDescent="0.3">
      <c r="A921" s="184">
        <v>911</v>
      </c>
      <c r="B921" s="1250"/>
      <c r="C921" s="1204"/>
      <c r="D921" s="1311" t="s">
        <v>574</v>
      </c>
      <c r="E921" s="1164"/>
      <c r="F921" s="1164"/>
      <c r="G921" s="1165"/>
      <c r="H921" s="1323" t="s">
        <v>24</v>
      </c>
      <c r="I921" s="1170"/>
      <c r="J921" s="1168"/>
      <c r="K921" s="1168"/>
      <c r="L921" s="1168"/>
      <c r="M921" s="1168"/>
      <c r="N921" s="1169"/>
      <c r="O921" s="7"/>
      <c r="P921" s="7"/>
    </row>
    <row r="922" spans="1:16" s="3" customFormat="1" ht="16.5" x14ac:dyDescent="0.3">
      <c r="A922" s="184">
        <v>912</v>
      </c>
      <c r="B922" s="1250"/>
      <c r="C922" s="1182"/>
      <c r="D922" s="1311" t="s">
        <v>575</v>
      </c>
      <c r="E922" s="1164"/>
      <c r="F922" s="1164"/>
      <c r="G922" s="1165"/>
      <c r="H922" s="1323" t="s">
        <v>24</v>
      </c>
      <c r="I922" s="1170"/>
      <c r="J922" s="1168"/>
      <c r="K922" s="1168"/>
      <c r="L922" s="1168"/>
      <c r="M922" s="1168"/>
      <c r="N922" s="1169"/>
      <c r="O922" s="7"/>
      <c r="P922" s="7"/>
    </row>
    <row r="923" spans="1:16" s="3" customFormat="1" ht="16.5" x14ac:dyDescent="0.3">
      <c r="A923" s="184">
        <v>913</v>
      </c>
      <c r="B923" s="1250"/>
      <c r="C923" s="1182"/>
      <c r="D923" s="1311" t="s">
        <v>576</v>
      </c>
      <c r="E923" s="1164"/>
      <c r="F923" s="1164"/>
      <c r="G923" s="1165"/>
      <c r="H923" s="1323" t="s">
        <v>24</v>
      </c>
      <c r="I923" s="1170"/>
      <c r="J923" s="1168"/>
      <c r="K923" s="1168"/>
      <c r="L923" s="1168"/>
      <c r="M923" s="1168"/>
      <c r="N923" s="1169"/>
      <c r="O923" s="7"/>
      <c r="P923" s="7"/>
    </row>
    <row r="924" spans="1:16" s="3" customFormat="1" ht="16.5" x14ac:dyDescent="0.3">
      <c r="A924" s="184">
        <v>914</v>
      </c>
      <c r="B924" s="1250"/>
      <c r="C924" s="1182"/>
      <c r="D924" s="1311" t="s">
        <v>577</v>
      </c>
      <c r="E924" s="1164"/>
      <c r="F924" s="1164"/>
      <c r="G924" s="1165"/>
      <c r="H924" s="1323" t="s">
        <v>24</v>
      </c>
      <c r="I924" s="1170"/>
      <c r="J924" s="1168"/>
      <c r="K924" s="1168"/>
      <c r="L924" s="1168"/>
      <c r="M924" s="1168"/>
      <c r="N924" s="1169"/>
      <c r="O924" s="7"/>
      <c r="P924" s="7"/>
    </row>
    <row r="925" spans="1:16" s="3" customFormat="1" ht="16.5" x14ac:dyDescent="0.3">
      <c r="A925" s="184">
        <v>915</v>
      </c>
      <c r="B925" s="1250"/>
      <c r="C925" s="1182"/>
      <c r="D925" s="1311" t="s">
        <v>495</v>
      </c>
      <c r="E925" s="1164"/>
      <c r="F925" s="1164"/>
      <c r="G925" s="1165"/>
      <c r="H925" s="1166" t="s">
        <v>24</v>
      </c>
      <c r="I925" s="1170"/>
      <c r="J925" s="1168"/>
      <c r="K925" s="1168"/>
      <c r="L925" s="1168"/>
      <c r="M925" s="1168"/>
      <c r="N925" s="1169"/>
      <c r="O925" s="7"/>
      <c r="P925" s="7"/>
    </row>
    <row r="926" spans="1:16" s="3" customFormat="1" ht="16.5" x14ac:dyDescent="0.3">
      <c r="A926" s="184">
        <v>916</v>
      </c>
      <c r="B926" s="1250"/>
      <c r="C926" s="1182"/>
      <c r="D926" s="1311" t="s">
        <v>578</v>
      </c>
      <c r="E926" s="1164"/>
      <c r="F926" s="1164"/>
      <c r="G926" s="1165"/>
      <c r="H926" s="1166" t="s">
        <v>24</v>
      </c>
      <c r="I926" s="1170"/>
      <c r="J926" s="1168"/>
      <c r="K926" s="1168"/>
      <c r="L926" s="1168"/>
      <c r="M926" s="1168"/>
      <c r="N926" s="1169"/>
      <c r="O926" s="7"/>
      <c r="P926" s="7"/>
    </row>
    <row r="927" spans="1:16" s="3" customFormat="1" ht="30" x14ac:dyDescent="0.3">
      <c r="A927" s="184">
        <v>917</v>
      </c>
      <c r="B927" s="1250"/>
      <c r="C927" s="1204"/>
      <c r="D927" s="1311" t="s">
        <v>509</v>
      </c>
      <c r="E927" s="1164"/>
      <c r="F927" s="1164"/>
      <c r="G927" s="1165"/>
      <c r="H927" s="1323" t="s">
        <v>24</v>
      </c>
      <c r="I927" s="1170"/>
      <c r="J927" s="1168"/>
      <c r="K927" s="1168"/>
      <c r="L927" s="1168"/>
      <c r="M927" s="1168"/>
      <c r="N927" s="1169"/>
      <c r="O927" s="7"/>
      <c r="P927" s="7"/>
    </row>
    <row r="928" spans="1:16" s="3" customFormat="1" ht="16.5" x14ac:dyDescent="0.3">
      <c r="A928" s="184">
        <v>918</v>
      </c>
      <c r="B928" s="1250"/>
      <c r="C928" s="1182"/>
      <c r="D928" s="1311" t="s">
        <v>508</v>
      </c>
      <c r="E928" s="1164"/>
      <c r="F928" s="1164"/>
      <c r="G928" s="1165"/>
      <c r="H928" s="1166" t="s">
        <v>24</v>
      </c>
      <c r="I928" s="1170"/>
      <c r="J928" s="1168"/>
      <c r="K928" s="1168"/>
      <c r="L928" s="1168"/>
      <c r="M928" s="1168"/>
      <c r="N928" s="1169"/>
      <c r="O928" s="7"/>
      <c r="P928" s="7"/>
    </row>
    <row r="929" spans="1:16" s="3" customFormat="1" ht="16.5" x14ac:dyDescent="0.3">
      <c r="A929" s="184">
        <v>919</v>
      </c>
      <c r="B929" s="1250"/>
      <c r="C929" s="1182"/>
      <c r="D929" s="1311" t="s">
        <v>511</v>
      </c>
      <c r="E929" s="1164"/>
      <c r="F929" s="1164"/>
      <c r="G929" s="1165"/>
      <c r="H929" s="1166" t="s">
        <v>24</v>
      </c>
      <c r="I929" s="1170"/>
      <c r="J929" s="1168"/>
      <c r="K929" s="1168"/>
      <c r="L929" s="1168"/>
      <c r="M929" s="1168"/>
      <c r="N929" s="1169"/>
      <c r="O929" s="7"/>
      <c r="P929" s="7"/>
    </row>
    <row r="930" spans="1:16" s="3" customFormat="1" ht="16.5" x14ac:dyDescent="0.3">
      <c r="A930" s="184">
        <v>920</v>
      </c>
      <c r="B930" s="1250"/>
      <c r="C930" s="1182"/>
      <c r="D930" s="1311" t="s">
        <v>579</v>
      </c>
      <c r="E930" s="1164"/>
      <c r="F930" s="1164"/>
      <c r="G930" s="1165"/>
      <c r="H930" s="1166" t="s">
        <v>24</v>
      </c>
      <c r="I930" s="1170"/>
      <c r="J930" s="1168"/>
      <c r="K930" s="1168"/>
      <c r="L930" s="1168"/>
      <c r="M930" s="1168"/>
      <c r="N930" s="1169"/>
      <c r="O930" s="7"/>
      <c r="P930" s="7"/>
    </row>
    <row r="931" spans="1:16" s="3" customFormat="1" ht="16.5" x14ac:dyDescent="0.3">
      <c r="A931" s="184">
        <v>921</v>
      </c>
      <c r="B931" s="1250"/>
      <c r="C931" s="1182"/>
      <c r="D931" s="1311" t="s">
        <v>580</v>
      </c>
      <c r="E931" s="1164"/>
      <c r="F931" s="1164"/>
      <c r="G931" s="1165"/>
      <c r="H931" s="1166" t="s">
        <v>24</v>
      </c>
      <c r="I931" s="1170"/>
      <c r="J931" s="1168"/>
      <c r="K931" s="1168"/>
      <c r="L931" s="1168"/>
      <c r="M931" s="1168"/>
      <c r="N931" s="1169"/>
      <c r="O931" s="7"/>
      <c r="P931" s="7"/>
    </row>
    <row r="932" spans="1:16" s="3" customFormat="1" ht="16.5" x14ac:dyDescent="0.3">
      <c r="A932" s="184">
        <v>922</v>
      </c>
      <c r="B932" s="1250"/>
      <c r="C932" s="1182"/>
      <c r="D932" s="1311" t="s">
        <v>581</v>
      </c>
      <c r="E932" s="1164"/>
      <c r="F932" s="1164"/>
      <c r="G932" s="1165"/>
      <c r="H932" s="1166" t="s">
        <v>24</v>
      </c>
      <c r="I932" s="1170"/>
      <c r="J932" s="1168"/>
      <c r="K932" s="1168"/>
      <c r="L932" s="1168"/>
      <c r="M932" s="1168"/>
      <c r="N932" s="1169"/>
      <c r="O932" s="7"/>
      <c r="P932" s="7"/>
    </row>
    <row r="933" spans="1:16" s="3" customFormat="1" ht="16.5" x14ac:dyDescent="0.3">
      <c r="A933" s="184">
        <v>923</v>
      </c>
      <c r="B933" s="1250"/>
      <c r="C933" s="1182"/>
      <c r="D933" s="1311" t="s">
        <v>582</v>
      </c>
      <c r="E933" s="1164"/>
      <c r="F933" s="1164"/>
      <c r="G933" s="1165"/>
      <c r="H933" s="1166" t="s">
        <v>24</v>
      </c>
      <c r="I933" s="1170"/>
      <c r="J933" s="1168"/>
      <c r="K933" s="1168"/>
      <c r="L933" s="1168"/>
      <c r="M933" s="1168"/>
      <c r="N933" s="1169"/>
      <c r="O933" s="7"/>
      <c r="P933" s="7"/>
    </row>
    <row r="934" spans="1:16" s="3" customFormat="1" ht="30" x14ac:dyDescent="0.3">
      <c r="A934" s="184">
        <v>924</v>
      </c>
      <c r="B934" s="1250"/>
      <c r="C934" s="1182"/>
      <c r="D934" s="1311" t="s">
        <v>583</v>
      </c>
      <c r="E934" s="1164"/>
      <c r="F934" s="1164"/>
      <c r="G934" s="1165"/>
      <c r="H934" s="1166" t="s">
        <v>24</v>
      </c>
      <c r="I934" s="1170"/>
      <c r="J934" s="1168"/>
      <c r="K934" s="1168"/>
      <c r="L934" s="1168"/>
      <c r="M934" s="1168"/>
      <c r="N934" s="1169"/>
      <c r="O934" s="7"/>
      <c r="P934" s="7"/>
    </row>
    <row r="935" spans="1:16" s="3" customFormat="1" ht="16.5" x14ac:dyDescent="0.3">
      <c r="A935" s="184">
        <v>925</v>
      </c>
      <c r="B935" s="1250"/>
      <c r="C935" s="1182"/>
      <c r="D935" s="1311" t="s">
        <v>584</v>
      </c>
      <c r="E935" s="1164"/>
      <c r="F935" s="1164"/>
      <c r="G935" s="1165"/>
      <c r="H935" s="1166" t="s">
        <v>24</v>
      </c>
      <c r="I935" s="1170"/>
      <c r="J935" s="1168"/>
      <c r="K935" s="1168"/>
      <c r="L935" s="1168"/>
      <c r="M935" s="1168"/>
      <c r="N935" s="1169"/>
      <c r="O935" s="7"/>
      <c r="P935" s="7"/>
    </row>
    <row r="936" spans="1:16" s="3" customFormat="1" ht="30" x14ac:dyDescent="0.3">
      <c r="A936" s="184">
        <v>926</v>
      </c>
      <c r="B936" s="1250"/>
      <c r="C936" s="1204"/>
      <c r="D936" s="1311" t="s">
        <v>505</v>
      </c>
      <c r="E936" s="1164"/>
      <c r="F936" s="1164"/>
      <c r="G936" s="1165"/>
      <c r="H936" s="1323" t="s">
        <v>24</v>
      </c>
      <c r="I936" s="1170"/>
      <c r="J936" s="1168"/>
      <c r="K936" s="1168"/>
      <c r="L936" s="1168"/>
      <c r="M936" s="1168"/>
      <c r="N936" s="1169"/>
      <c r="O936" s="7"/>
      <c r="P936" s="7"/>
    </row>
    <row r="937" spans="1:16" s="82" customFormat="1" ht="16.5" x14ac:dyDescent="0.3">
      <c r="A937" s="184">
        <v>927</v>
      </c>
      <c r="B937" s="1252"/>
      <c r="C937" s="1182"/>
      <c r="D937" s="1321" t="s">
        <v>119</v>
      </c>
      <c r="E937" s="1164"/>
      <c r="F937" s="1164"/>
      <c r="G937" s="1165"/>
      <c r="H937" s="1166" t="s">
        <v>24</v>
      </c>
      <c r="I937" s="1170"/>
      <c r="J937" s="1168"/>
      <c r="K937" s="1168"/>
      <c r="L937" s="1168"/>
      <c r="M937" s="1168"/>
      <c r="N937" s="1169"/>
      <c r="O937" s="81"/>
      <c r="P937" s="7"/>
    </row>
    <row r="938" spans="1:16" s="82" customFormat="1" ht="16.5" x14ac:dyDescent="0.3">
      <c r="A938" s="184">
        <v>928</v>
      </c>
      <c r="B938" s="1252"/>
      <c r="C938" s="1182"/>
      <c r="D938" s="1311" t="s">
        <v>491</v>
      </c>
      <c r="E938" s="1164"/>
      <c r="F938" s="1164"/>
      <c r="G938" s="1165"/>
      <c r="H938" s="1166" t="s">
        <v>24</v>
      </c>
      <c r="I938" s="1170"/>
      <c r="J938" s="1168"/>
      <c r="K938" s="1168"/>
      <c r="L938" s="1168"/>
      <c r="M938" s="1168"/>
      <c r="N938" s="1169"/>
      <c r="O938" s="81"/>
      <c r="P938" s="7"/>
    </row>
    <row r="939" spans="1:16" s="82" customFormat="1" ht="16.5" x14ac:dyDescent="0.3">
      <c r="A939" s="184">
        <v>929</v>
      </c>
      <c r="B939" s="1252"/>
      <c r="C939" s="1182"/>
      <c r="D939" s="1311" t="s">
        <v>592</v>
      </c>
      <c r="E939" s="1164"/>
      <c r="F939" s="1164"/>
      <c r="G939" s="1165"/>
      <c r="H939" s="1166" t="s">
        <v>24</v>
      </c>
      <c r="I939" s="1170"/>
      <c r="J939" s="1168"/>
      <c r="K939" s="1168"/>
      <c r="L939" s="1168"/>
      <c r="M939" s="1168"/>
      <c r="N939" s="1169"/>
      <c r="O939" s="81"/>
      <c r="P939" s="7"/>
    </row>
    <row r="940" spans="1:16" s="82" customFormat="1" ht="16.5" x14ac:dyDescent="0.3">
      <c r="A940" s="184">
        <v>930</v>
      </c>
      <c r="B940" s="1252"/>
      <c r="C940" s="1182"/>
      <c r="D940" s="1311" t="s">
        <v>593</v>
      </c>
      <c r="E940" s="1164"/>
      <c r="F940" s="1164"/>
      <c r="G940" s="1165"/>
      <c r="H940" s="1166" t="s">
        <v>24</v>
      </c>
      <c r="I940" s="1170"/>
      <c r="J940" s="1168"/>
      <c r="K940" s="1168"/>
      <c r="L940" s="1168"/>
      <c r="M940" s="1168"/>
      <c r="N940" s="1169"/>
      <c r="O940" s="81"/>
      <c r="P940" s="7"/>
    </row>
    <row r="941" spans="1:16" s="3" customFormat="1" ht="30" x14ac:dyDescent="0.3">
      <c r="A941" s="184">
        <v>931</v>
      </c>
      <c r="B941" s="1250"/>
      <c r="C941" s="1204"/>
      <c r="D941" s="1311" t="s">
        <v>596</v>
      </c>
      <c r="E941" s="1164"/>
      <c r="F941" s="1164"/>
      <c r="G941" s="1165"/>
      <c r="H941" s="1323" t="s">
        <v>23</v>
      </c>
      <c r="I941" s="1170"/>
      <c r="J941" s="1168"/>
      <c r="K941" s="1168"/>
      <c r="L941" s="1168"/>
      <c r="M941" s="1168"/>
      <c r="N941" s="1169"/>
      <c r="O941" s="7"/>
      <c r="P941" s="7"/>
    </row>
    <row r="942" spans="1:16" s="7" customFormat="1" ht="16.5" x14ac:dyDescent="0.3">
      <c r="A942" s="184">
        <v>932</v>
      </c>
      <c r="B942" s="1172"/>
      <c r="C942" s="1182"/>
      <c r="D942" s="1324" t="s">
        <v>274</v>
      </c>
      <c r="E942" s="1175"/>
      <c r="F942" s="1175"/>
      <c r="G942" s="1176"/>
      <c r="H942" s="1166"/>
      <c r="I942" s="1170"/>
      <c r="J942" s="1168"/>
      <c r="K942" s="1168"/>
      <c r="L942" s="1168"/>
      <c r="M942" s="1168"/>
      <c r="N942" s="1169"/>
    </row>
    <row r="943" spans="1:16" s="3" customFormat="1" ht="16.5" x14ac:dyDescent="0.3">
      <c r="A943" s="184">
        <v>933</v>
      </c>
      <c r="B943" s="1172"/>
      <c r="C943" s="1182"/>
      <c r="D943" s="1321" t="s">
        <v>585</v>
      </c>
      <c r="E943" s="1175"/>
      <c r="F943" s="1175"/>
      <c r="G943" s="1176"/>
      <c r="H943" s="1177" t="s">
        <v>24</v>
      </c>
      <c r="I943" s="1187"/>
      <c r="J943" s="1188"/>
      <c r="K943" s="1188"/>
      <c r="L943" s="1188"/>
      <c r="M943" s="1188"/>
      <c r="N943" s="1189"/>
      <c r="O943" s="7"/>
      <c r="P943" s="7"/>
    </row>
    <row r="944" spans="1:16" s="3" customFormat="1" ht="16.5" x14ac:dyDescent="0.3">
      <c r="A944" s="184">
        <v>934</v>
      </c>
      <c r="B944" s="1172"/>
      <c r="C944" s="1182"/>
      <c r="D944" s="1321" t="s">
        <v>277</v>
      </c>
      <c r="E944" s="1175"/>
      <c r="F944" s="1175"/>
      <c r="G944" s="1176"/>
      <c r="H944" s="1177" t="s">
        <v>24</v>
      </c>
      <c r="I944" s="1187"/>
      <c r="J944" s="1188"/>
      <c r="K944" s="1188"/>
      <c r="L944" s="1188"/>
      <c r="M944" s="1188"/>
      <c r="N944" s="1189"/>
      <c r="O944" s="7"/>
      <c r="P944" s="7"/>
    </row>
    <row r="945" spans="1:16" s="3" customFormat="1" ht="16.5" x14ac:dyDescent="0.3">
      <c r="A945" s="184">
        <v>935</v>
      </c>
      <c r="B945" s="1172"/>
      <c r="C945" s="1182"/>
      <c r="D945" s="1321" t="s">
        <v>586</v>
      </c>
      <c r="E945" s="1175"/>
      <c r="F945" s="1175"/>
      <c r="G945" s="1176"/>
      <c r="H945" s="1177" t="s">
        <v>24</v>
      </c>
      <c r="I945" s="1187"/>
      <c r="J945" s="1188"/>
      <c r="K945" s="1188"/>
      <c r="L945" s="1188"/>
      <c r="M945" s="1188"/>
      <c r="N945" s="1189"/>
      <c r="O945" s="7"/>
      <c r="P945" s="7"/>
    </row>
    <row r="946" spans="1:16" s="3" customFormat="1" ht="16.5" x14ac:dyDescent="0.3">
      <c r="A946" s="184">
        <v>936</v>
      </c>
      <c r="B946" s="1172"/>
      <c r="C946" s="1182"/>
      <c r="D946" s="1321" t="s">
        <v>32</v>
      </c>
      <c r="E946" s="1175"/>
      <c r="F946" s="1175"/>
      <c r="G946" s="1176"/>
      <c r="H946" s="1177" t="s">
        <v>24</v>
      </c>
      <c r="I946" s="1187"/>
      <c r="J946" s="1188"/>
      <c r="K946" s="1188"/>
      <c r="L946" s="1188"/>
      <c r="M946" s="1188"/>
      <c r="N946" s="1189"/>
      <c r="O946" s="7"/>
      <c r="P946" s="7"/>
    </row>
    <row r="947" spans="1:16" s="3" customFormat="1" ht="16.5" x14ac:dyDescent="0.3">
      <c r="A947" s="184">
        <v>937</v>
      </c>
      <c r="B947" s="1172"/>
      <c r="C947" s="1182"/>
      <c r="D947" s="1321" t="s">
        <v>498</v>
      </c>
      <c r="E947" s="1175"/>
      <c r="F947" s="1175"/>
      <c r="G947" s="1176"/>
      <c r="H947" s="1177" t="s">
        <v>24</v>
      </c>
      <c r="I947" s="1187"/>
      <c r="J947" s="1188"/>
      <c r="K947" s="1188"/>
      <c r="L947" s="1188"/>
      <c r="M947" s="1188"/>
      <c r="N947" s="1189"/>
      <c r="O947" s="7"/>
      <c r="P947" s="7"/>
    </row>
    <row r="948" spans="1:16" s="3" customFormat="1" ht="16.5" x14ac:dyDescent="0.3">
      <c r="A948" s="184">
        <v>938</v>
      </c>
      <c r="B948" s="1172"/>
      <c r="C948" s="1182"/>
      <c r="D948" s="1321" t="s">
        <v>499</v>
      </c>
      <c r="E948" s="1175"/>
      <c r="F948" s="1175"/>
      <c r="G948" s="1176"/>
      <c r="H948" s="1177" t="s">
        <v>24</v>
      </c>
      <c r="I948" s="1187"/>
      <c r="J948" s="1188"/>
      <c r="K948" s="1188"/>
      <c r="L948" s="1188"/>
      <c r="M948" s="1188"/>
      <c r="N948" s="1189"/>
      <c r="O948" s="7"/>
      <c r="P948" s="7"/>
    </row>
    <row r="949" spans="1:16" s="3" customFormat="1" ht="16.5" x14ac:dyDescent="0.3">
      <c r="A949" s="184">
        <v>939</v>
      </c>
      <c r="B949" s="1172"/>
      <c r="C949" s="1182"/>
      <c r="D949" s="1321" t="s">
        <v>500</v>
      </c>
      <c r="E949" s="1175"/>
      <c r="F949" s="1175"/>
      <c r="G949" s="1176"/>
      <c r="H949" s="1177" t="s">
        <v>24</v>
      </c>
      <c r="I949" s="1187"/>
      <c r="J949" s="1188"/>
      <c r="K949" s="1188"/>
      <c r="L949" s="1188"/>
      <c r="M949" s="1188"/>
      <c r="N949" s="1189"/>
      <c r="O949" s="7"/>
      <c r="P949" s="7"/>
    </row>
    <row r="950" spans="1:16" s="3" customFormat="1" ht="16.5" x14ac:dyDescent="0.3">
      <c r="A950" s="184">
        <v>940</v>
      </c>
      <c r="B950" s="1172"/>
      <c r="C950" s="1182"/>
      <c r="D950" s="1321" t="s">
        <v>501</v>
      </c>
      <c r="E950" s="1175"/>
      <c r="F950" s="1175"/>
      <c r="G950" s="1176"/>
      <c r="H950" s="1177" t="s">
        <v>24</v>
      </c>
      <c r="I950" s="1187"/>
      <c r="J950" s="1188"/>
      <c r="K950" s="1188"/>
      <c r="L950" s="1188"/>
      <c r="M950" s="1188"/>
      <c r="N950" s="1189"/>
      <c r="O950" s="7"/>
      <c r="P950" s="7"/>
    </row>
    <row r="951" spans="1:16" s="3" customFormat="1" ht="16.5" x14ac:dyDescent="0.3">
      <c r="A951" s="184">
        <v>941</v>
      </c>
      <c r="B951" s="1172"/>
      <c r="C951" s="1182"/>
      <c r="D951" s="1321" t="s">
        <v>728</v>
      </c>
      <c r="E951" s="1175"/>
      <c r="F951" s="1175"/>
      <c r="G951" s="1176"/>
      <c r="H951" s="1177" t="s">
        <v>24</v>
      </c>
      <c r="I951" s="1170"/>
      <c r="J951" s="1188"/>
      <c r="K951" s="1188"/>
      <c r="L951" s="1188"/>
      <c r="M951" s="1188"/>
      <c r="N951" s="1189"/>
      <c r="O951" s="7"/>
      <c r="P951" s="7"/>
    </row>
    <row r="952" spans="1:16" s="3" customFormat="1" ht="16.5" x14ac:dyDescent="0.3">
      <c r="A952" s="184">
        <v>942</v>
      </c>
      <c r="B952" s="1172"/>
      <c r="C952" s="1182"/>
      <c r="D952" s="1321" t="s">
        <v>729</v>
      </c>
      <c r="E952" s="1175"/>
      <c r="F952" s="1175"/>
      <c r="G952" s="1176"/>
      <c r="H952" s="1177" t="s">
        <v>24</v>
      </c>
      <c r="I952" s="1187"/>
      <c r="J952" s="1188"/>
      <c r="K952" s="1188"/>
      <c r="L952" s="1188"/>
      <c r="M952" s="1188"/>
      <c r="N952" s="1189"/>
      <c r="O952" s="7"/>
      <c r="P952" s="7"/>
    </row>
    <row r="953" spans="1:16" s="3" customFormat="1" ht="16.5" x14ac:dyDescent="0.3">
      <c r="A953" s="184">
        <v>943</v>
      </c>
      <c r="B953" s="1172"/>
      <c r="C953" s="1182"/>
      <c r="D953" s="1321" t="s">
        <v>587</v>
      </c>
      <c r="E953" s="1175"/>
      <c r="F953" s="1175"/>
      <c r="G953" s="1176"/>
      <c r="H953" s="1177" t="s">
        <v>24</v>
      </c>
      <c r="I953" s="1187"/>
      <c r="J953" s="1188"/>
      <c r="K953" s="1188"/>
      <c r="L953" s="1188"/>
      <c r="M953" s="1188"/>
      <c r="N953" s="1189"/>
      <c r="O953" s="7"/>
      <c r="P953" s="7"/>
    </row>
    <row r="954" spans="1:16" s="3" customFormat="1" ht="16.5" x14ac:dyDescent="0.3">
      <c r="A954" s="184">
        <v>944</v>
      </c>
      <c r="B954" s="1172"/>
      <c r="C954" s="1182"/>
      <c r="D954" s="1324" t="s">
        <v>279</v>
      </c>
      <c r="E954" s="1175"/>
      <c r="F954" s="1175"/>
      <c r="G954" s="1176"/>
      <c r="H954" s="1177"/>
      <c r="I954" s="1187"/>
      <c r="J954" s="1188"/>
      <c r="K954" s="1188"/>
      <c r="L954" s="1188"/>
      <c r="M954" s="1188"/>
      <c r="N954" s="1189"/>
      <c r="O954" s="7"/>
      <c r="P954" s="7"/>
    </row>
    <row r="955" spans="1:16" s="3" customFormat="1" ht="16.5" x14ac:dyDescent="0.3">
      <c r="A955" s="184">
        <v>945</v>
      </c>
      <c r="B955" s="1172"/>
      <c r="C955" s="1182"/>
      <c r="D955" s="1321" t="s">
        <v>589</v>
      </c>
      <c r="E955" s="1175"/>
      <c r="F955" s="1175"/>
      <c r="G955" s="1176"/>
      <c r="H955" s="1177" t="s">
        <v>24</v>
      </c>
      <c r="I955" s="1187"/>
      <c r="J955" s="1188"/>
      <c r="K955" s="1188"/>
      <c r="L955" s="1188"/>
      <c r="M955" s="1188"/>
      <c r="N955" s="1189"/>
      <c r="O955" s="7"/>
      <c r="P955" s="7"/>
    </row>
    <row r="956" spans="1:16" s="3" customFormat="1" ht="30" x14ac:dyDescent="0.3">
      <c r="A956" s="184">
        <v>946</v>
      </c>
      <c r="B956" s="1172"/>
      <c r="C956" s="1182"/>
      <c r="D956" s="1321" t="s">
        <v>291</v>
      </c>
      <c r="E956" s="1175"/>
      <c r="F956" s="1175"/>
      <c r="G956" s="1176"/>
      <c r="H956" s="1177" t="s">
        <v>24</v>
      </c>
      <c r="I956" s="1187"/>
      <c r="J956" s="1188"/>
      <c r="K956" s="1188"/>
      <c r="L956" s="1188"/>
      <c r="M956" s="1188"/>
      <c r="N956" s="1189"/>
      <c r="O956" s="7"/>
      <c r="P956" s="7"/>
    </row>
    <row r="957" spans="1:16" s="3" customFormat="1" ht="16.5" x14ac:dyDescent="0.3">
      <c r="A957" s="184">
        <v>947</v>
      </c>
      <c r="B957" s="1172"/>
      <c r="C957" s="1182"/>
      <c r="D957" s="1321" t="s">
        <v>316</v>
      </c>
      <c r="E957" s="1175"/>
      <c r="F957" s="1175"/>
      <c r="G957" s="1176"/>
      <c r="H957" s="1177" t="s">
        <v>24</v>
      </c>
      <c r="I957" s="1187"/>
      <c r="J957" s="1188"/>
      <c r="K957" s="1188"/>
      <c r="L957" s="1188"/>
      <c r="M957" s="1188"/>
      <c r="N957" s="1189"/>
      <c r="O957" s="7"/>
      <c r="P957" s="7"/>
    </row>
    <row r="958" spans="1:16" s="3" customFormat="1" ht="16.5" x14ac:dyDescent="0.3">
      <c r="A958" s="184">
        <v>948</v>
      </c>
      <c r="B958" s="1172"/>
      <c r="C958" s="1182"/>
      <c r="D958" s="1321" t="s">
        <v>590</v>
      </c>
      <c r="E958" s="1175"/>
      <c r="F958" s="1175"/>
      <c r="G958" s="1176"/>
      <c r="H958" s="1177" t="s">
        <v>24</v>
      </c>
      <c r="I958" s="1187"/>
      <c r="J958" s="1188"/>
      <c r="K958" s="1188"/>
      <c r="L958" s="1188"/>
      <c r="M958" s="1188"/>
      <c r="N958" s="1189"/>
      <c r="O958" s="7"/>
      <c r="P958" s="7"/>
    </row>
    <row r="959" spans="1:16" s="3" customFormat="1" ht="16.5" x14ac:dyDescent="0.3">
      <c r="A959" s="184">
        <v>949</v>
      </c>
      <c r="B959" s="1172"/>
      <c r="C959" s="1182"/>
      <c r="D959" s="1321" t="s">
        <v>591</v>
      </c>
      <c r="E959" s="1175"/>
      <c r="F959" s="1175"/>
      <c r="G959" s="1176"/>
      <c r="H959" s="1177" t="s">
        <v>24</v>
      </c>
      <c r="I959" s="1187"/>
      <c r="J959" s="1188"/>
      <c r="K959" s="1188"/>
      <c r="L959" s="1188"/>
      <c r="M959" s="1188"/>
      <c r="N959" s="1189"/>
      <c r="O959" s="7"/>
      <c r="P959" s="7"/>
    </row>
    <row r="960" spans="1:16" s="7" customFormat="1" ht="16.5" x14ac:dyDescent="0.3">
      <c r="A960" s="184">
        <v>950</v>
      </c>
      <c r="B960" s="1325"/>
      <c r="C960" s="1182"/>
      <c r="D960" s="1326"/>
      <c r="E960" s="1327"/>
      <c r="F960" s="1327"/>
      <c r="G960" s="1328"/>
      <c r="H960" s="1177" t="s">
        <v>24</v>
      </c>
      <c r="I960" s="1329"/>
      <c r="J960" s="1330"/>
      <c r="K960" s="1330"/>
      <c r="L960" s="1330"/>
      <c r="M960" s="1330"/>
      <c r="N960" s="1331"/>
    </row>
    <row r="961" spans="1:14" s="7" customFormat="1" ht="16.5" x14ac:dyDescent="0.3">
      <c r="A961" s="184">
        <v>951</v>
      </c>
      <c r="B961" s="1250"/>
      <c r="C961" s="1182"/>
      <c r="D961" s="1332" t="s">
        <v>461</v>
      </c>
      <c r="E961" s="1164"/>
      <c r="F961" s="1164"/>
      <c r="G961" s="1165"/>
      <c r="H961" s="1177" t="s">
        <v>24</v>
      </c>
      <c r="I961" s="1333"/>
      <c r="J961" s="1334"/>
      <c r="K961" s="1334"/>
      <c r="L961" s="1334"/>
      <c r="M961" s="1334"/>
      <c r="N961" s="1335"/>
    </row>
    <row r="962" spans="1:14" s="7" customFormat="1" ht="16.5" x14ac:dyDescent="0.3">
      <c r="A962" s="184">
        <v>952</v>
      </c>
      <c r="B962" s="1172"/>
      <c r="C962" s="1182"/>
      <c r="D962" s="1321" t="s">
        <v>489</v>
      </c>
      <c r="E962" s="1175"/>
      <c r="F962" s="1175"/>
      <c r="G962" s="1176"/>
      <c r="H962" s="1177" t="s">
        <v>24</v>
      </c>
      <c r="I962" s="1336"/>
      <c r="J962" s="1188"/>
      <c r="K962" s="1188"/>
      <c r="L962" s="1188"/>
      <c r="M962" s="1188"/>
      <c r="N962" s="1189"/>
    </row>
    <row r="963" spans="1:14" s="7" customFormat="1" ht="16.5" x14ac:dyDescent="0.3">
      <c r="A963" s="184">
        <v>953</v>
      </c>
      <c r="B963" s="1172"/>
      <c r="C963" s="1182"/>
      <c r="D963" s="1321" t="s">
        <v>490</v>
      </c>
      <c r="E963" s="1175"/>
      <c r="F963" s="1175"/>
      <c r="G963" s="1176"/>
      <c r="H963" s="1177" t="s">
        <v>24</v>
      </c>
      <c r="I963" s="1336"/>
      <c r="J963" s="1188"/>
      <c r="K963" s="1188"/>
      <c r="L963" s="1188"/>
      <c r="M963" s="1188"/>
      <c r="N963" s="1189"/>
    </row>
    <row r="964" spans="1:14" s="7" customFormat="1" ht="16.5" x14ac:dyDescent="0.3">
      <c r="A964" s="184">
        <v>954</v>
      </c>
      <c r="B964" s="1172"/>
      <c r="C964" s="1182"/>
      <c r="D964" s="1321" t="s">
        <v>492</v>
      </c>
      <c r="E964" s="1175"/>
      <c r="F964" s="1175"/>
      <c r="G964" s="1176"/>
      <c r="H964" s="1177" t="s">
        <v>24</v>
      </c>
      <c r="I964" s="1336"/>
      <c r="J964" s="1188"/>
      <c r="K964" s="1188"/>
      <c r="L964" s="1188"/>
      <c r="M964" s="1188"/>
      <c r="N964" s="1189"/>
    </row>
    <row r="965" spans="1:14" s="7" customFormat="1" ht="16.5" x14ac:dyDescent="0.3">
      <c r="A965" s="184">
        <v>955</v>
      </c>
      <c r="B965" s="1172"/>
      <c r="C965" s="1182"/>
      <c r="D965" s="1321" t="s">
        <v>396</v>
      </c>
      <c r="E965" s="1175"/>
      <c r="F965" s="1175"/>
      <c r="G965" s="1176"/>
      <c r="H965" s="1177" t="s">
        <v>24</v>
      </c>
      <c r="I965" s="1336"/>
      <c r="J965" s="1188"/>
      <c r="K965" s="1188"/>
      <c r="L965" s="1188"/>
      <c r="M965" s="1188"/>
      <c r="N965" s="1189"/>
    </row>
    <row r="966" spans="1:14" s="7" customFormat="1" ht="16.5" x14ac:dyDescent="0.3">
      <c r="A966" s="184">
        <v>956</v>
      </c>
      <c r="B966" s="1172"/>
      <c r="C966" s="1182"/>
      <c r="D966" s="1321" t="s">
        <v>304</v>
      </c>
      <c r="E966" s="1175"/>
      <c r="F966" s="1175"/>
      <c r="G966" s="1176"/>
      <c r="H966" s="1177" t="s">
        <v>24</v>
      </c>
      <c r="I966" s="1336"/>
      <c r="J966" s="1188"/>
      <c r="K966" s="1188"/>
      <c r="L966" s="1188"/>
      <c r="M966" s="1188"/>
      <c r="N966" s="1189"/>
    </row>
    <row r="967" spans="1:14" s="7" customFormat="1" ht="30" x14ac:dyDescent="0.3">
      <c r="A967" s="184">
        <v>957</v>
      </c>
      <c r="B967" s="1172"/>
      <c r="C967" s="1204"/>
      <c r="D967" s="1321" t="s">
        <v>407</v>
      </c>
      <c r="E967" s="1175"/>
      <c r="F967" s="1175"/>
      <c r="G967" s="1176"/>
      <c r="H967" s="1177" t="s">
        <v>24</v>
      </c>
      <c r="I967" s="1336"/>
      <c r="J967" s="1188"/>
      <c r="K967" s="1188"/>
      <c r="L967" s="1188"/>
      <c r="M967" s="1188"/>
      <c r="N967" s="1189"/>
    </row>
    <row r="968" spans="1:14" s="7" customFormat="1" ht="30" x14ac:dyDescent="0.3">
      <c r="A968" s="184">
        <v>958</v>
      </c>
      <c r="B968" s="1172"/>
      <c r="C968" s="1204"/>
      <c r="D968" s="1321" t="s">
        <v>496</v>
      </c>
      <c r="E968" s="1175"/>
      <c r="F968" s="1175"/>
      <c r="G968" s="1176"/>
      <c r="H968" s="1177" t="s">
        <v>24</v>
      </c>
      <c r="I968" s="1336"/>
      <c r="J968" s="1188"/>
      <c r="K968" s="1188"/>
      <c r="L968" s="1188"/>
      <c r="M968" s="1188"/>
      <c r="N968" s="1189"/>
    </row>
    <row r="969" spans="1:14" s="7" customFormat="1" ht="16.5" x14ac:dyDescent="0.3">
      <c r="A969" s="184">
        <v>959</v>
      </c>
      <c r="B969" s="1172"/>
      <c r="C969" s="1182"/>
      <c r="D969" s="1321" t="s">
        <v>276</v>
      </c>
      <c r="E969" s="1175"/>
      <c r="F969" s="1175"/>
      <c r="G969" s="1176"/>
      <c r="H969" s="1177" t="s">
        <v>24</v>
      </c>
      <c r="I969" s="1336"/>
      <c r="J969" s="1188"/>
      <c r="K969" s="1188"/>
      <c r="L969" s="1188"/>
      <c r="M969" s="1188"/>
      <c r="N969" s="1189"/>
    </row>
    <row r="970" spans="1:14" s="7" customFormat="1" ht="16.5" x14ac:dyDescent="0.3">
      <c r="A970" s="184">
        <v>960</v>
      </c>
      <c r="B970" s="1172"/>
      <c r="C970" s="1182"/>
      <c r="D970" s="1321" t="s">
        <v>278</v>
      </c>
      <c r="E970" s="1175"/>
      <c r="F970" s="1175"/>
      <c r="G970" s="1176"/>
      <c r="H970" s="1177" t="s">
        <v>24</v>
      </c>
      <c r="I970" s="1336"/>
      <c r="J970" s="1188"/>
      <c r="K970" s="1188"/>
      <c r="L970" s="1188"/>
      <c r="M970" s="1188"/>
      <c r="N970" s="1189"/>
    </row>
    <row r="971" spans="1:14" s="7" customFormat="1" ht="16.5" x14ac:dyDescent="0.3">
      <c r="A971" s="184">
        <v>961</v>
      </c>
      <c r="B971" s="1172"/>
      <c r="C971" s="1182"/>
      <c r="D971" s="1321" t="s">
        <v>594</v>
      </c>
      <c r="E971" s="1175"/>
      <c r="F971" s="1175"/>
      <c r="G971" s="1176"/>
      <c r="H971" s="1177" t="s">
        <v>24</v>
      </c>
      <c r="I971" s="1336"/>
      <c r="J971" s="1188"/>
      <c r="K971" s="1188"/>
      <c r="L971" s="1188"/>
      <c r="M971" s="1188"/>
      <c r="N971" s="1189"/>
    </row>
    <row r="972" spans="1:14" s="7" customFormat="1" ht="16.5" x14ac:dyDescent="0.3">
      <c r="A972" s="184">
        <v>962</v>
      </c>
      <c r="B972" s="1172"/>
      <c r="C972" s="1182"/>
      <c r="D972" s="1321" t="s">
        <v>303</v>
      </c>
      <c r="E972" s="1175"/>
      <c r="F972" s="1175"/>
      <c r="G972" s="1176"/>
      <c r="H972" s="1177" t="s">
        <v>24</v>
      </c>
      <c r="I972" s="1336"/>
      <c r="J972" s="1188"/>
      <c r="K972" s="1188"/>
      <c r="L972" s="1188"/>
      <c r="M972" s="1188"/>
      <c r="N972" s="1189"/>
    </row>
    <row r="973" spans="1:14" s="7" customFormat="1" ht="16.5" x14ac:dyDescent="0.3">
      <c r="A973" s="184">
        <v>963</v>
      </c>
      <c r="B973" s="1172"/>
      <c r="C973" s="1182"/>
      <c r="D973" s="1321" t="s">
        <v>432</v>
      </c>
      <c r="E973" s="1175"/>
      <c r="F973" s="1175"/>
      <c r="G973" s="1176"/>
      <c r="H973" s="1177" t="s">
        <v>24</v>
      </c>
      <c r="I973" s="1336"/>
      <c r="J973" s="1188"/>
      <c r="K973" s="1188"/>
      <c r="L973" s="1188"/>
      <c r="M973" s="1188"/>
      <c r="N973" s="1189"/>
    </row>
    <row r="974" spans="1:14" s="7" customFormat="1" ht="16.5" x14ac:dyDescent="0.3">
      <c r="A974" s="184">
        <v>964</v>
      </c>
      <c r="B974" s="1172"/>
      <c r="C974" s="1182"/>
      <c r="D974" s="1321" t="s">
        <v>33</v>
      </c>
      <c r="E974" s="1175"/>
      <c r="F974" s="1175"/>
      <c r="G974" s="1176"/>
      <c r="H974" s="1177" t="s">
        <v>24</v>
      </c>
      <c r="I974" s="1336"/>
      <c r="J974" s="1188"/>
      <c r="K974" s="1188"/>
      <c r="L974" s="1188"/>
      <c r="M974" s="1188"/>
      <c r="N974" s="1189"/>
    </row>
    <row r="975" spans="1:14" s="7" customFormat="1" ht="16.5" x14ac:dyDescent="0.3">
      <c r="A975" s="184">
        <v>965</v>
      </c>
      <c r="B975" s="1172"/>
      <c r="C975" s="1182"/>
      <c r="D975" s="1321" t="s">
        <v>497</v>
      </c>
      <c r="E975" s="1175"/>
      <c r="F975" s="1175"/>
      <c r="G975" s="1176"/>
      <c r="H975" s="1177" t="s">
        <v>24</v>
      </c>
      <c r="I975" s="1336"/>
      <c r="J975" s="1188"/>
      <c r="K975" s="1188"/>
      <c r="L975" s="1188"/>
      <c r="M975" s="1188"/>
      <c r="N975" s="1189"/>
    </row>
    <row r="976" spans="1:14" s="7" customFormat="1" ht="16.5" x14ac:dyDescent="0.3">
      <c r="A976" s="184">
        <v>966</v>
      </c>
      <c r="B976" s="1172"/>
      <c r="C976" s="1182"/>
      <c r="D976" s="1321" t="s">
        <v>434</v>
      </c>
      <c r="E976" s="1175"/>
      <c r="F976" s="1175"/>
      <c r="G976" s="1176"/>
      <c r="H976" s="1177" t="s">
        <v>24</v>
      </c>
      <c r="I976" s="1336"/>
      <c r="J976" s="1188"/>
      <c r="K976" s="1188"/>
      <c r="L976" s="1188"/>
      <c r="M976" s="1188"/>
      <c r="N976" s="1189"/>
    </row>
    <row r="977" spans="1:16" s="7" customFormat="1" ht="16.5" x14ac:dyDescent="0.3">
      <c r="A977" s="184">
        <v>967</v>
      </c>
      <c r="B977" s="1172"/>
      <c r="C977" s="1182"/>
      <c r="D977" s="1321" t="s">
        <v>433</v>
      </c>
      <c r="E977" s="1175"/>
      <c r="F977" s="1175"/>
      <c r="G977" s="1176"/>
      <c r="H977" s="1177" t="s">
        <v>24</v>
      </c>
      <c r="I977" s="1336"/>
      <c r="J977" s="1188"/>
      <c r="K977" s="1188"/>
      <c r="L977" s="1188"/>
      <c r="M977" s="1188"/>
      <c r="N977" s="1189"/>
    </row>
    <row r="978" spans="1:16" s="7" customFormat="1" ht="16.5" x14ac:dyDescent="0.3">
      <c r="A978" s="184">
        <v>968</v>
      </c>
      <c r="B978" s="1172"/>
      <c r="C978" s="1182"/>
      <c r="D978" s="1321" t="s">
        <v>435</v>
      </c>
      <c r="E978" s="1175"/>
      <c r="F978" s="1175"/>
      <c r="G978" s="1176"/>
      <c r="H978" s="1177" t="s">
        <v>24</v>
      </c>
      <c r="I978" s="1336"/>
      <c r="J978" s="1188"/>
      <c r="K978" s="1188"/>
      <c r="L978" s="1188"/>
      <c r="M978" s="1188"/>
      <c r="N978" s="1189"/>
    </row>
    <row r="979" spans="1:16" s="7" customFormat="1" ht="30" x14ac:dyDescent="0.3">
      <c r="A979" s="184">
        <v>969</v>
      </c>
      <c r="B979" s="1172"/>
      <c r="C979" s="1204"/>
      <c r="D979" s="1321" t="s">
        <v>502</v>
      </c>
      <c r="E979" s="1175"/>
      <c r="F979" s="1175"/>
      <c r="G979" s="1176"/>
      <c r="H979" s="1337" t="s">
        <v>24</v>
      </c>
      <c r="I979" s="1336"/>
      <c r="J979" s="1188"/>
      <c r="K979" s="1188"/>
      <c r="L979" s="1188"/>
      <c r="M979" s="1188"/>
      <c r="N979" s="1189"/>
    </row>
    <row r="980" spans="1:16" s="7" customFormat="1" ht="16.5" x14ac:dyDescent="0.3">
      <c r="A980" s="184">
        <v>970</v>
      </c>
      <c r="B980" s="1172"/>
      <c r="C980" s="1182"/>
      <c r="D980" s="1321" t="s">
        <v>590</v>
      </c>
      <c r="E980" s="1175"/>
      <c r="F980" s="1175"/>
      <c r="G980" s="1176"/>
      <c r="H980" s="1177" t="s">
        <v>24</v>
      </c>
      <c r="I980" s="1336"/>
      <c r="J980" s="1188"/>
      <c r="K980" s="1188"/>
      <c r="L980" s="1188"/>
      <c r="M980" s="1188"/>
      <c r="N980" s="1189"/>
    </row>
    <row r="981" spans="1:16" s="7" customFormat="1" ht="30.75" thickBot="1" x14ac:dyDescent="0.35">
      <c r="A981" s="184">
        <v>971</v>
      </c>
      <c r="B981" s="1312"/>
      <c r="C981" s="1338"/>
      <c r="D981" s="1339" t="s">
        <v>595</v>
      </c>
      <c r="E981" s="1315"/>
      <c r="F981" s="1316"/>
      <c r="G981" s="1316"/>
      <c r="H981" s="1317"/>
      <c r="I981" s="1340"/>
      <c r="J981" s="1341"/>
      <c r="K981" s="1341"/>
      <c r="L981" s="1341"/>
      <c r="M981" s="1341"/>
      <c r="N981" s="1342"/>
    </row>
    <row r="982" spans="1:16" s="506" customFormat="1" ht="18" thickTop="1" x14ac:dyDescent="0.35">
      <c r="A982" s="184">
        <v>834</v>
      </c>
      <c r="B982" s="2067" t="s">
        <v>1079</v>
      </c>
      <c r="C982" s="2068"/>
      <c r="D982" s="2068"/>
      <c r="E982" s="2068"/>
      <c r="F982" s="2068"/>
      <c r="G982" s="2069"/>
      <c r="H982" s="1343"/>
      <c r="I982" s="1344"/>
      <c r="J982" s="1344"/>
      <c r="K982" s="1344"/>
      <c r="L982" s="1344"/>
      <c r="M982" s="1344"/>
      <c r="N982" s="1345"/>
      <c r="O982" s="507"/>
      <c r="P982" s="7"/>
    </row>
    <row r="983" spans="1:16" s="506" customFormat="1" x14ac:dyDescent="0.35">
      <c r="A983" s="184">
        <v>835</v>
      </c>
      <c r="B983" s="1255"/>
      <c r="C983" s="1346"/>
      <c r="D983" s="2070" t="s">
        <v>311</v>
      </c>
      <c r="E983" s="2071"/>
      <c r="F983" s="2071"/>
      <c r="G983" s="2072"/>
      <c r="H983" s="1177"/>
      <c r="I983" s="1191">
        <f>SUM(J983:N983)</f>
        <v>5630577</v>
      </c>
      <c r="J983" s="1347">
        <f>J827+J822+J817+J812+J807+J802+J797+J792+J787+J782+J777+J772+J767+J762+J757+J752+J747+J742+J737+J732+J727+J697+J688+J683+J678+J673+J668+J663+J658+J653+J648+J643+J638+J633+J628+J623+J618+J613+J608+J603+J598+J592+J587+J582+J577+J571+J566+J561+J556+J551+J546+J541+J536+J530+J525+J520+J515+J499+J494+J489+J484+J479+J474+J469+J464+J459+J453+J448+J443+J438+J433+J428+J423+J418+J413+J408+J403+J398+J393+J384+J379+J374+J369+J364+J359+J354+J349+J295+J290+J285+J280+J275+J250+J225+J220+J215+J210+J205+J200+J195+J190+J185+J179+J173+J168+J163+J156+J151+J146+J141+J111+J105+J100+J95+J90+J85+J61+J56+J51+J30+J21+J506+J840</f>
        <v>165592</v>
      </c>
      <c r="K983" s="1347">
        <f>K827+K822+K817+K812+K807+K802+K797+K792+K787+K782+K777+K772+K767+K762+K757+K752+K747+K742+K737+K732+K727+K697+K688+K683+K678+K673+K668+K663+K658+K653+K648+K643+K638+K633+K628+K623+K618+K613+K608+K603+K598+K592+K587+K582+K577+K571+K566+K561+K556+K551+K546+K541+K536+K530+K525+K520+K515+K499+K494+K489+K484+K479+K474+K469+K464+K459+K453+K448+K443+K438+K433+K428+K423+K418+K413+K408+K403+K398+K393+K384+K379+K374+K369+K364+K359+K354+K349+K295+K290+K285+K280+K275+K250+K225+K220+K215+K210+K205+K200+K195+K190+K185+K179+K173+K168+K163+K156+K151+K146+K141+K111+K105+K100+K95+K90+K85+K61+K56+K51+K30+K21+K506+K840</f>
        <v>28844</v>
      </c>
      <c r="L983" s="1347">
        <f>L827+L822+L817+L812+L807+L802+L797+L792+L787+L782+L777+L772+L767+L762+L757+L752+L747+L742+L737+L732+L727+L697+L688+L683+L678+L673+L668+L663+L658+L653+L648+L643+L638+L633+L628+L623+L618+L613+L608+L603+L598+L592+L587+L582+L577+L571+L566+L561+L556+L551+L546+L541+L536+L530+L525+L520+L515+L499+L494+L489+L484+L479+L474+L469+L464+L459+L453+L448+L443+L438+L433+L428+L423+L418+L413+L408+L403+L398+L393+L384+L379+L374+L369+L364+L359+L354+L349+L295+L290+L285+L280+L275+L250+L225+L220+L215+L210+L205+L200+L195+L190+L185+L179+L173+L168+L163+L156+L151+L146+L141+L111+L105+L100+L95+L90+L85+L61+L56+L51+L30+L21+L506+L840</f>
        <v>1972869</v>
      </c>
      <c r="M983" s="1347">
        <f>M827+M822+M817+M812+M807+M802+M797+M792+M787+M782+M777+M772+M767+M762+M757+M752+M747+M742+M737+M732+M727+M697+M688+M683+M678+M673+M668+M663+M658+M653+M648+M643+M638+M633+M628+M623+M618+M613+M608+M603+M598+M592+M587+M582+M577+M571+M566+M561+M556+M551+M546+M541+M536+M530+M525+M520+M515+M499+M494+M489+M484+M479+M474+M469+M464+M459+M453+M448+M443+M438+M433+M428+M423+M418+M413+M408+M403+M398+M393+M384+M379+M374+M369+M364+M359+M354+M349+M295+M290+M285+M280+M275+M250+M225+M220+M215+M210+M205+M200+M195+M190+M185+M179+M173+M168+M163+M156+M151+M146+M141+M111+M105+M100+M95+M90+M85+M61+M56+M51+M30+M21+M506+M840</f>
        <v>23248</v>
      </c>
      <c r="N983" s="1348">
        <f>N827+N822+N817+N812+N807+N802+N797+N792+N787+N782+N777+N772+N767+N762+N757+N752+N747+N742+N737+N732+N727+N697+N688+N683+N678+N673+N668+N663+N658+N653+N648+N643+N638+N633+N628+N623+N618+N613+N608+N603+N598+N592+N587+N582+N577+N571+N566+N561+N556+N551+N546+N541+N536+N530+N525+N520+N515+N499+N494+N489+N484+N479+N474+N469+N464+N459+N453+N448+N443+N438+N433+N428+N423+N418+N413+N408+N403+N398+N393+N384+N379+N374+N369+N364+N359+N354+N349+N295+N290+N285+N280+N275+N250+N225+N220+N215+N210+N205+N200+N195+N190+N185+N179+N173+N168+N163+N156+N151+N146+N141+N111+N105+N100+N95+N90+N85+N61+N56+N51+N30+N21+N506+N840</f>
        <v>3440024</v>
      </c>
      <c r="O983" s="507"/>
      <c r="P983" s="7"/>
    </row>
    <row r="984" spans="1:16" s="506" customFormat="1" x14ac:dyDescent="0.35">
      <c r="A984" s="184">
        <v>836</v>
      </c>
      <c r="B984" s="1255"/>
      <c r="C984" s="1346"/>
      <c r="D984" s="1620" t="s">
        <v>1064</v>
      </c>
      <c r="E984" s="1896"/>
      <c r="F984" s="1896"/>
      <c r="G984" s="1897"/>
      <c r="H984" s="1166"/>
      <c r="I984" s="1170">
        <f>SUM(J984:N984)</f>
        <v>5330715</v>
      </c>
      <c r="J984" s="1349">
        <f>J828+J823+J818+J813+J808+J803+J798+J793+J788+J783+J778+J773+J768+J763+J758+J753+J748+J743+J738+J733+J728+J698+J689+J684+J679+J674+J669+J664+J659+J654+J649+J644+J639+J634+J629+J624+J619+J614+J609+J604+J599+J593+J588+J583+J578+J572+J567+J562+J557+J552+J547+J542+J537+J531+J526+J521+J516+J500+J495+J490+J485+J480+J475+J470+J465+J460+J454+J449+J444+J439+J434+J429+J424+J419+J414+J409+J404+J399+J394+J385+J380+J375+J370+J365+J360+J355+J350+J296+J291+J286+J281+J276+J251+J226+J221+J216+J211+J206+J201+J196+J191+J186+J180+J174+J169+J164+J157+J152+J147+J142+J112+J106+J101+J96+J91+J86+J62+J57+J52+J31+J22+J507+J841+J836+J832+J693+J511+J47+J43+J26+J17+J13</f>
        <v>170357</v>
      </c>
      <c r="K984" s="1349">
        <f>K828+K823+K818+K813+K808+K803+K798+K793+K788+K783+K778+K773+K768+K763+K758+K753+K748+K743+K738+K733+K728+K698+K689+K684+K679+K674+K669+K664+K659+K654+K649+K644+K639+K634+K629+K624+K619+K614+K609+K604+K599+K593+K588+K583+K578+K572+K567+K562+K557+K552+K547+K542+K537+K531+K526+K521+K516+K500+K495+K490+K485+K480+K475+K470+K465+K460+K454+K449+K444+K439+K434+K429+K424+K419+K414+K409+K404+K399+K394+K385+K380+K375+K370+K365+K360+K355+K350+K296+K291+K286+K281+K276+K251+K226+K221+K216+K211+K206+K201+K196+K191+K186+K180+K174+K169+K164+K157+K152+K147+K142+K112+K106+K101+K96+K91+K86+K62+K57+K52+K31+K22+K507+K841+K836+K832+K693+K511+K47+K43+K26+K17+K13</f>
        <v>33134</v>
      </c>
      <c r="L984" s="1349">
        <f>L828+L823+L818+L813+L808+L803+L798+L793+L788+L783+L778+L773+L768+L763+L758+L753+L748+L743+L738+L733+L728+L698+L689+L684+L679+L674+L669+L664+L659+L654+L649+L644+L639+L634+L629+L624+L619+L614+L609+L604+L599+L593+L588+L583+L578+L572+L567+L562+L557+L552+L547+L542+L537+L531+L526+L521+L516+L500+L495+L490+L485+L480+L475+L470+L465+L460+L454+L449+L444+L439+L434+L429+L424+L419+L414+L409+L404+L399+L394+L385+L380+L375+L370+L365+L360+L355+L350+L296+L291+L286+L281+L276+L251+L226+L221+L216+L211+L206+L201+L196+L191+L186+L180+L174+L169+L164+L157+L152+L147+L142+L112+L106+L101+L96+L91+L86+L62+L57+L52+L31+L22+L507+L841+L836+L832+L693+L511+L47+L43+L26+L17+L13</f>
        <v>1915430</v>
      </c>
      <c r="M984" s="1349">
        <f>M828+M823+M818+M813+M808+M803+M798+M793+M788+M783+M778+M773+M768+M763+M758+M753+M748+M743+M738+M733+M728+M698+M689+M684+M679+M674+M669+M664+M659+M654+M649+M644+M639+M634+M629+M624+M619+M614+M609+M604+M599+M593+M588+M583+M578+M572+M567+M562+M557+M552+M547+M542+M537+M531+M526+M521+M516+M500+M495+M490+M485+M480+M475+M470+M465+M460+M454+M449+M444+M439+M434+M429+M424+M419+M414+M409+M404+M399+M394+M385+M380+M375+M370+M365+M360+M355+M350+M296+M291+M286+M281+M276+M251+M226+M221+M216+M211+M206+M201+M196+M191+M186+M180+M174+M169+M164+M157+M152+M147+M142+M112+M106+M101+M96+M91+M86+M62+M57+M52+M31+M22+M507+M841+M836+M832+M693+M511+M47+M43+M26+M17+M13</f>
        <v>39098</v>
      </c>
      <c r="N984" s="1350">
        <f>N828+N823+N818+N813+N808+N803+N798+N793+N788+N783+N778+N773+N768+N763+N758+N753+N748+N743+N738+N733+N728+N698+N689+N684+N679+N674+N669+N664+N659+N654+N649+N644+N639+N634+N629+N624+N619+N614+N609+N604+N599+N593+N588+N583+N578+N572+N567+N562+N557+N552+N547+N542+N537+N531+N526+N521+N516+N500+N495+N490+N485+N480+N475+N470+N465+N460+N454+N449+N444+N439+N434+N429+N424+N419+N414+N409+N404+N399+N394+N385+N380+N375+N370+N365+N360+N355+N350+N296+N291+N286+N281+N276+N251+N226+N221+N216+N211+N206+N201+N196+N191+N186+N180+N174+N169+N164+N157+N152+N147+N142+N112+N106+N101+N96+N91+N86+N62+N57+N52+N31+N22+N507+N841+N836+N832+N693+N511+N47+N43+N26+N17+N13</f>
        <v>3172696</v>
      </c>
      <c r="O984" s="507"/>
      <c r="P984" s="7"/>
    </row>
    <row r="985" spans="1:16" s="506" customFormat="1" x14ac:dyDescent="0.35">
      <c r="A985" s="184">
        <v>837</v>
      </c>
      <c r="B985" s="1255"/>
      <c r="C985" s="1346"/>
      <c r="D985" s="2073" t="s">
        <v>999</v>
      </c>
      <c r="E985" s="2074"/>
      <c r="F985" s="2074"/>
      <c r="G985" s="2075"/>
      <c r="H985" s="1166"/>
      <c r="I985" s="1178">
        <f>SUM(J985:N985)</f>
        <v>185945</v>
      </c>
      <c r="J985" s="1351">
        <f>J829+J824+J819+J814+J809+J804+J799+J794+J789+J784+J779+J774+J769+J764+J759+J754+J749+J744+J739+J734+J729+J699+J694+J690+J685+J680+J675+J670+J665+J660+J655+J650+J645+J640+J635+J630+J625+J620+J615+J610+J605+J600+J594+J589+J584+J579+J573+J568+J563+J558+J553+J548+J543+J538+J532+J527+J522+J517+J508+J501+J496+J491+J486+J481+J476+J471+J466+J461+J450+J445+J440+J435+J430+J425+J420+J415+J410+J405+J400+J395+J386+J381+J376+J371+J366+J361+J356+J351+J297+J292+J287+J282+J277+J252+J227+J222+J217+J212+J207+J202+J197+J192+J187+J181+J175+J170+J165+J158+J153+J148+J143+J113+J107+J102+J97+J92+J87+J63+J58+J53+J48+J44+J32+J23+J18+J14+J387+J388+J842+J390+J833+J512+J27+J837+J455+J389+J456</f>
        <v>-300</v>
      </c>
      <c r="K985" s="1351">
        <f t="shared" ref="K985:N985" si="170">K829+K824+K819+K814+K809+K804+K799+K794+K789+K784+K779+K774+K769+K764+K759+K754+K749+K744+K739+K734+K729+K699+K694+K690+K685+K680+K675+K670+K665+K660+K655+K650+K645+K640+K635+K630+K625+K620+K615+K610+K605+K600+K594+K589+K584+K579+K573+K568+K563+K558+K553+K548+K543+K538+K532+K527+K522+K517+K508+K501+K496+K491+K486+K481+K476+K471+K466+K461+K450+K445+K440+K435+K430+K425+K420+K415+K410+K405+K400+K395+K386+K381+K376+K371+K366+K361+K356+K351+K297+K292+K287+K282+K277+K252+K227+K222+K217+K212+K207+K202+K197+K192+K187+K181+K175+K170+K165+K158+K153+K148+K143+K113+K107+K102+K97+K92+K87+K63+K58+K53+K48+K44+K32+K23+K18+K14+K387+K388+K842+K390+K833+K512+K27+K837+K455+K389+K456</f>
        <v>61</v>
      </c>
      <c r="L985" s="1351">
        <f t="shared" si="170"/>
        <v>9871</v>
      </c>
      <c r="M985" s="1351">
        <f t="shared" si="170"/>
        <v>-6900</v>
      </c>
      <c r="N985" s="1352">
        <f t="shared" si="170"/>
        <v>183213</v>
      </c>
      <c r="O985" s="507"/>
      <c r="P985" s="7"/>
    </row>
    <row r="986" spans="1:16" s="506" customFormat="1" ht="18" thickBot="1" x14ac:dyDescent="0.4">
      <c r="A986" s="184">
        <v>838</v>
      </c>
      <c r="B986" s="1353"/>
      <c r="C986" s="1354"/>
      <c r="D986" s="2076" t="s">
        <v>1116</v>
      </c>
      <c r="E986" s="2077"/>
      <c r="F986" s="2077"/>
      <c r="G986" s="2078"/>
      <c r="H986" s="1166"/>
      <c r="I986" s="1170">
        <f t="shared" ref="I986" si="171">SUM(J986:N986)</f>
        <v>5516660</v>
      </c>
      <c r="J986" s="1355">
        <f>SUM(J984:J985)</f>
        <v>170057</v>
      </c>
      <c r="K986" s="1355">
        <f t="shared" ref="K986:N986" si="172">SUM(K984:K985)</f>
        <v>33195</v>
      </c>
      <c r="L986" s="1355">
        <f t="shared" si="172"/>
        <v>1925301</v>
      </c>
      <c r="M986" s="1355">
        <f t="shared" si="172"/>
        <v>32198</v>
      </c>
      <c r="N986" s="1356">
        <f t="shared" si="172"/>
        <v>3355909</v>
      </c>
      <c r="O986" s="507"/>
      <c r="P986" s="7"/>
    </row>
    <row r="987" spans="1:16" s="506" customFormat="1" ht="18" thickTop="1" x14ac:dyDescent="0.35">
      <c r="A987" s="184">
        <v>839</v>
      </c>
      <c r="B987" s="1357"/>
      <c r="C987" s="1358"/>
      <c r="D987" s="2095" t="s">
        <v>120</v>
      </c>
      <c r="E987" s="2096"/>
      <c r="F987" s="2096"/>
      <c r="G987" s="2097"/>
      <c r="H987" s="1359"/>
      <c r="I987" s="1360"/>
      <c r="J987" s="1361"/>
      <c r="K987" s="1361"/>
      <c r="L987" s="1361"/>
      <c r="M987" s="1361"/>
      <c r="N987" s="1362"/>
      <c r="O987" s="507"/>
      <c r="P987" s="7"/>
    </row>
    <row r="988" spans="1:16" s="436" customFormat="1" x14ac:dyDescent="0.35">
      <c r="A988" s="184">
        <v>840</v>
      </c>
      <c r="B988" s="1196"/>
      <c r="C988" s="1197"/>
      <c r="D988" s="2070" t="s">
        <v>311</v>
      </c>
      <c r="E988" s="2074"/>
      <c r="F988" s="2074"/>
      <c r="G988" s="2075"/>
      <c r="H988" s="1200"/>
      <c r="I988" s="1191">
        <f>SUM(J988:N988)</f>
        <v>4410268</v>
      </c>
      <c r="J988" s="1192">
        <v>153862</v>
      </c>
      <c r="K988" s="1192">
        <v>26611</v>
      </c>
      <c r="L988" s="1192">
        <v>1312527</v>
      </c>
      <c r="M988" s="1192">
        <v>7735</v>
      </c>
      <c r="N988" s="1201">
        <v>2909533</v>
      </c>
      <c r="O988" s="431"/>
      <c r="P988" s="431"/>
    </row>
    <row r="989" spans="1:16" s="436" customFormat="1" x14ac:dyDescent="0.35">
      <c r="A989" s="184">
        <v>841</v>
      </c>
      <c r="B989" s="1196"/>
      <c r="C989" s="1197"/>
      <c r="D989" s="1163" t="s">
        <v>1064</v>
      </c>
      <c r="E989" s="1894"/>
      <c r="F989" s="1894"/>
      <c r="G989" s="1895"/>
      <c r="H989" s="1200"/>
      <c r="I989" s="1170">
        <f>SUM(J989:N989)</f>
        <v>4539609</v>
      </c>
      <c r="J989" s="1180">
        <f>J832+J758+J698+J689+J684+J669+J664+J659+J654+J649+J644+J639+J634+J629+J624+J619+J614+J609+J604+J599+J593+J588+J583+J578+J567+J562+J557+J552+J547+J537+J480+J470+J460+J454+J449+J444+J434+J429+J394+J385+J380+J375+J370+J350+J301+J290+J286+J281+J211+J206+J201+J196+J13</f>
        <v>158556</v>
      </c>
      <c r="K989" s="1180">
        <f>K832+K758+K698+K689+K684+K669+K664+K659+K654+K649+K644+K639+K634+K629+K624+K619+K614+K609+K604+K599+K593+K588+K583+K578+K567+K562+K557+K552+K547+K537+K480+K470+K460+K454+K449+K444+K434+K429+K394+K385+K380+K375+K370+K350+K301+K290+K286+K281+K211+K206+K201+K196+K13</f>
        <v>30837</v>
      </c>
      <c r="L989" s="1180">
        <f>L832+L758+L698+L689+L684+L669+L664+L659+L654+L649+L644+L639+L634+L629+L624+L619+L614+L609+L604+L599+L593+L588+L583+L578+L567+L562+L557+L552+L547+L537+L480+L470+L460+L454+L449+L444+L434+L429+L394+L385+L380+L375+L370+L350+L301+L290+L286+L281+L211+L206+L201+L196+L13</f>
        <v>1483283</v>
      </c>
      <c r="M989" s="1180">
        <f>M832+M758+M698+M689+M684+M669+M664+M659+M654+M649+M644+M639+M634+M629+M624+M619+M614+M609+M604+M599+M593+M588+M583+M578+M567+M562+M557+M552+M547+M537+M480+M470+M460+M454+M449+M444+M434+M429+M394+M385+M380+M375+M370+M350+M301+M290+M286+M281+M211+M206+M201+M196+M13</f>
        <v>8585</v>
      </c>
      <c r="N989" s="1202">
        <f>N832+N758+N698+N689+N684+N669+N664+N659+N654+N649+N644+N639+N634+N629+N624+N619+N614+N609+N604+N599+N593+N588+N583+N578+N567+N562+N557+N552+N547+N537+N480+N470+N460+N454+N449+N444+N434+N429+N394+N385+N380+N375+N370+N350+N301+N290+N286+N281+N211+N206+N201+N196+N13</f>
        <v>2858348</v>
      </c>
      <c r="O989" s="431"/>
      <c r="P989" s="431"/>
    </row>
    <row r="990" spans="1:16" s="436" customFormat="1" x14ac:dyDescent="0.35">
      <c r="A990" s="184">
        <v>842</v>
      </c>
      <c r="B990" s="1196"/>
      <c r="C990" s="1197"/>
      <c r="D990" s="2073" t="s">
        <v>999</v>
      </c>
      <c r="E990" s="2098"/>
      <c r="F990" s="2098"/>
      <c r="G990" s="2099"/>
      <c r="H990" s="1200"/>
      <c r="I990" s="1178">
        <f t="shared" ref="I990:I991" si="173">SUM(J990:N990)</f>
        <v>181433</v>
      </c>
      <c r="J990" s="1185">
        <f>J833+J759+J699+J690+J670+J665+J660+J655+J650+J645+J640+J635+J630+J625+J620+J615+J610+J605+J600+J594+J589+J584+J579+J563+J558+J553+J548+J538+J481+J471+J461+J455+J450+J445+J435+J430+J395+J390+J388+J387+J386+J381+J376+J371+J351+J302+J292+J287+J282+J212+J207+J202+J197+J14+J568+J685+J389+J456</f>
        <v>0</v>
      </c>
      <c r="K990" s="1185">
        <f>K833+K759+K699+K690+K670+K665+K660+K655+K650+K645+K640+K635+K630+K625+K620+K615+K610+K605+K600+K594+K589+K584+K579+K563+K558+K553+K548+K538+K481+K471+K461+K455+K450+K445+K435+K430+K395+K390+K388+K387+K386+K381+K376+K371+K351+K302+K292+K287+K282+K212+K207+K202+K197+K14+K568+K685+K389+K456</f>
        <v>100</v>
      </c>
      <c r="L990" s="1185">
        <f>L833+L759+L699+L690+L670+L665+L660+L655+L650+L645+L640+L635+L630+L625+L620+L615+L610+L605+L600+L594+L589+L584+L579+L563+L558+L553+L548+L538+L481+L471+L461+L455+L450+L445+L435+L430+L395+L390+L388+L387+L386+L381+L376+L371+L351+L302+L292+L287+L282+L212+L207+L202+L197+L14+L568+L685+L389+L456</f>
        <v>1414</v>
      </c>
      <c r="M990" s="1185">
        <f>M833+M759+M699+M690+M670+M665+M660+M655+M650+M645+M640+M635+M630+M625+M620+M615+M610+M605+M600+M594+M589+M584+M579+M563+M558+M553+M548+M538+M481+M471+M461+M455+M450+M445+M435+M430+M395+M390+M388+M387+M386+M381+M376+M371+M351+M302+M292+M287+M282+M212+M207+M202+M197+M14+M568+M685+M389+M456</f>
        <v>1500</v>
      </c>
      <c r="N990" s="1195">
        <f>N833+N759+N699+N690+N670+N665+N660+N655+N650+N645+N640+N635+N630+N625+N620+N615+N610+N605+N600+N594+N589+N584+N579+N563+N558+N553+N548+N538+N481+N471+N461+N455+N450+N445+N435+N430+N395+N390+N388+N387+N386+N381+N376+N371+N351+N302+N292+N287+N282+N212+N207+N202+N197+N14+N568+N685+N389+N456</f>
        <v>178419</v>
      </c>
      <c r="O990" s="431"/>
      <c r="P990" s="431"/>
    </row>
    <row r="991" spans="1:16" s="436" customFormat="1" x14ac:dyDescent="0.35">
      <c r="A991" s="184">
        <v>843</v>
      </c>
      <c r="B991" s="1196"/>
      <c r="C991" s="1197"/>
      <c r="D991" s="2100" t="s">
        <v>1116</v>
      </c>
      <c r="E991" s="2074"/>
      <c r="F991" s="2074"/>
      <c r="G991" s="2075"/>
      <c r="H991" s="1200"/>
      <c r="I991" s="1170">
        <f t="shared" si="173"/>
        <v>4721042</v>
      </c>
      <c r="J991" s="1180">
        <f>SUM(J989:J990)</f>
        <v>158556</v>
      </c>
      <c r="K991" s="1180">
        <f t="shared" ref="K991:N991" si="174">SUM(K989:K990)</f>
        <v>30937</v>
      </c>
      <c r="L991" s="1180">
        <f t="shared" si="174"/>
        <v>1484697</v>
      </c>
      <c r="M991" s="1180">
        <f t="shared" si="174"/>
        <v>10085</v>
      </c>
      <c r="N991" s="1202">
        <f t="shared" si="174"/>
        <v>3036767</v>
      </c>
      <c r="O991" s="431"/>
      <c r="P991" s="431"/>
    </row>
    <row r="992" spans="1:16" s="506" customFormat="1" x14ac:dyDescent="0.35">
      <c r="A992" s="184">
        <v>844</v>
      </c>
      <c r="B992" s="1363"/>
      <c r="C992" s="1364"/>
      <c r="D992" s="2101" t="s">
        <v>121</v>
      </c>
      <c r="E992" s="2074"/>
      <c r="F992" s="2074"/>
      <c r="G992" s="2075"/>
      <c r="H992" s="1365"/>
      <c r="I992" s="1366"/>
      <c r="J992" s="1184"/>
      <c r="K992" s="1184"/>
      <c r="L992" s="1184"/>
      <c r="M992" s="1184"/>
      <c r="N992" s="1186"/>
      <c r="O992" s="507"/>
      <c r="P992" s="7"/>
    </row>
    <row r="993" spans="1:16" s="506" customFormat="1" x14ac:dyDescent="0.35">
      <c r="A993" s="184">
        <v>845</v>
      </c>
      <c r="B993" s="1367"/>
      <c r="C993" s="1368"/>
      <c r="D993" s="2070" t="s">
        <v>311</v>
      </c>
      <c r="E993" s="2074"/>
      <c r="F993" s="2074"/>
      <c r="G993" s="2075"/>
      <c r="H993" s="1369"/>
      <c r="I993" s="1191">
        <f>SUM(J993:N993)</f>
        <v>1220309</v>
      </c>
      <c r="J993" s="1370">
        <v>11730</v>
      </c>
      <c r="K993" s="1370">
        <v>2233</v>
      </c>
      <c r="L993" s="1370">
        <v>660342</v>
      </c>
      <c r="M993" s="1370">
        <v>15513</v>
      </c>
      <c r="N993" s="1371">
        <v>530491</v>
      </c>
      <c r="O993" s="507"/>
      <c r="P993" s="7"/>
    </row>
    <row r="994" spans="1:16" s="506" customFormat="1" x14ac:dyDescent="0.35">
      <c r="A994" s="184">
        <v>846</v>
      </c>
      <c r="B994" s="1367"/>
      <c r="C994" s="1368"/>
      <c r="D994" s="1163" t="s">
        <v>1064</v>
      </c>
      <c r="E994" s="1894"/>
      <c r="F994" s="1894"/>
      <c r="G994" s="1895"/>
      <c r="H994" s="1369"/>
      <c r="I994" s="1170">
        <f>SUM(J994:N994)</f>
        <v>791106</v>
      </c>
      <c r="J994" s="1372">
        <f>J841+J836+J828+J823+J818+J813+J808+J803+J798+J793+J788+J783+J778+J773+J768+J763+J753+J748+J743+J738+J733+J728+J693+J679+J674+J572+J542+J531+J526+J521+J516+J511+J507+J500+J495+J490+J485+J475+J465+J439+J424+J419+J414+J409+J404+J399+J365+J360+J355+J345+J340+J335+J330+J325+J320+J315+J310+J305+J276+J251+J226+J221+J216+J191+J186+J180+J174+J169+J164+J157+J152+J147+J142+J112+J106+J101+J96+J91+J86+J62+J57+J52+J47+J43+J31+J26+J22+J17</f>
        <v>11801</v>
      </c>
      <c r="K994" s="1372">
        <f>K841+K836+K828+K823+K818+K813+K808+K803+K798+K793+K788+K783+K778+K773+K768+K763+K753+K748+K743+K738+K733+K728+K693+K679+K674+K572+K542+K531+K526+K521+K516+K511+K507+K500+K495+K490+K485+K475+K465+K439+K424+K419+K414+K409+K404+K399+K365+K360+K355+K345+K340+K335+K330+K325+K320+K315+K310+K305+K276+K251+K226+K221+K216+K191+K186+K180+K174+K169+K164+K157+K152+K147+K142+K112+K106+K101+K96+K91+K86+K62+K57+K52+K47+K43+K31+K26+K22+K17</f>
        <v>2297</v>
      </c>
      <c r="L994" s="1372">
        <f>L841+L836+L828+L823+L818+L813+L808+L803+L798+L793+L788+L783+L778+L773+L768+L763+L753+L748+L743+L738+L733+L728+L693+L679+L674+L572+L542+L531+L526+L521+L516+L511+L507+L500+L495+L490+L485+L475+L465+L439+L424+L419+L414+L409+L404+L399+L365+L360+L355+L345+L340+L335+L330+L325+L320+L315+L310+L305+L276+L251+L226+L221+L216+L191+L186+L180+L174+L169+L164+L157+L152+L147+L142+L112+L106+L101+L96+L91+L86+L62+L57+L52+L47+L43+L31+L26+L22+L17</f>
        <v>432147</v>
      </c>
      <c r="M994" s="1372">
        <f>M841+M836+M828+M823+M818+M813+M808+M803+M798+M793+M788+M783+M778+M773+M768+M763+M753+M748+M743+M738+M733+M728+M693+M679+M674+M572+M542+M531+M526+M521+M516+M511+M507+M500+M495+M490+M485+M475+M465+M439+M424+M419+M414+M409+M404+M399+M365+M360+M355+M345+M340+M335+M330+M325+M320+M315+M310+M305+M276+M251+M226+M221+M216+M191+M186+M180+M174+M169+M164+M157+M152+M147+M142+M112+M106+M101+M96+M91+M86+M62+M57+M52+M47+M43+M31+M26+M22+M17</f>
        <v>30513</v>
      </c>
      <c r="N994" s="1373">
        <f>N841+N836+N828+N823+N818+N813+N808+N803+N798+N793+N788+N783+N778+N773+N768+N763+N753+N748+N743+N738+N733+N728+N693+N679+N674+N572+N542+N531+N526+N521+N516+N511+N507+N500+N495+N490+N485+N475+N465+N439+N424+N419+N414+N409+N404+N399+N365+N360+N355+N345+N340+N335+N330+N325+N320+N315+N310+N305+N276+N251+N226+N221+N216+N191+N186+N180+N174+N169+N164+N157+N152+N147+N142+N112+N106+N101+N96+N91+N86+N62+N57+N52+N47+N43+N31+N26+N22+N17</f>
        <v>314348</v>
      </c>
      <c r="O994" s="507"/>
      <c r="P994" s="7"/>
    </row>
    <row r="995" spans="1:16" s="506" customFormat="1" x14ac:dyDescent="0.35">
      <c r="A995" s="184">
        <v>847</v>
      </c>
      <c r="B995" s="1367"/>
      <c r="C995" s="1368"/>
      <c r="D995" s="2073" t="s">
        <v>999</v>
      </c>
      <c r="E995" s="2074"/>
      <c r="F995" s="2074"/>
      <c r="G995" s="2075"/>
      <c r="H995" s="1369"/>
      <c r="I995" s="1178">
        <f t="shared" ref="I995:I996" si="175">SUM(J995:N995)</f>
        <v>4512</v>
      </c>
      <c r="J995" s="1374">
        <f>J837+J842+J829+J824+J819+J814+J809+J804+J799+J794+J789+J784+J779+J774+J769+J764+J754+J749+J744+J739+J734+J729+J694+J680+J675+J573+J543+J532+J527+J522+J517+J512+J508+J501+J496+J491+J486+J476+J466+J440+J425+J420+J415+J410+J405+J400+J366+J361+J356+J346+J341+J336+J331+J326+J321+J316+J311+J277+J252+J227+J222+J217+J192+J187+J181+J175+J170+J165+J158+J153+J148+J143+J113+J107+J102+J97+J92+J87+J63+J58+J53+J48+J44+J32+J27+J23+J18+J306</f>
        <v>-300</v>
      </c>
      <c r="K995" s="1374">
        <f t="shared" ref="K995:N995" si="176">K837+K842+K829+K824+K819+K814+K809+K804+K799+K794+K789+K784+K779+K774+K769+K764+K754+K749+K744+K739+K734+K729+K694+K680+K675+K573+K543+K532+K527+K522+K517+K512+K508+K501+K496+K491+K486+K476+K466+K440+K425+K420+K415+K410+K405+K400+K366+K361+K356+K346+K341+K336+K331+K326+K321+K316+K311+K277+K252+K227+K222+K217+K192+K187+K181+K175+K170+K165+K158+K153+K148+K143+K113+K107+K102+K97+K92+K87+K63+K58+K53+K48+K44+K32+K27+K23+K18+K306</f>
        <v>-39</v>
      </c>
      <c r="L995" s="1374">
        <f t="shared" si="176"/>
        <v>8457</v>
      </c>
      <c r="M995" s="1374">
        <f t="shared" si="176"/>
        <v>-8400</v>
      </c>
      <c r="N995" s="1375">
        <f t="shared" si="176"/>
        <v>4794</v>
      </c>
      <c r="O995" s="507"/>
      <c r="P995" s="7"/>
    </row>
    <row r="996" spans="1:16" s="438" customFormat="1" ht="18" thickBot="1" x14ac:dyDescent="0.35">
      <c r="A996" s="184">
        <v>848</v>
      </c>
      <c r="B996" s="1376"/>
      <c r="C996" s="1377"/>
      <c r="D996" s="2102" t="s">
        <v>1116</v>
      </c>
      <c r="E996" s="2103"/>
      <c r="F996" s="2103"/>
      <c r="G996" s="2104"/>
      <c r="H996" s="1378"/>
      <c r="I996" s="1379">
        <f t="shared" si="175"/>
        <v>795618</v>
      </c>
      <c r="J996" s="1380">
        <f>SUM(J994:J995)</f>
        <v>11501</v>
      </c>
      <c r="K996" s="1380">
        <f t="shared" ref="K996:N996" si="177">SUM(K994:K995)</f>
        <v>2258</v>
      </c>
      <c r="L996" s="1380">
        <f t="shared" si="177"/>
        <v>440604</v>
      </c>
      <c r="M996" s="1380">
        <f t="shared" si="177"/>
        <v>22113</v>
      </c>
      <c r="N996" s="1381">
        <f t="shared" si="177"/>
        <v>319142</v>
      </c>
      <c r="O996" s="437"/>
      <c r="P996" s="431"/>
    </row>
    <row r="997" spans="1:16" ht="18" customHeight="1" x14ac:dyDescent="0.3">
      <c r="A997" s="1382"/>
      <c r="B997" s="2105" t="s">
        <v>27</v>
      </c>
      <c r="C997" s="2105"/>
      <c r="D997" s="2105"/>
      <c r="E997" s="1383"/>
      <c r="F997" s="1383"/>
      <c r="G997" s="1383"/>
      <c r="H997" s="1384"/>
      <c r="I997" s="1385"/>
      <c r="J997" s="1383"/>
      <c r="K997" s="1383"/>
      <c r="L997" s="1383"/>
      <c r="M997" s="1383"/>
      <c r="N997" s="1383"/>
    </row>
    <row r="998" spans="1:16" ht="18" customHeight="1" x14ac:dyDescent="0.3">
      <c r="A998" s="1382"/>
      <c r="B998" s="1386" t="s">
        <v>28</v>
      </c>
      <c r="C998" s="1386"/>
      <c r="D998" s="1386"/>
      <c r="E998" s="1383"/>
      <c r="F998" s="1383"/>
      <c r="G998" s="1383"/>
      <c r="H998" s="1384"/>
      <c r="I998" s="1385"/>
      <c r="J998" s="1383"/>
      <c r="K998" s="1383"/>
      <c r="L998" s="1383"/>
      <c r="M998" s="1383"/>
      <c r="N998" s="1383"/>
    </row>
    <row r="999" spans="1:16" ht="18" customHeight="1" x14ac:dyDescent="0.3">
      <c r="A999" s="1382"/>
      <c r="B999" s="2105" t="s">
        <v>29</v>
      </c>
      <c r="C999" s="2105"/>
      <c r="D999" s="2105"/>
      <c r="E999" s="1383"/>
      <c r="F999" s="1383"/>
      <c r="G999" s="1383"/>
      <c r="H999" s="1384"/>
      <c r="I999" s="1385"/>
      <c r="J999" s="1383"/>
      <c r="K999" s="1383"/>
      <c r="L999" s="1383"/>
      <c r="M999" s="1383"/>
      <c r="N999" s="1383"/>
    </row>
  </sheetData>
  <mergeCells count="29">
    <mergeCell ref="D993:G993"/>
    <mergeCell ref="D995:G995"/>
    <mergeCell ref="D996:G996"/>
    <mergeCell ref="B997:D997"/>
    <mergeCell ref="B999:D999"/>
    <mergeCell ref="D987:G987"/>
    <mergeCell ref="D988:G988"/>
    <mergeCell ref="D990:G990"/>
    <mergeCell ref="D991:G991"/>
    <mergeCell ref="D992:G992"/>
    <mergeCell ref="M7:N7"/>
    <mergeCell ref="B982:G982"/>
    <mergeCell ref="D983:G983"/>
    <mergeCell ref="D985:G985"/>
    <mergeCell ref="D986:G986"/>
    <mergeCell ref="I9:I10"/>
    <mergeCell ref="J9:N9"/>
    <mergeCell ref="E9:E10"/>
    <mergeCell ref="B9:B10"/>
    <mergeCell ref="C9:C10"/>
    <mergeCell ref="G9:G10"/>
    <mergeCell ref="D9:D10"/>
    <mergeCell ref="F9:F10"/>
    <mergeCell ref="H9:H10"/>
    <mergeCell ref="B1:D1"/>
    <mergeCell ref="G1:I1"/>
    <mergeCell ref="B5:N5"/>
    <mergeCell ref="B6:N6"/>
    <mergeCell ref="B2:F2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58" fitToHeight="0" orientation="landscape" r:id="rId1"/>
  <headerFooter alignWithMargins="0">
    <oddFooter>&amp;C- &amp;P -</oddFooter>
  </headerFooter>
  <rowBreaks count="1" manualBreakCount="1">
    <brk id="812" max="1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7"/>
  <sheetViews>
    <sheetView view="pageBreakPreview" topLeftCell="A32" zoomScaleNormal="100" zoomScaleSheetLayoutView="100" workbookViewId="0">
      <selection activeCell="D68" sqref="D68"/>
    </sheetView>
  </sheetViews>
  <sheetFormatPr defaultColWidth="9.140625" defaultRowHeight="14.25" x14ac:dyDescent="0.2"/>
  <cols>
    <col min="1" max="1" width="3.7109375" style="241" customWidth="1"/>
    <col min="2" max="2" width="79.85546875" style="123" bestFit="1" customWidth="1"/>
    <col min="3" max="3" width="12.7109375" style="123" customWidth="1"/>
    <col min="4" max="4" width="9.140625" style="123"/>
    <col min="5" max="5" width="90.42578125" style="123" customWidth="1"/>
    <col min="6" max="16384" width="9.140625" style="123"/>
  </cols>
  <sheetData>
    <row r="1" spans="1:5" s="157" customFormat="1" ht="16.5" x14ac:dyDescent="0.2">
      <c r="A1" s="328"/>
      <c r="B1" s="329" t="s">
        <v>974</v>
      </c>
      <c r="C1" s="330"/>
    </row>
    <row r="2" spans="1:5" s="157" customFormat="1" ht="16.5" x14ac:dyDescent="0.2">
      <c r="A2" s="328"/>
      <c r="B2" s="329" t="s">
        <v>1046</v>
      </c>
      <c r="C2" s="330"/>
    </row>
    <row r="3" spans="1:5" s="157" customFormat="1" ht="16.5" x14ac:dyDescent="0.2">
      <c r="A3" s="328"/>
      <c r="B3" s="329" t="s">
        <v>1080</v>
      </c>
      <c r="C3" s="330"/>
    </row>
    <row r="4" spans="1:5" s="157" customFormat="1" ht="16.5" x14ac:dyDescent="0.3">
      <c r="A4" s="328"/>
      <c r="B4" s="1905" t="s">
        <v>1236</v>
      </c>
      <c r="C4" s="330"/>
    </row>
    <row r="5" spans="1:5" ht="19.899999999999999" customHeight="1" x14ac:dyDescent="0.2">
      <c r="A5" s="328"/>
      <c r="B5" s="2065" t="s">
        <v>122</v>
      </c>
      <c r="C5" s="2065"/>
    </row>
    <row r="6" spans="1:5" ht="19.899999999999999" customHeight="1" x14ac:dyDescent="0.2">
      <c r="A6" s="328"/>
      <c r="B6" s="2065" t="s">
        <v>318</v>
      </c>
      <c r="C6" s="2065"/>
    </row>
    <row r="7" spans="1:5" ht="33.75" customHeight="1" x14ac:dyDescent="0.2">
      <c r="A7" s="328"/>
      <c r="B7" s="2111" t="s">
        <v>678</v>
      </c>
      <c r="C7" s="2111"/>
    </row>
    <row r="8" spans="1:5" s="331" customFormat="1" ht="19.899999999999999" customHeight="1" x14ac:dyDescent="0.3">
      <c r="A8" s="327"/>
      <c r="B8" s="2106" t="s">
        <v>0</v>
      </c>
      <c r="C8" s="2106"/>
    </row>
    <row r="9" spans="1:5" s="70" customFormat="1" ht="15" thickBot="1" x14ac:dyDescent="0.25">
      <c r="A9" s="1387"/>
      <c r="B9" s="1149" t="s">
        <v>1</v>
      </c>
      <c r="C9" s="1148" t="s">
        <v>3</v>
      </c>
    </row>
    <row r="10" spans="1:5" ht="19.899999999999999" customHeight="1" x14ac:dyDescent="0.2">
      <c r="A10" s="1388"/>
      <c r="B10" s="2107" t="s">
        <v>324</v>
      </c>
      <c r="C10" s="2109" t="s">
        <v>319</v>
      </c>
    </row>
    <row r="11" spans="1:5" ht="19.899999999999999" customHeight="1" thickBot="1" x14ac:dyDescent="0.25">
      <c r="A11" s="1388"/>
      <c r="B11" s="2108"/>
      <c r="C11" s="2110"/>
    </row>
    <row r="12" spans="1:5" s="124" customFormat="1" ht="33.75" thickTop="1" x14ac:dyDescent="0.2">
      <c r="A12" s="1389">
        <v>1</v>
      </c>
      <c r="B12" s="1390" t="s">
        <v>1176</v>
      </c>
      <c r="C12" s="1392">
        <v>10200</v>
      </c>
      <c r="D12" s="125"/>
      <c r="E12" s="126"/>
    </row>
    <row r="13" spans="1:5" s="124" customFormat="1" ht="18" customHeight="1" x14ac:dyDescent="0.2">
      <c r="A13" s="1389">
        <v>2</v>
      </c>
      <c r="B13" s="1390" t="s">
        <v>829</v>
      </c>
      <c r="C13" s="1391">
        <f>2550-1550</f>
        <v>1000</v>
      </c>
      <c r="D13" s="125"/>
      <c r="E13" s="126"/>
    </row>
    <row r="14" spans="1:5" s="124" customFormat="1" ht="18" customHeight="1" x14ac:dyDescent="0.2">
      <c r="A14" s="1389">
        <v>3</v>
      </c>
      <c r="B14" s="1390" t="s">
        <v>830</v>
      </c>
      <c r="C14" s="1391">
        <f>2550-1550</f>
        <v>1000</v>
      </c>
      <c r="D14" s="125"/>
      <c r="E14" s="126"/>
    </row>
    <row r="15" spans="1:5" s="124" customFormat="1" ht="18" customHeight="1" x14ac:dyDescent="0.2">
      <c r="A15" s="1389">
        <v>4</v>
      </c>
      <c r="B15" s="1390" t="s">
        <v>831</v>
      </c>
      <c r="C15" s="1391">
        <f>850-400</f>
        <v>450</v>
      </c>
      <c r="D15" s="125"/>
      <c r="E15" s="126"/>
    </row>
    <row r="16" spans="1:5" s="124" customFormat="1" ht="18" customHeight="1" x14ac:dyDescent="0.2">
      <c r="A16" s="1389">
        <v>5</v>
      </c>
      <c r="B16" s="1390" t="s">
        <v>597</v>
      </c>
      <c r="C16" s="1391">
        <f>553-553+500</f>
        <v>500</v>
      </c>
      <c r="D16" s="125"/>
      <c r="E16" s="126"/>
    </row>
    <row r="17" spans="1:5" s="124" customFormat="1" ht="18" customHeight="1" x14ac:dyDescent="0.2">
      <c r="A17" s="1389">
        <v>6</v>
      </c>
      <c r="B17" s="1390" t="s">
        <v>398</v>
      </c>
      <c r="C17" s="1391">
        <f>25975+4880</f>
        <v>30855</v>
      </c>
      <c r="D17" s="125"/>
      <c r="E17" s="126"/>
    </row>
    <row r="18" spans="1:5" s="124" customFormat="1" ht="18" customHeight="1" x14ac:dyDescent="0.2">
      <c r="A18" s="1389">
        <v>7</v>
      </c>
      <c r="B18" s="1390" t="s">
        <v>321</v>
      </c>
      <c r="C18" s="1391">
        <f>6460-5994</f>
        <v>466</v>
      </c>
      <c r="D18" s="125"/>
      <c r="E18" s="126"/>
    </row>
    <row r="19" spans="1:5" s="124" customFormat="1" ht="18" customHeight="1" x14ac:dyDescent="0.2">
      <c r="A19" s="1389">
        <v>8</v>
      </c>
      <c r="B19" s="1390" t="s">
        <v>320</v>
      </c>
      <c r="C19" s="1391">
        <f>11900-1900-4445</f>
        <v>5555</v>
      </c>
      <c r="D19" s="125"/>
      <c r="E19" s="126"/>
    </row>
    <row r="20" spans="1:5" s="124" customFormat="1" ht="18" customHeight="1" x14ac:dyDescent="0.2">
      <c r="A20" s="1389">
        <v>9</v>
      </c>
      <c r="B20" s="1390" t="s">
        <v>516</v>
      </c>
      <c r="C20" s="1391">
        <v>60000</v>
      </c>
      <c r="D20" s="125"/>
      <c r="E20" s="126"/>
    </row>
    <row r="21" spans="1:5" s="124" customFormat="1" ht="33" x14ac:dyDescent="0.2">
      <c r="A21" s="1389">
        <v>10</v>
      </c>
      <c r="B21" s="1390" t="s">
        <v>844</v>
      </c>
      <c r="C21" s="1392">
        <v>1275</v>
      </c>
      <c r="D21" s="160"/>
      <c r="E21" s="126"/>
    </row>
    <row r="22" spans="1:5" s="124" customFormat="1" ht="18" customHeight="1" x14ac:dyDescent="0.2">
      <c r="A22" s="1389">
        <v>11</v>
      </c>
      <c r="B22" s="1393" t="s">
        <v>1007</v>
      </c>
      <c r="C22" s="1391">
        <v>50</v>
      </c>
      <c r="D22" s="160"/>
      <c r="E22" s="126"/>
    </row>
    <row r="23" spans="1:5" s="124" customFormat="1" ht="18" customHeight="1" x14ac:dyDescent="0.2">
      <c r="A23" s="1389">
        <v>12</v>
      </c>
      <c r="B23" s="1393" t="s">
        <v>1081</v>
      </c>
      <c r="C23" s="1394">
        <v>10000</v>
      </c>
      <c r="D23" s="160"/>
      <c r="E23" s="126"/>
    </row>
    <row r="24" spans="1:5" s="124" customFormat="1" ht="18" customHeight="1" x14ac:dyDescent="0.2">
      <c r="A24" s="1389">
        <v>13</v>
      </c>
      <c r="B24" s="1393" t="s">
        <v>1082</v>
      </c>
      <c r="C24" s="1391">
        <v>375</v>
      </c>
      <c r="D24" s="160"/>
      <c r="E24" s="126"/>
    </row>
    <row r="25" spans="1:5" s="124" customFormat="1" ht="30.75" customHeight="1" x14ac:dyDescent="0.2">
      <c r="A25" s="1389">
        <v>14</v>
      </c>
      <c r="B25" s="1393" t="s">
        <v>1083</v>
      </c>
      <c r="C25" s="1391">
        <v>83</v>
      </c>
      <c r="D25" s="160"/>
      <c r="E25" s="126"/>
    </row>
    <row r="26" spans="1:5" s="124" customFormat="1" ht="18" customHeight="1" x14ac:dyDescent="0.2">
      <c r="A26" s="1389">
        <v>15</v>
      </c>
      <c r="B26" s="1393" t="s">
        <v>1084</v>
      </c>
      <c r="C26" s="1391">
        <v>250</v>
      </c>
      <c r="D26" s="160"/>
      <c r="E26" s="126"/>
    </row>
    <row r="27" spans="1:5" s="124" customFormat="1" ht="18" customHeight="1" x14ac:dyDescent="0.2">
      <c r="A27" s="1389">
        <v>16</v>
      </c>
      <c r="B27" s="1395" t="s">
        <v>1085</v>
      </c>
      <c r="C27" s="1394">
        <v>1375</v>
      </c>
      <c r="D27" s="160"/>
      <c r="E27" s="126"/>
    </row>
    <row r="28" spans="1:5" s="124" customFormat="1" ht="18" customHeight="1" x14ac:dyDescent="0.2">
      <c r="A28" s="1389">
        <v>17</v>
      </c>
      <c r="B28" s="1920" t="s">
        <v>1177</v>
      </c>
      <c r="C28" s="1391"/>
      <c r="D28" s="160"/>
      <c r="E28" s="126"/>
    </row>
    <row r="29" spans="1:5" s="124" customFormat="1" ht="18" customHeight="1" x14ac:dyDescent="0.2">
      <c r="A29" s="1389">
        <v>18</v>
      </c>
      <c r="B29" s="1390" t="s">
        <v>513</v>
      </c>
      <c r="C29" s="1391">
        <f>17000-8500</f>
        <v>8500</v>
      </c>
      <c r="D29" s="160"/>
      <c r="E29" s="126"/>
    </row>
    <row r="30" spans="1:5" s="124" customFormat="1" ht="18" customHeight="1" x14ac:dyDescent="0.2">
      <c r="A30" s="1389">
        <v>19</v>
      </c>
      <c r="B30" s="1390" t="s">
        <v>514</v>
      </c>
      <c r="C30" s="1391">
        <f>28000-15500</f>
        <v>12500</v>
      </c>
      <c r="D30" s="160"/>
      <c r="E30" s="126"/>
    </row>
    <row r="31" spans="1:5" s="124" customFormat="1" ht="18" customHeight="1" x14ac:dyDescent="0.2">
      <c r="A31" s="1389">
        <v>20</v>
      </c>
      <c r="B31" s="1390" t="s">
        <v>357</v>
      </c>
      <c r="C31" s="1391">
        <f>30000-15000</f>
        <v>15000</v>
      </c>
      <c r="D31" s="160"/>
      <c r="E31" s="126"/>
    </row>
    <row r="32" spans="1:5" s="124" customFormat="1" ht="18" customHeight="1" x14ac:dyDescent="0.2">
      <c r="A32" s="1389">
        <v>21</v>
      </c>
      <c r="B32" s="1390" t="s">
        <v>1178</v>
      </c>
      <c r="C32" s="1391">
        <v>3000</v>
      </c>
      <c r="D32" s="160"/>
      <c r="E32" s="126"/>
    </row>
    <row r="33" spans="1:5" s="124" customFormat="1" ht="18" customHeight="1" x14ac:dyDescent="0.2">
      <c r="A33" s="1389">
        <v>22</v>
      </c>
      <c r="B33" s="1390" t="s">
        <v>1179</v>
      </c>
      <c r="C33" s="1391">
        <v>1500</v>
      </c>
      <c r="D33" s="160"/>
      <c r="E33" s="126"/>
    </row>
    <row r="34" spans="1:5" s="124" customFormat="1" ht="18" customHeight="1" x14ac:dyDescent="0.2">
      <c r="A34" s="1389">
        <v>23</v>
      </c>
      <c r="B34" s="1390" t="s">
        <v>1180</v>
      </c>
      <c r="C34" s="1391">
        <v>1750</v>
      </c>
      <c r="D34" s="160"/>
      <c r="E34" s="126"/>
    </row>
    <row r="35" spans="1:5" s="124" customFormat="1" ht="18" customHeight="1" x14ac:dyDescent="0.2">
      <c r="A35" s="1389">
        <v>24</v>
      </c>
      <c r="B35" s="1390" t="s">
        <v>1181</v>
      </c>
      <c r="C35" s="1391">
        <v>3000</v>
      </c>
      <c r="D35" s="160"/>
      <c r="E35" s="126"/>
    </row>
    <row r="36" spans="1:5" ht="30" customHeight="1" x14ac:dyDescent="0.2">
      <c r="A36" s="1389">
        <v>25</v>
      </c>
      <c r="B36" s="1390" t="s">
        <v>1182</v>
      </c>
      <c r="C36" s="1391">
        <v>2500</v>
      </c>
    </row>
    <row r="37" spans="1:5" ht="16.5" x14ac:dyDescent="0.2">
      <c r="A37" s="1389">
        <v>26</v>
      </c>
      <c r="B37" s="1390" t="s">
        <v>1183</v>
      </c>
      <c r="C37" s="1391">
        <v>1600</v>
      </c>
    </row>
    <row r="38" spans="1:5" ht="16.5" x14ac:dyDescent="0.2">
      <c r="A38" s="1389">
        <v>27</v>
      </c>
      <c r="B38" s="1390" t="s">
        <v>1184</v>
      </c>
      <c r="C38" s="1391">
        <v>500</v>
      </c>
    </row>
    <row r="39" spans="1:5" ht="16.5" x14ac:dyDescent="0.2">
      <c r="A39" s="1389">
        <v>28</v>
      </c>
      <c r="B39" s="1390" t="s">
        <v>1185</v>
      </c>
      <c r="C39" s="1391">
        <v>4750</v>
      </c>
    </row>
    <row r="40" spans="1:5" ht="16.5" x14ac:dyDescent="0.2">
      <c r="A40" s="1389">
        <v>29</v>
      </c>
      <c r="B40" s="1390" t="s">
        <v>1186</v>
      </c>
      <c r="C40" s="1391">
        <v>1500</v>
      </c>
    </row>
    <row r="41" spans="1:5" ht="16.5" x14ac:dyDescent="0.2">
      <c r="A41" s="1389">
        <v>30</v>
      </c>
      <c r="B41" s="1390" t="s">
        <v>1187</v>
      </c>
      <c r="C41" s="1391">
        <v>700</v>
      </c>
    </row>
    <row r="42" spans="1:5" ht="16.5" x14ac:dyDescent="0.2">
      <c r="A42" s="1389">
        <v>31</v>
      </c>
      <c r="B42" s="1390" t="s">
        <v>1188</v>
      </c>
      <c r="C42" s="1391">
        <v>300</v>
      </c>
    </row>
    <row r="43" spans="1:5" ht="16.5" x14ac:dyDescent="0.2">
      <c r="A43" s="1389">
        <v>32</v>
      </c>
      <c r="B43" s="1390" t="s">
        <v>1189</v>
      </c>
      <c r="C43" s="1391">
        <v>300</v>
      </c>
    </row>
    <row r="44" spans="1:5" ht="16.5" x14ac:dyDescent="0.2">
      <c r="A44" s="1389">
        <v>33</v>
      </c>
      <c r="B44" s="1390" t="s">
        <v>1190</v>
      </c>
      <c r="C44" s="1391">
        <v>300</v>
      </c>
    </row>
    <row r="45" spans="1:5" ht="16.5" x14ac:dyDescent="0.2">
      <c r="A45" s="1389">
        <v>34</v>
      </c>
      <c r="B45" s="1390" t="s">
        <v>1191</v>
      </c>
      <c r="C45" s="1391">
        <v>100</v>
      </c>
    </row>
    <row r="46" spans="1:5" ht="16.5" x14ac:dyDescent="0.2">
      <c r="A46" s="1389">
        <v>35</v>
      </c>
      <c r="B46" s="1390" t="s">
        <v>1192</v>
      </c>
      <c r="C46" s="1391">
        <v>100</v>
      </c>
    </row>
    <row r="47" spans="1:5" ht="16.5" x14ac:dyDescent="0.2">
      <c r="A47" s="1389">
        <v>36</v>
      </c>
      <c r="B47" s="1390" t="s">
        <v>1193</v>
      </c>
      <c r="C47" s="1391">
        <v>100</v>
      </c>
    </row>
    <row r="48" spans="1:5" ht="16.5" x14ac:dyDescent="0.2">
      <c r="A48" s="1389">
        <v>37</v>
      </c>
      <c r="B48" s="1390" t="s">
        <v>1194</v>
      </c>
      <c r="C48" s="1391">
        <v>100</v>
      </c>
    </row>
    <row r="49" spans="1:5" ht="16.5" x14ac:dyDescent="0.2">
      <c r="A49" s="1389">
        <v>38</v>
      </c>
      <c r="B49" s="1390" t="s">
        <v>1195</v>
      </c>
      <c r="C49" s="1391">
        <v>75</v>
      </c>
    </row>
    <row r="50" spans="1:5" ht="16.5" x14ac:dyDescent="0.2">
      <c r="A50" s="1389">
        <v>39</v>
      </c>
      <c r="B50" s="1390" t="s">
        <v>1196</v>
      </c>
      <c r="C50" s="1391">
        <v>50</v>
      </c>
    </row>
    <row r="51" spans="1:5" ht="16.5" x14ac:dyDescent="0.2">
      <c r="A51" s="1389">
        <v>40</v>
      </c>
      <c r="B51" s="1390" t="s">
        <v>1197</v>
      </c>
      <c r="C51" s="1391">
        <v>50</v>
      </c>
    </row>
    <row r="52" spans="1:5" ht="16.5" x14ac:dyDescent="0.2">
      <c r="A52" s="1389">
        <v>41</v>
      </c>
      <c r="B52" s="1390" t="s">
        <v>1198</v>
      </c>
      <c r="C52" s="1391">
        <v>50</v>
      </c>
    </row>
    <row r="53" spans="1:5" ht="16.5" x14ac:dyDescent="0.2">
      <c r="A53" s="1389">
        <v>42</v>
      </c>
      <c r="B53" s="1390" t="s">
        <v>1199</v>
      </c>
      <c r="C53" s="1391">
        <v>50</v>
      </c>
    </row>
    <row r="54" spans="1:5" ht="16.5" x14ac:dyDescent="0.2">
      <c r="A54" s="1389">
        <v>43</v>
      </c>
      <c r="B54" s="1390" t="s">
        <v>1200</v>
      </c>
      <c r="C54" s="1391">
        <v>50</v>
      </c>
    </row>
    <row r="55" spans="1:5" ht="16.5" x14ac:dyDescent="0.2">
      <c r="A55" s="1389">
        <v>44</v>
      </c>
      <c r="B55" s="1390" t="s">
        <v>1201</v>
      </c>
      <c r="C55" s="1391">
        <v>50</v>
      </c>
    </row>
    <row r="56" spans="1:5" ht="16.5" x14ac:dyDescent="0.2">
      <c r="A56" s="1389">
        <v>45</v>
      </c>
      <c r="B56" s="1390" t="s">
        <v>1202</v>
      </c>
      <c r="C56" s="1391">
        <v>50</v>
      </c>
    </row>
    <row r="57" spans="1:5" ht="16.5" x14ac:dyDescent="0.2">
      <c r="A57" s="1389">
        <v>46</v>
      </c>
      <c r="B57" s="1390" t="s">
        <v>1203</v>
      </c>
      <c r="C57" s="1391">
        <v>50</v>
      </c>
    </row>
    <row r="58" spans="1:5" ht="16.5" x14ac:dyDescent="0.2">
      <c r="A58" s="1389">
        <v>47</v>
      </c>
      <c r="B58" s="1390" t="s">
        <v>1204</v>
      </c>
      <c r="C58" s="1391">
        <v>50</v>
      </c>
    </row>
    <row r="59" spans="1:5" ht="16.5" x14ac:dyDescent="0.2">
      <c r="A59" s="1389">
        <v>48</v>
      </c>
      <c r="B59" s="1390" t="s">
        <v>1205</v>
      </c>
      <c r="C59" s="1391">
        <v>50</v>
      </c>
    </row>
    <row r="60" spans="1:5" ht="18.75" x14ac:dyDescent="0.3">
      <c r="A60" s="1389">
        <v>49</v>
      </c>
      <c r="B60" s="1921" t="s">
        <v>1206</v>
      </c>
      <c r="C60" s="1391"/>
    </row>
    <row r="61" spans="1:5" ht="16.5" x14ac:dyDescent="0.2">
      <c r="A61" s="1389">
        <v>50</v>
      </c>
      <c r="B61" s="1390" t="s">
        <v>1207</v>
      </c>
      <c r="C61" s="1391">
        <v>600</v>
      </c>
    </row>
    <row r="62" spans="1:5" ht="16.5" x14ac:dyDescent="0.2">
      <c r="A62" s="1389">
        <v>51</v>
      </c>
      <c r="B62" s="1390" t="s">
        <v>1208</v>
      </c>
      <c r="C62" s="1391">
        <v>600</v>
      </c>
    </row>
    <row r="63" spans="1:5" ht="16.5" x14ac:dyDescent="0.2">
      <c r="A63" s="1389">
        <v>52</v>
      </c>
      <c r="B63" s="1390" t="s">
        <v>1209</v>
      </c>
      <c r="C63" s="1391">
        <v>600</v>
      </c>
    </row>
    <row r="64" spans="1:5" s="124" customFormat="1" ht="18" customHeight="1" thickBot="1" x14ac:dyDescent="0.25">
      <c r="A64" s="1389">
        <v>53</v>
      </c>
      <c r="B64" s="1390" t="s">
        <v>1210</v>
      </c>
      <c r="C64" s="1391">
        <v>1800</v>
      </c>
      <c r="D64" s="160"/>
      <c r="E64" s="126"/>
    </row>
    <row r="65" spans="1:5" s="124" customFormat="1" ht="18" hidden="1" customHeight="1" x14ac:dyDescent="0.2">
      <c r="A65" s="1389">
        <v>58</v>
      </c>
      <c r="B65" s="1920" t="s">
        <v>1228</v>
      </c>
      <c r="C65" s="1391"/>
      <c r="D65" s="160"/>
      <c r="E65" s="126"/>
    </row>
    <row r="66" spans="1:5" s="124" customFormat="1" ht="18" hidden="1" customHeight="1" thickBot="1" x14ac:dyDescent="0.25">
      <c r="A66" s="1389">
        <v>59</v>
      </c>
      <c r="B66" s="1934" t="s">
        <v>1229</v>
      </c>
      <c r="C66" s="1935">
        <v>3000</v>
      </c>
      <c r="D66" s="160"/>
      <c r="E66" s="126"/>
    </row>
    <row r="67" spans="1:5" ht="30" customHeight="1" thickBot="1" x14ac:dyDescent="0.25">
      <c r="A67" s="1389"/>
      <c r="B67" s="1396" t="s">
        <v>13</v>
      </c>
      <c r="C67" s="1397">
        <f>SUM(C12:C66)</f>
        <v>188709</v>
      </c>
    </row>
  </sheetData>
  <mergeCells count="6">
    <mergeCell ref="B8:C8"/>
    <mergeCell ref="B10:B11"/>
    <mergeCell ref="C10:C11"/>
    <mergeCell ref="B5:C5"/>
    <mergeCell ref="B6:C6"/>
    <mergeCell ref="B7:C7"/>
  </mergeCells>
  <printOptions horizontalCentered="1"/>
  <pageMargins left="0.19685039370078741" right="0.19685039370078741" top="0.59055118110236227" bottom="0.59055118110236227" header="0.51181102362204722" footer="0.51181102362204722"/>
  <pageSetup paperSize="9" fitToHeight="0" orientation="portrait" r:id="rId1"/>
  <headerFooter>
    <oddFooter>&amp;C- &amp;P -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Q326"/>
  <sheetViews>
    <sheetView view="pageBreakPreview" topLeftCell="A289" zoomScaleNormal="100" zoomScaleSheetLayoutView="100" workbookViewId="0">
      <selection activeCell="D311" sqref="D311"/>
    </sheetView>
  </sheetViews>
  <sheetFormatPr defaultColWidth="9.140625" defaultRowHeight="15" x14ac:dyDescent="0.3"/>
  <cols>
    <col min="1" max="1" width="3.7109375" style="263" customWidth="1"/>
    <col min="2" max="2" width="5.7109375" style="256" customWidth="1"/>
    <col min="3" max="3" width="5.7109375" style="257" customWidth="1"/>
    <col min="4" max="4" width="60.140625" style="258" customWidth="1"/>
    <col min="5" max="7" width="10.7109375" style="254" customWidth="1"/>
    <col min="8" max="8" width="6.7109375" style="259" customWidth="1"/>
    <col min="9" max="11" width="14.85546875" style="254" customWidth="1"/>
    <col min="12" max="12" width="15.7109375" style="254" customWidth="1"/>
    <col min="13" max="13" width="13.7109375" style="261" customWidth="1"/>
    <col min="14" max="16384" width="9.140625" style="255"/>
  </cols>
  <sheetData>
    <row r="1" spans="1:251" s="146" customFormat="1" ht="18" customHeight="1" x14ac:dyDescent="0.3">
      <c r="A1" s="262"/>
      <c r="B1" s="2121" t="s">
        <v>975</v>
      </c>
      <c r="C1" s="2121"/>
      <c r="D1" s="2121"/>
      <c r="E1" s="217"/>
      <c r="F1" s="217"/>
      <c r="G1" s="217"/>
      <c r="H1" s="216"/>
      <c r="I1" s="2122"/>
      <c r="J1" s="2122"/>
      <c r="K1" s="2122"/>
      <c r="L1" s="2122"/>
      <c r="M1" s="2122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  <c r="AJ1" s="218"/>
      <c r="AK1" s="218"/>
      <c r="AL1" s="218"/>
      <c r="AM1" s="218"/>
      <c r="AN1" s="218"/>
      <c r="AO1" s="218"/>
      <c r="AP1" s="218"/>
      <c r="AQ1" s="218"/>
      <c r="AR1" s="218"/>
      <c r="AS1" s="218"/>
      <c r="AT1" s="218"/>
      <c r="AU1" s="218"/>
      <c r="AV1" s="218"/>
      <c r="AW1" s="218"/>
      <c r="AX1" s="218"/>
      <c r="AY1" s="218"/>
      <c r="AZ1" s="218"/>
      <c r="BA1" s="218"/>
      <c r="BB1" s="218"/>
      <c r="BC1" s="218"/>
      <c r="BD1" s="218"/>
      <c r="BE1" s="218"/>
      <c r="BF1" s="218"/>
      <c r="BG1" s="218"/>
      <c r="BH1" s="218"/>
      <c r="BI1" s="218"/>
      <c r="BJ1" s="218"/>
      <c r="BK1" s="218"/>
      <c r="BL1" s="218"/>
      <c r="BM1" s="218"/>
      <c r="BN1" s="218"/>
      <c r="BO1" s="218"/>
      <c r="BP1" s="218"/>
      <c r="BQ1" s="218"/>
      <c r="BR1" s="218"/>
      <c r="BS1" s="218"/>
      <c r="BT1" s="218"/>
      <c r="BU1" s="218"/>
      <c r="BV1" s="218"/>
      <c r="BW1" s="218"/>
      <c r="BX1" s="218"/>
      <c r="BY1" s="218"/>
      <c r="BZ1" s="218"/>
      <c r="CA1" s="218"/>
      <c r="CB1" s="218"/>
      <c r="CC1" s="218"/>
      <c r="CD1" s="218"/>
      <c r="CE1" s="218"/>
      <c r="CF1" s="218"/>
      <c r="CG1" s="218"/>
      <c r="CH1" s="218"/>
      <c r="CI1" s="218"/>
      <c r="CJ1" s="218"/>
      <c r="CK1" s="218"/>
      <c r="CL1" s="218"/>
      <c r="CM1" s="218"/>
      <c r="CN1" s="218"/>
      <c r="CO1" s="218"/>
      <c r="CP1" s="218"/>
      <c r="CQ1" s="218"/>
      <c r="CR1" s="218"/>
      <c r="CS1" s="218"/>
      <c r="CT1" s="218"/>
      <c r="CU1" s="218"/>
      <c r="CV1" s="218"/>
      <c r="CW1" s="218"/>
      <c r="CX1" s="218"/>
      <c r="CY1" s="218"/>
      <c r="CZ1" s="218"/>
      <c r="DA1" s="218"/>
      <c r="DB1" s="218"/>
      <c r="DC1" s="218"/>
      <c r="DD1" s="218"/>
      <c r="DE1" s="218"/>
      <c r="DF1" s="218"/>
      <c r="DG1" s="218"/>
      <c r="DH1" s="218"/>
      <c r="DI1" s="218"/>
      <c r="DJ1" s="218"/>
      <c r="DK1" s="218"/>
      <c r="DL1" s="218"/>
      <c r="DM1" s="218"/>
      <c r="DN1" s="218"/>
      <c r="DO1" s="218"/>
      <c r="DP1" s="218"/>
      <c r="DQ1" s="218"/>
      <c r="DR1" s="218"/>
      <c r="DS1" s="218"/>
      <c r="DT1" s="218"/>
      <c r="DU1" s="218"/>
      <c r="DV1" s="218"/>
      <c r="DW1" s="218"/>
      <c r="DX1" s="218"/>
      <c r="DY1" s="218"/>
      <c r="DZ1" s="218"/>
      <c r="EA1" s="218"/>
      <c r="EB1" s="218"/>
      <c r="EC1" s="218"/>
      <c r="ED1" s="218"/>
      <c r="EE1" s="218"/>
      <c r="EF1" s="218"/>
      <c r="EG1" s="218"/>
      <c r="EH1" s="218"/>
      <c r="EI1" s="218"/>
      <c r="EJ1" s="218"/>
      <c r="EK1" s="218"/>
      <c r="EL1" s="218"/>
      <c r="EM1" s="218"/>
      <c r="EN1" s="218"/>
      <c r="EO1" s="218"/>
      <c r="EP1" s="218"/>
      <c r="EQ1" s="218"/>
      <c r="ER1" s="218"/>
      <c r="ES1" s="218"/>
      <c r="ET1" s="218"/>
      <c r="EU1" s="218"/>
      <c r="EV1" s="218"/>
      <c r="EW1" s="218"/>
      <c r="EX1" s="218"/>
      <c r="EY1" s="218"/>
      <c r="EZ1" s="218"/>
      <c r="FA1" s="218"/>
      <c r="FB1" s="218"/>
      <c r="FC1" s="218"/>
      <c r="FD1" s="218"/>
      <c r="FE1" s="218"/>
      <c r="FF1" s="218"/>
      <c r="FG1" s="218"/>
      <c r="FH1" s="218"/>
      <c r="FI1" s="218"/>
      <c r="FJ1" s="218"/>
      <c r="FK1" s="218"/>
      <c r="FL1" s="218"/>
      <c r="FM1" s="218"/>
      <c r="FN1" s="218"/>
      <c r="FO1" s="218"/>
      <c r="FP1" s="218"/>
      <c r="FQ1" s="218"/>
      <c r="FR1" s="218"/>
      <c r="FS1" s="218"/>
      <c r="FT1" s="218"/>
      <c r="FU1" s="218"/>
      <c r="FV1" s="218"/>
      <c r="FW1" s="218"/>
      <c r="FX1" s="218"/>
      <c r="FY1" s="218"/>
      <c r="FZ1" s="218"/>
      <c r="GA1" s="218"/>
      <c r="GB1" s="218"/>
      <c r="GC1" s="218"/>
      <c r="GD1" s="218"/>
      <c r="GE1" s="218"/>
      <c r="GF1" s="218"/>
      <c r="GG1" s="218"/>
      <c r="GH1" s="218"/>
      <c r="GI1" s="218"/>
      <c r="GJ1" s="218"/>
      <c r="GK1" s="218"/>
      <c r="GL1" s="218"/>
      <c r="GM1" s="218"/>
      <c r="GN1" s="218"/>
      <c r="GO1" s="218"/>
      <c r="GP1" s="218"/>
      <c r="GQ1" s="218"/>
      <c r="GR1" s="218"/>
      <c r="GS1" s="218"/>
      <c r="GT1" s="218"/>
      <c r="GU1" s="218"/>
      <c r="GV1" s="218"/>
      <c r="GW1" s="218"/>
      <c r="GX1" s="218"/>
      <c r="GY1" s="218"/>
      <c r="GZ1" s="218"/>
      <c r="HA1" s="218"/>
      <c r="HB1" s="218"/>
      <c r="HC1" s="218"/>
      <c r="HD1" s="218"/>
      <c r="HE1" s="218"/>
      <c r="HF1" s="218"/>
      <c r="HG1" s="218"/>
      <c r="HH1" s="218"/>
      <c r="HI1" s="218"/>
      <c r="HJ1" s="218"/>
      <c r="HK1" s="218"/>
      <c r="HL1" s="218"/>
      <c r="HM1" s="218"/>
      <c r="HN1" s="218"/>
      <c r="HO1" s="218"/>
      <c r="HP1" s="218"/>
      <c r="HQ1" s="218"/>
      <c r="HR1" s="218"/>
      <c r="HS1" s="218"/>
      <c r="HT1" s="218"/>
      <c r="HU1" s="218"/>
      <c r="HV1" s="218"/>
      <c r="HW1" s="218"/>
      <c r="HX1" s="218"/>
      <c r="HY1" s="218"/>
      <c r="HZ1" s="218"/>
      <c r="IA1" s="218"/>
      <c r="IB1" s="218"/>
      <c r="IC1" s="218"/>
      <c r="ID1" s="218"/>
      <c r="IE1" s="218"/>
      <c r="IF1" s="218"/>
      <c r="IG1" s="218"/>
      <c r="IH1" s="218"/>
      <c r="II1" s="218"/>
      <c r="IJ1" s="218"/>
      <c r="IK1" s="218"/>
      <c r="IL1" s="218"/>
      <c r="IM1" s="218"/>
      <c r="IN1" s="218"/>
      <c r="IO1" s="218"/>
      <c r="IP1" s="218"/>
      <c r="IQ1" s="218"/>
    </row>
    <row r="2" spans="1:251" s="146" customFormat="1" ht="18" customHeight="1" x14ac:dyDescent="0.3">
      <c r="A2" s="262"/>
      <c r="B2" s="468" t="s">
        <v>1047</v>
      </c>
      <c r="C2" s="468"/>
      <c r="D2" s="468"/>
      <c r="E2" s="217"/>
      <c r="F2" s="217"/>
      <c r="G2" s="217"/>
      <c r="H2" s="216"/>
      <c r="I2" s="469"/>
      <c r="J2" s="469"/>
      <c r="K2" s="469"/>
      <c r="L2" s="469"/>
      <c r="M2" s="469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8"/>
      <c r="AZ2" s="218"/>
      <c r="BA2" s="218"/>
      <c r="BB2" s="218"/>
      <c r="BC2" s="218"/>
      <c r="BD2" s="218"/>
      <c r="BE2" s="218"/>
      <c r="BF2" s="218"/>
      <c r="BG2" s="218"/>
      <c r="BH2" s="218"/>
      <c r="BI2" s="218"/>
      <c r="BJ2" s="218"/>
      <c r="BK2" s="218"/>
      <c r="BL2" s="218"/>
      <c r="BM2" s="218"/>
      <c r="BN2" s="218"/>
      <c r="BO2" s="218"/>
      <c r="BP2" s="218"/>
      <c r="BQ2" s="218"/>
      <c r="BR2" s="218"/>
      <c r="BS2" s="218"/>
      <c r="BT2" s="218"/>
      <c r="BU2" s="218"/>
      <c r="BV2" s="218"/>
      <c r="BW2" s="218"/>
      <c r="BX2" s="218"/>
      <c r="BY2" s="218"/>
      <c r="BZ2" s="218"/>
      <c r="CA2" s="218"/>
      <c r="CB2" s="218"/>
      <c r="CC2" s="218"/>
      <c r="CD2" s="218"/>
      <c r="CE2" s="218"/>
      <c r="CF2" s="218"/>
      <c r="CG2" s="218"/>
      <c r="CH2" s="218"/>
      <c r="CI2" s="218"/>
      <c r="CJ2" s="218"/>
      <c r="CK2" s="218"/>
      <c r="CL2" s="218"/>
      <c r="CM2" s="218"/>
      <c r="CN2" s="218"/>
      <c r="CO2" s="218"/>
      <c r="CP2" s="218"/>
      <c r="CQ2" s="218"/>
      <c r="CR2" s="218"/>
      <c r="CS2" s="218"/>
      <c r="CT2" s="218"/>
      <c r="CU2" s="218"/>
      <c r="CV2" s="218"/>
      <c r="CW2" s="218"/>
      <c r="CX2" s="218"/>
      <c r="CY2" s="218"/>
      <c r="CZ2" s="218"/>
      <c r="DA2" s="218"/>
      <c r="DB2" s="218"/>
      <c r="DC2" s="218"/>
      <c r="DD2" s="218"/>
      <c r="DE2" s="218"/>
      <c r="DF2" s="218"/>
      <c r="DG2" s="218"/>
      <c r="DH2" s="218"/>
      <c r="DI2" s="218"/>
      <c r="DJ2" s="218"/>
      <c r="DK2" s="218"/>
      <c r="DL2" s="218"/>
      <c r="DM2" s="218"/>
      <c r="DN2" s="218"/>
      <c r="DO2" s="218"/>
      <c r="DP2" s="218"/>
      <c r="DQ2" s="218"/>
      <c r="DR2" s="218"/>
      <c r="DS2" s="218"/>
      <c r="DT2" s="218"/>
      <c r="DU2" s="218"/>
      <c r="DV2" s="218"/>
      <c r="DW2" s="218"/>
      <c r="DX2" s="218"/>
      <c r="DY2" s="218"/>
      <c r="DZ2" s="218"/>
      <c r="EA2" s="218"/>
      <c r="EB2" s="218"/>
      <c r="EC2" s="218"/>
      <c r="ED2" s="218"/>
      <c r="EE2" s="218"/>
      <c r="EF2" s="218"/>
      <c r="EG2" s="218"/>
      <c r="EH2" s="218"/>
      <c r="EI2" s="218"/>
      <c r="EJ2" s="218"/>
      <c r="EK2" s="218"/>
      <c r="EL2" s="218"/>
      <c r="EM2" s="218"/>
      <c r="EN2" s="218"/>
      <c r="EO2" s="218"/>
      <c r="EP2" s="218"/>
      <c r="EQ2" s="218"/>
      <c r="ER2" s="218"/>
      <c r="ES2" s="218"/>
      <c r="ET2" s="218"/>
      <c r="EU2" s="218"/>
      <c r="EV2" s="218"/>
      <c r="EW2" s="218"/>
      <c r="EX2" s="218"/>
      <c r="EY2" s="218"/>
      <c r="EZ2" s="218"/>
      <c r="FA2" s="218"/>
      <c r="FB2" s="218"/>
      <c r="FC2" s="218"/>
      <c r="FD2" s="218"/>
      <c r="FE2" s="218"/>
      <c r="FF2" s="218"/>
      <c r="FG2" s="218"/>
      <c r="FH2" s="218"/>
      <c r="FI2" s="218"/>
      <c r="FJ2" s="218"/>
      <c r="FK2" s="218"/>
      <c r="FL2" s="218"/>
      <c r="FM2" s="218"/>
      <c r="FN2" s="218"/>
      <c r="FO2" s="218"/>
      <c r="FP2" s="218"/>
      <c r="FQ2" s="218"/>
      <c r="FR2" s="218"/>
      <c r="FS2" s="218"/>
      <c r="FT2" s="218"/>
      <c r="FU2" s="218"/>
      <c r="FV2" s="218"/>
      <c r="FW2" s="218"/>
      <c r="FX2" s="218"/>
      <c r="FY2" s="218"/>
      <c r="FZ2" s="218"/>
      <c r="GA2" s="218"/>
      <c r="GB2" s="218"/>
      <c r="GC2" s="218"/>
      <c r="GD2" s="218"/>
      <c r="GE2" s="218"/>
      <c r="GF2" s="218"/>
      <c r="GG2" s="218"/>
      <c r="GH2" s="218"/>
      <c r="GI2" s="218"/>
      <c r="GJ2" s="218"/>
      <c r="GK2" s="218"/>
      <c r="GL2" s="218"/>
      <c r="GM2" s="218"/>
      <c r="GN2" s="218"/>
      <c r="GO2" s="218"/>
      <c r="GP2" s="218"/>
      <c r="GQ2" s="218"/>
      <c r="GR2" s="218"/>
      <c r="GS2" s="218"/>
      <c r="GT2" s="218"/>
      <c r="GU2" s="218"/>
      <c r="GV2" s="218"/>
      <c r="GW2" s="218"/>
      <c r="GX2" s="218"/>
      <c r="GY2" s="218"/>
      <c r="GZ2" s="218"/>
      <c r="HA2" s="218"/>
      <c r="HB2" s="218"/>
      <c r="HC2" s="218"/>
      <c r="HD2" s="218"/>
      <c r="HE2" s="218"/>
      <c r="HF2" s="218"/>
      <c r="HG2" s="218"/>
      <c r="HH2" s="218"/>
      <c r="HI2" s="218"/>
      <c r="HJ2" s="218"/>
      <c r="HK2" s="218"/>
      <c r="HL2" s="218"/>
      <c r="HM2" s="218"/>
      <c r="HN2" s="218"/>
      <c r="HO2" s="218"/>
      <c r="HP2" s="218"/>
      <c r="HQ2" s="218"/>
      <c r="HR2" s="218"/>
      <c r="HS2" s="218"/>
      <c r="HT2" s="218"/>
      <c r="HU2" s="218"/>
      <c r="HV2" s="218"/>
      <c r="HW2" s="218"/>
      <c r="HX2" s="218"/>
      <c r="HY2" s="218"/>
      <c r="HZ2" s="218"/>
      <c r="IA2" s="218"/>
      <c r="IB2" s="218"/>
      <c r="IC2" s="218"/>
      <c r="ID2" s="218"/>
      <c r="IE2" s="218"/>
      <c r="IF2" s="218"/>
      <c r="IG2" s="218"/>
      <c r="IH2" s="218"/>
      <c r="II2" s="218"/>
      <c r="IJ2" s="218"/>
      <c r="IK2" s="218"/>
      <c r="IL2" s="218"/>
      <c r="IM2" s="218"/>
      <c r="IN2" s="218"/>
      <c r="IO2" s="218"/>
      <c r="IP2" s="218"/>
      <c r="IQ2" s="218"/>
    </row>
    <row r="3" spans="1:251" s="146" customFormat="1" ht="18" customHeight="1" x14ac:dyDescent="0.3">
      <c r="A3" s="262"/>
      <c r="B3" s="508" t="s">
        <v>1086</v>
      </c>
      <c r="C3" s="508"/>
      <c r="D3" s="508"/>
      <c r="E3" s="217"/>
      <c r="F3" s="217"/>
      <c r="G3" s="217"/>
      <c r="H3" s="216"/>
      <c r="I3" s="509"/>
      <c r="J3" s="509"/>
      <c r="K3" s="509"/>
      <c r="L3" s="509"/>
      <c r="M3" s="509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8"/>
      <c r="AW3" s="218"/>
      <c r="AX3" s="218"/>
      <c r="AY3" s="218"/>
      <c r="AZ3" s="218"/>
      <c r="BA3" s="218"/>
      <c r="BB3" s="218"/>
      <c r="BC3" s="218"/>
      <c r="BD3" s="218"/>
      <c r="BE3" s="218"/>
      <c r="BF3" s="218"/>
      <c r="BG3" s="218"/>
      <c r="BH3" s="218"/>
      <c r="BI3" s="218"/>
      <c r="BJ3" s="218"/>
      <c r="BK3" s="218"/>
      <c r="BL3" s="218"/>
      <c r="BM3" s="218"/>
      <c r="BN3" s="218"/>
      <c r="BO3" s="218"/>
      <c r="BP3" s="218"/>
      <c r="BQ3" s="218"/>
      <c r="BR3" s="218"/>
      <c r="BS3" s="218"/>
      <c r="BT3" s="218"/>
      <c r="BU3" s="218"/>
      <c r="BV3" s="218"/>
      <c r="BW3" s="218"/>
      <c r="BX3" s="218"/>
      <c r="BY3" s="218"/>
      <c r="BZ3" s="218"/>
      <c r="CA3" s="218"/>
      <c r="CB3" s="218"/>
      <c r="CC3" s="218"/>
      <c r="CD3" s="218"/>
      <c r="CE3" s="218"/>
      <c r="CF3" s="218"/>
      <c r="CG3" s="218"/>
      <c r="CH3" s="218"/>
      <c r="CI3" s="218"/>
      <c r="CJ3" s="218"/>
      <c r="CK3" s="218"/>
      <c r="CL3" s="218"/>
      <c r="CM3" s="218"/>
      <c r="CN3" s="218"/>
      <c r="CO3" s="218"/>
      <c r="CP3" s="218"/>
      <c r="CQ3" s="218"/>
      <c r="CR3" s="218"/>
      <c r="CS3" s="218"/>
      <c r="CT3" s="218"/>
      <c r="CU3" s="218"/>
      <c r="CV3" s="218"/>
      <c r="CW3" s="218"/>
      <c r="CX3" s="218"/>
      <c r="CY3" s="218"/>
      <c r="CZ3" s="218"/>
      <c r="DA3" s="218"/>
      <c r="DB3" s="218"/>
      <c r="DC3" s="218"/>
      <c r="DD3" s="218"/>
      <c r="DE3" s="218"/>
      <c r="DF3" s="218"/>
      <c r="DG3" s="218"/>
      <c r="DH3" s="218"/>
      <c r="DI3" s="218"/>
      <c r="DJ3" s="218"/>
      <c r="DK3" s="218"/>
      <c r="DL3" s="218"/>
      <c r="DM3" s="218"/>
      <c r="DN3" s="218"/>
      <c r="DO3" s="218"/>
      <c r="DP3" s="218"/>
      <c r="DQ3" s="218"/>
      <c r="DR3" s="218"/>
      <c r="DS3" s="218"/>
      <c r="DT3" s="218"/>
      <c r="DU3" s="218"/>
      <c r="DV3" s="218"/>
      <c r="DW3" s="218"/>
      <c r="DX3" s="218"/>
      <c r="DY3" s="218"/>
      <c r="DZ3" s="218"/>
      <c r="EA3" s="218"/>
      <c r="EB3" s="218"/>
      <c r="EC3" s="218"/>
      <c r="ED3" s="218"/>
      <c r="EE3" s="218"/>
      <c r="EF3" s="218"/>
      <c r="EG3" s="218"/>
      <c r="EH3" s="218"/>
      <c r="EI3" s="218"/>
      <c r="EJ3" s="218"/>
      <c r="EK3" s="218"/>
      <c r="EL3" s="218"/>
      <c r="EM3" s="218"/>
      <c r="EN3" s="218"/>
      <c r="EO3" s="218"/>
      <c r="EP3" s="218"/>
      <c r="EQ3" s="218"/>
      <c r="ER3" s="218"/>
      <c r="ES3" s="218"/>
      <c r="ET3" s="218"/>
      <c r="EU3" s="218"/>
      <c r="EV3" s="218"/>
      <c r="EW3" s="218"/>
      <c r="EX3" s="218"/>
      <c r="EY3" s="218"/>
      <c r="EZ3" s="218"/>
      <c r="FA3" s="218"/>
      <c r="FB3" s="218"/>
      <c r="FC3" s="218"/>
      <c r="FD3" s="218"/>
      <c r="FE3" s="218"/>
      <c r="FF3" s="218"/>
      <c r="FG3" s="218"/>
      <c r="FH3" s="218"/>
      <c r="FI3" s="218"/>
      <c r="FJ3" s="218"/>
      <c r="FK3" s="218"/>
      <c r="FL3" s="218"/>
      <c r="FM3" s="218"/>
      <c r="FN3" s="218"/>
      <c r="FO3" s="218"/>
      <c r="FP3" s="218"/>
      <c r="FQ3" s="218"/>
      <c r="FR3" s="218"/>
      <c r="FS3" s="218"/>
      <c r="FT3" s="218"/>
      <c r="FU3" s="218"/>
      <c r="FV3" s="218"/>
      <c r="FW3" s="218"/>
      <c r="FX3" s="218"/>
      <c r="FY3" s="218"/>
      <c r="FZ3" s="218"/>
      <c r="GA3" s="218"/>
      <c r="GB3" s="218"/>
      <c r="GC3" s="218"/>
      <c r="GD3" s="218"/>
      <c r="GE3" s="218"/>
      <c r="GF3" s="218"/>
      <c r="GG3" s="218"/>
      <c r="GH3" s="218"/>
      <c r="GI3" s="218"/>
      <c r="GJ3" s="218"/>
      <c r="GK3" s="218"/>
      <c r="GL3" s="218"/>
      <c r="GM3" s="218"/>
      <c r="GN3" s="218"/>
      <c r="GO3" s="218"/>
      <c r="GP3" s="218"/>
      <c r="GQ3" s="218"/>
      <c r="GR3" s="218"/>
      <c r="GS3" s="218"/>
      <c r="GT3" s="218"/>
      <c r="GU3" s="218"/>
      <c r="GV3" s="218"/>
      <c r="GW3" s="218"/>
      <c r="GX3" s="218"/>
      <c r="GY3" s="218"/>
      <c r="GZ3" s="218"/>
      <c r="HA3" s="218"/>
      <c r="HB3" s="218"/>
      <c r="HC3" s="218"/>
      <c r="HD3" s="218"/>
      <c r="HE3" s="218"/>
      <c r="HF3" s="218"/>
      <c r="HG3" s="218"/>
      <c r="HH3" s="218"/>
      <c r="HI3" s="218"/>
      <c r="HJ3" s="218"/>
      <c r="HK3" s="218"/>
      <c r="HL3" s="218"/>
      <c r="HM3" s="218"/>
      <c r="HN3" s="218"/>
      <c r="HO3" s="218"/>
      <c r="HP3" s="218"/>
      <c r="HQ3" s="218"/>
      <c r="HR3" s="218"/>
      <c r="HS3" s="218"/>
      <c r="HT3" s="218"/>
      <c r="HU3" s="218"/>
      <c r="HV3" s="218"/>
      <c r="HW3" s="218"/>
      <c r="HX3" s="218"/>
      <c r="HY3" s="218"/>
      <c r="HZ3" s="218"/>
      <c r="IA3" s="218"/>
      <c r="IB3" s="218"/>
      <c r="IC3" s="218"/>
      <c r="ID3" s="218"/>
      <c r="IE3" s="218"/>
      <c r="IF3" s="218"/>
      <c r="IG3" s="218"/>
      <c r="IH3" s="218"/>
      <c r="II3" s="218"/>
      <c r="IJ3" s="218"/>
      <c r="IK3" s="218"/>
      <c r="IL3" s="218"/>
      <c r="IM3" s="218"/>
      <c r="IN3" s="218"/>
      <c r="IO3" s="218"/>
      <c r="IP3" s="218"/>
      <c r="IQ3" s="218"/>
    </row>
    <row r="4" spans="1:251" s="146" customFormat="1" ht="18" customHeight="1" x14ac:dyDescent="0.3">
      <c r="A4" s="262"/>
      <c r="B4" s="1905" t="s">
        <v>1237</v>
      </c>
      <c r="C4" s="1899"/>
      <c r="D4" s="1899"/>
      <c r="E4" s="217"/>
      <c r="F4" s="217"/>
      <c r="G4" s="217"/>
      <c r="H4" s="216"/>
      <c r="I4" s="1900"/>
      <c r="J4" s="1900"/>
      <c r="K4" s="1900"/>
      <c r="L4" s="1900"/>
      <c r="M4" s="1900"/>
      <c r="N4" s="218"/>
      <c r="O4" s="218"/>
      <c r="P4" s="218"/>
      <c r="Q4" s="218"/>
      <c r="R4" s="218"/>
      <c r="S4" s="218"/>
      <c r="T4" s="218"/>
      <c r="U4" s="218"/>
      <c r="V4" s="218"/>
      <c r="W4" s="218"/>
      <c r="X4" s="218"/>
      <c r="Y4" s="218"/>
      <c r="Z4" s="218"/>
      <c r="AA4" s="218"/>
      <c r="AB4" s="218"/>
      <c r="AC4" s="218"/>
      <c r="AD4" s="218"/>
      <c r="AE4" s="218"/>
      <c r="AF4" s="218"/>
      <c r="AG4" s="218"/>
      <c r="AH4" s="218"/>
      <c r="AI4" s="218"/>
      <c r="AJ4" s="218"/>
      <c r="AK4" s="218"/>
      <c r="AL4" s="218"/>
      <c r="AM4" s="218"/>
      <c r="AN4" s="218"/>
      <c r="AO4" s="218"/>
      <c r="AP4" s="218"/>
      <c r="AQ4" s="218"/>
      <c r="AR4" s="218"/>
      <c r="AS4" s="218"/>
      <c r="AT4" s="218"/>
      <c r="AU4" s="218"/>
      <c r="AV4" s="218"/>
      <c r="AW4" s="218"/>
      <c r="AX4" s="218"/>
      <c r="AY4" s="218"/>
      <c r="AZ4" s="218"/>
      <c r="BA4" s="218"/>
      <c r="BB4" s="218"/>
      <c r="BC4" s="218"/>
      <c r="BD4" s="218"/>
      <c r="BE4" s="218"/>
      <c r="BF4" s="218"/>
      <c r="BG4" s="218"/>
      <c r="BH4" s="218"/>
      <c r="BI4" s="218"/>
      <c r="BJ4" s="218"/>
      <c r="BK4" s="218"/>
      <c r="BL4" s="218"/>
      <c r="BM4" s="218"/>
      <c r="BN4" s="218"/>
      <c r="BO4" s="218"/>
      <c r="BP4" s="218"/>
      <c r="BQ4" s="218"/>
      <c r="BR4" s="218"/>
      <c r="BS4" s="218"/>
      <c r="BT4" s="218"/>
      <c r="BU4" s="218"/>
      <c r="BV4" s="218"/>
      <c r="BW4" s="218"/>
      <c r="BX4" s="218"/>
      <c r="BY4" s="218"/>
      <c r="BZ4" s="218"/>
      <c r="CA4" s="218"/>
      <c r="CB4" s="218"/>
      <c r="CC4" s="218"/>
      <c r="CD4" s="218"/>
      <c r="CE4" s="218"/>
      <c r="CF4" s="218"/>
      <c r="CG4" s="218"/>
      <c r="CH4" s="218"/>
      <c r="CI4" s="218"/>
      <c r="CJ4" s="218"/>
      <c r="CK4" s="218"/>
      <c r="CL4" s="218"/>
      <c r="CM4" s="218"/>
      <c r="CN4" s="218"/>
      <c r="CO4" s="218"/>
      <c r="CP4" s="218"/>
      <c r="CQ4" s="218"/>
      <c r="CR4" s="218"/>
      <c r="CS4" s="218"/>
      <c r="CT4" s="218"/>
      <c r="CU4" s="218"/>
      <c r="CV4" s="218"/>
      <c r="CW4" s="218"/>
      <c r="CX4" s="218"/>
      <c r="CY4" s="218"/>
      <c r="CZ4" s="218"/>
      <c r="DA4" s="218"/>
      <c r="DB4" s="218"/>
      <c r="DC4" s="218"/>
      <c r="DD4" s="218"/>
      <c r="DE4" s="218"/>
      <c r="DF4" s="218"/>
      <c r="DG4" s="218"/>
      <c r="DH4" s="218"/>
      <c r="DI4" s="218"/>
      <c r="DJ4" s="218"/>
      <c r="DK4" s="218"/>
      <c r="DL4" s="218"/>
      <c r="DM4" s="218"/>
      <c r="DN4" s="218"/>
      <c r="DO4" s="218"/>
      <c r="DP4" s="218"/>
      <c r="DQ4" s="218"/>
      <c r="DR4" s="218"/>
      <c r="DS4" s="218"/>
      <c r="DT4" s="218"/>
      <c r="DU4" s="218"/>
      <c r="DV4" s="218"/>
      <c r="DW4" s="218"/>
      <c r="DX4" s="218"/>
      <c r="DY4" s="218"/>
      <c r="DZ4" s="218"/>
      <c r="EA4" s="218"/>
      <c r="EB4" s="218"/>
      <c r="EC4" s="218"/>
      <c r="ED4" s="218"/>
      <c r="EE4" s="218"/>
      <c r="EF4" s="218"/>
      <c r="EG4" s="218"/>
      <c r="EH4" s="218"/>
      <c r="EI4" s="218"/>
      <c r="EJ4" s="218"/>
      <c r="EK4" s="218"/>
      <c r="EL4" s="218"/>
      <c r="EM4" s="218"/>
      <c r="EN4" s="218"/>
      <c r="EO4" s="218"/>
      <c r="EP4" s="218"/>
      <c r="EQ4" s="218"/>
      <c r="ER4" s="218"/>
      <c r="ES4" s="218"/>
      <c r="ET4" s="218"/>
      <c r="EU4" s="218"/>
      <c r="EV4" s="218"/>
      <c r="EW4" s="218"/>
      <c r="EX4" s="218"/>
      <c r="EY4" s="218"/>
      <c r="EZ4" s="218"/>
      <c r="FA4" s="218"/>
      <c r="FB4" s="218"/>
      <c r="FC4" s="218"/>
      <c r="FD4" s="218"/>
      <c r="FE4" s="218"/>
      <c r="FF4" s="218"/>
      <c r="FG4" s="218"/>
      <c r="FH4" s="218"/>
      <c r="FI4" s="218"/>
      <c r="FJ4" s="218"/>
      <c r="FK4" s="218"/>
      <c r="FL4" s="218"/>
      <c r="FM4" s="218"/>
      <c r="FN4" s="218"/>
      <c r="FO4" s="218"/>
      <c r="FP4" s="218"/>
      <c r="FQ4" s="218"/>
      <c r="FR4" s="218"/>
      <c r="FS4" s="218"/>
      <c r="FT4" s="218"/>
      <c r="FU4" s="218"/>
      <c r="FV4" s="218"/>
      <c r="FW4" s="218"/>
      <c r="FX4" s="218"/>
      <c r="FY4" s="218"/>
      <c r="FZ4" s="218"/>
      <c r="GA4" s="218"/>
      <c r="GB4" s="218"/>
      <c r="GC4" s="218"/>
      <c r="GD4" s="218"/>
      <c r="GE4" s="218"/>
      <c r="GF4" s="218"/>
      <c r="GG4" s="218"/>
      <c r="GH4" s="218"/>
      <c r="GI4" s="218"/>
      <c r="GJ4" s="218"/>
      <c r="GK4" s="218"/>
      <c r="GL4" s="218"/>
      <c r="GM4" s="218"/>
      <c r="GN4" s="218"/>
      <c r="GO4" s="218"/>
      <c r="GP4" s="218"/>
      <c r="GQ4" s="218"/>
      <c r="GR4" s="218"/>
      <c r="GS4" s="218"/>
      <c r="GT4" s="218"/>
      <c r="GU4" s="218"/>
      <c r="GV4" s="218"/>
      <c r="GW4" s="218"/>
      <c r="GX4" s="218"/>
      <c r="GY4" s="218"/>
      <c r="GZ4" s="218"/>
      <c r="HA4" s="218"/>
      <c r="HB4" s="218"/>
      <c r="HC4" s="218"/>
      <c r="HD4" s="218"/>
      <c r="HE4" s="218"/>
      <c r="HF4" s="218"/>
      <c r="HG4" s="218"/>
      <c r="HH4" s="218"/>
      <c r="HI4" s="218"/>
      <c r="HJ4" s="218"/>
      <c r="HK4" s="218"/>
      <c r="HL4" s="218"/>
      <c r="HM4" s="218"/>
      <c r="HN4" s="218"/>
      <c r="HO4" s="218"/>
      <c r="HP4" s="218"/>
      <c r="HQ4" s="218"/>
      <c r="HR4" s="218"/>
      <c r="HS4" s="218"/>
      <c r="HT4" s="218"/>
      <c r="HU4" s="218"/>
      <c r="HV4" s="218"/>
      <c r="HW4" s="218"/>
      <c r="HX4" s="218"/>
      <c r="HY4" s="218"/>
      <c r="HZ4" s="218"/>
      <c r="IA4" s="218"/>
      <c r="IB4" s="218"/>
      <c r="IC4" s="218"/>
      <c r="ID4" s="218"/>
      <c r="IE4" s="218"/>
      <c r="IF4" s="218"/>
      <c r="IG4" s="218"/>
      <c r="IH4" s="218"/>
      <c r="II4" s="218"/>
      <c r="IJ4" s="218"/>
      <c r="IK4" s="218"/>
      <c r="IL4" s="218"/>
      <c r="IM4" s="218"/>
      <c r="IN4" s="218"/>
      <c r="IO4" s="218"/>
      <c r="IP4" s="218"/>
      <c r="IQ4" s="218"/>
    </row>
    <row r="5" spans="1:251" s="146" customFormat="1" ht="18" customHeight="1" x14ac:dyDescent="0.35">
      <c r="A5" s="263"/>
      <c r="B5" s="2123" t="s">
        <v>14</v>
      </c>
      <c r="C5" s="2123"/>
      <c r="D5" s="2123"/>
      <c r="E5" s="2123"/>
      <c r="F5" s="2123"/>
      <c r="G5" s="2123"/>
      <c r="H5" s="2123"/>
      <c r="I5" s="2123"/>
      <c r="J5" s="2123"/>
      <c r="K5" s="2123"/>
      <c r="L5" s="2123"/>
      <c r="M5" s="2123"/>
    </row>
    <row r="6" spans="1:251" s="146" customFormat="1" ht="18" customHeight="1" x14ac:dyDescent="0.3">
      <c r="A6" s="263"/>
      <c r="B6" s="2124" t="s">
        <v>674</v>
      </c>
      <c r="C6" s="2124"/>
      <c r="D6" s="2124"/>
      <c r="E6" s="2124"/>
      <c r="F6" s="2124"/>
      <c r="G6" s="2124"/>
      <c r="H6" s="2124"/>
      <c r="I6" s="2124"/>
      <c r="J6" s="2124"/>
      <c r="K6" s="2124"/>
      <c r="L6" s="2124"/>
      <c r="M6" s="2124"/>
    </row>
    <row r="7" spans="1:251" ht="18" customHeight="1" x14ac:dyDescent="0.3">
      <c r="M7" s="260" t="s">
        <v>0</v>
      </c>
    </row>
    <row r="8" spans="1:251" s="68" customFormat="1" ht="18" customHeight="1" thickBot="1" x14ac:dyDescent="0.25">
      <c r="A8" s="263"/>
      <c r="B8" s="1398" t="s">
        <v>1</v>
      </c>
      <c r="C8" s="1399" t="s">
        <v>3</v>
      </c>
      <c r="D8" s="1399" t="s">
        <v>2</v>
      </c>
      <c r="E8" s="1399" t="s">
        <v>4</v>
      </c>
      <c r="F8" s="1399" t="s">
        <v>5</v>
      </c>
      <c r="G8" s="1399" t="s">
        <v>15</v>
      </c>
      <c r="H8" s="1399" t="s">
        <v>16</v>
      </c>
      <c r="I8" s="1399" t="s">
        <v>17</v>
      </c>
      <c r="J8" s="1399" t="s">
        <v>36</v>
      </c>
      <c r="K8" s="1399" t="s">
        <v>30</v>
      </c>
      <c r="L8" s="1399" t="s">
        <v>23</v>
      </c>
      <c r="M8" s="1399" t="s">
        <v>37</v>
      </c>
      <c r="N8" s="263"/>
      <c r="O8" s="263"/>
      <c r="P8" s="263"/>
      <c r="Q8" s="263"/>
      <c r="R8" s="263"/>
      <c r="S8" s="263"/>
      <c r="T8" s="263"/>
      <c r="U8" s="263"/>
      <c r="V8" s="263"/>
      <c r="W8" s="263"/>
      <c r="X8" s="263"/>
      <c r="Y8" s="263"/>
      <c r="Z8" s="263"/>
      <c r="AA8" s="263"/>
      <c r="AB8" s="263"/>
      <c r="AC8" s="263"/>
      <c r="AD8" s="263"/>
      <c r="AE8" s="263"/>
      <c r="AF8" s="263"/>
      <c r="AG8" s="263"/>
      <c r="AH8" s="263"/>
      <c r="AI8" s="263"/>
      <c r="AJ8" s="263"/>
      <c r="AK8" s="263"/>
      <c r="AL8" s="263"/>
      <c r="AM8" s="263"/>
      <c r="AN8" s="263"/>
      <c r="AO8" s="263"/>
      <c r="AP8" s="263"/>
      <c r="AQ8" s="263"/>
      <c r="AR8" s="263"/>
      <c r="AS8" s="263"/>
      <c r="AT8" s="263"/>
      <c r="AU8" s="263"/>
      <c r="AV8" s="263"/>
      <c r="AW8" s="263"/>
      <c r="AX8" s="263"/>
      <c r="AY8" s="263"/>
      <c r="AZ8" s="263"/>
      <c r="BA8" s="263"/>
      <c r="BB8" s="263"/>
      <c r="BC8" s="263"/>
      <c r="BD8" s="263"/>
      <c r="BE8" s="263"/>
      <c r="BF8" s="263"/>
      <c r="BG8" s="263"/>
      <c r="BH8" s="263"/>
      <c r="BI8" s="263"/>
      <c r="BJ8" s="263"/>
      <c r="BK8" s="263"/>
      <c r="BL8" s="263"/>
      <c r="BM8" s="263"/>
      <c r="BN8" s="263"/>
      <c r="BO8" s="263"/>
      <c r="BP8" s="263"/>
      <c r="BQ8" s="263"/>
      <c r="BR8" s="263"/>
      <c r="BS8" s="263"/>
      <c r="BT8" s="263"/>
      <c r="BU8" s="263"/>
      <c r="BV8" s="263"/>
      <c r="BW8" s="263"/>
      <c r="BX8" s="263"/>
      <c r="BY8" s="263"/>
      <c r="BZ8" s="263"/>
      <c r="CA8" s="263"/>
      <c r="CB8" s="263"/>
      <c r="CC8" s="263"/>
      <c r="CD8" s="263"/>
      <c r="CE8" s="263"/>
      <c r="CF8" s="263"/>
      <c r="CG8" s="263"/>
      <c r="CH8" s="263"/>
      <c r="CI8" s="263"/>
      <c r="CJ8" s="263"/>
      <c r="CK8" s="263"/>
      <c r="CL8" s="263"/>
      <c r="CM8" s="263"/>
      <c r="CN8" s="263"/>
      <c r="CO8" s="263"/>
      <c r="CP8" s="263"/>
      <c r="CQ8" s="263"/>
      <c r="CR8" s="263"/>
      <c r="CS8" s="263"/>
      <c r="CT8" s="263"/>
      <c r="CU8" s="263"/>
      <c r="CV8" s="263"/>
      <c r="CW8" s="263"/>
      <c r="CX8" s="263"/>
      <c r="CY8" s="263"/>
      <c r="CZ8" s="263"/>
      <c r="DA8" s="263"/>
      <c r="DB8" s="263"/>
      <c r="DC8" s="263"/>
      <c r="DD8" s="263"/>
      <c r="DE8" s="263"/>
      <c r="DF8" s="263"/>
      <c r="DG8" s="263"/>
      <c r="DH8" s="263"/>
      <c r="DI8" s="263"/>
      <c r="DJ8" s="263"/>
      <c r="DK8" s="263"/>
      <c r="DL8" s="263"/>
      <c r="DM8" s="263"/>
      <c r="DN8" s="263"/>
      <c r="DO8" s="263"/>
      <c r="DP8" s="263"/>
      <c r="DQ8" s="263"/>
      <c r="DR8" s="263"/>
      <c r="DS8" s="263"/>
      <c r="DT8" s="263"/>
      <c r="DU8" s="263"/>
      <c r="DV8" s="263"/>
      <c r="DW8" s="263"/>
      <c r="DX8" s="263"/>
      <c r="DY8" s="263"/>
      <c r="DZ8" s="263"/>
      <c r="EA8" s="263"/>
      <c r="EB8" s="263"/>
      <c r="EC8" s="263"/>
      <c r="ED8" s="263"/>
      <c r="EE8" s="263"/>
      <c r="EF8" s="263"/>
      <c r="EG8" s="263"/>
      <c r="EH8" s="263"/>
      <c r="EI8" s="263"/>
      <c r="EJ8" s="263"/>
      <c r="EK8" s="263"/>
      <c r="EL8" s="263"/>
      <c r="EM8" s="263"/>
      <c r="EN8" s="263"/>
      <c r="EO8" s="263"/>
      <c r="EP8" s="263"/>
      <c r="EQ8" s="263"/>
      <c r="ER8" s="263"/>
      <c r="ES8" s="263"/>
      <c r="ET8" s="263"/>
      <c r="EU8" s="263"/>
      <c r="EV8" s="263"/>
      <c r="EW8" s="263"/>
      <c r="EX8" s="263"/>
      <c r="EY8" s="263"/>
      <c r="EZ8" s="263"/>
      <c r="FA8" s="263"/>
      <c r="FB8" s="263"/>
      <c r="FC8" s="263"/>
      <c r="FD8" s="263"/>
      <c r="FE8" s="263"/>
      <c r="FF8" s="263"/>
      <c r="FG8" s="263"/>
      <c r="FH8" s="263"/>
      <c r="FI8" s="263"/>
      <c r="FJ8" s="263"/>
      <c r="FK8" s="263"/>
      <c r="FL8" s="263"/>
      <c r="FM8" s="263"/>
      <c r="FN8" s="263"/>
      <c r="FO8" s="263"/>
      <c r="FP8" s="263"/>
      <c r="FQ8" s="263"/>
      <c r="FR8" s="263"/>
      <c r="FS8" s="263"/>
      <c r="FT8" s="263"/>
      <c r="FU8" s="263"/>
      <c r="FV8" s="263"/>
      <c r="FW8" s="263"/>
      <c r="FX8" s="263"/>
      <c r="FY8" s="263"/>
      <c r="FZ8" s="263"/>
      <c r="GA8" s="263"/>
      <c r="GB8" s="263"/>
      <c r="GC8" s="263"/>
      <c r="GD8" s="263"/>
      <c r="GE8" s="263"/>
      <c r="GF8" s="263"/>
      <c r="GG8" s="263"/>
      <c r="GH8" s="263"/>
      <c r="GI8" s="263"/>
      <c r="GJ8" s="263"/>
      <c r="GK8" s="263"/>
      <c r="GL8" s="263"/>
      <c r="GM8" s="263"/>
      <c r="GN8" s="263"/>
      <c r="GO8" s="263"/>
      <c r="GP8" s="263"/>
      <c r="GQ8" s="263"/>
      <c r="GR8" s="263"/>
      <c r="GS8" s="263"/>
      <c r="GT8" s="263"/>
      <c r="GU8" s="263"/>
      <c r="GV8" s="263"/>
      <c r="GW8" s="263"/>
      <c r="GX8" s="263"/>
      <c r="GY8" s="263"/>
      <c r="GZ8" s="263"/>
      <c r="HA8" s="263"/>
      <c r="HB8" s="263"/>
      <c r="HC8" s="263"/>
      <c r="HD8" s="263"/>
      <c r="HE8" s="263"/>
      <c r="HF8" s="263"/>
      <c r="HG8" s="263"/>
      <c r="HH8" s="263"/>
      <c r="HI8" s="263"/>
      <c r="HJ8" s="263"/>
      <c r="HK8" s="263"/>
      <c r="HL8" s="263"/>
      <c r="HM8" s="263"/>
      <c r="HN8" s="263"/>
      <c r="HO8" s="263"/>
      <c r="HP8" s="263"/>
      <c r="HQ8" s="263"/>
      <c r="HR8" s="263"/>
      <c r="HS8" s="263"/>
      <c r="HT8" s="263"/>
      <c r="HU8" s="263"/>
      <c r="HV8" s="263"/>
      <c r="HW8" s="263"/>
      <c r="HX8" s="263"/>
      <c r="HY8" s="263"/>
      <c r="HZ8" s="263"/>
      <c r="IA8" s="263"/>
      <c r="IB8" s="263"/>
      <c r="IC8" s="263"/>
      <c r="ID8" s="263"/>
      <c r="IE8" s="263"/>
      <c r="IF8" s="263"/>
      <c r="IG8" s="263"/>
      <c r="IH8" s="263"/>
      <c r="II8" s="263"/>
      <c r="IJ8" s="263"/>
      <c r="IK8" s="263"/>
      <c r="IL8" s="263"/>
      <c r="IM8" s="263"/>
      <c r="IN8" s="263"/>
      <c r="IO8" s="263"/>
      <c r="IP8" s="263"/>
      <c r="IQ8" s="263"/>
    </row>
    <row r="9" spans="1:251" ht="30" customHeight="1" x14ac:dyDescent="0.3">
      <c r="B9" s="2131" t="s">
        <v>18</v>
      </c>
      <c r="C9" s="2134" t="s">
        <v>19</v>
      </c>
      <c r="D9" s="2137" t="s">
        <v>6</v>
      </c>
      <c r="E9" s="2118" t="s">
        <v>21</v>
      </c>
      <c r="F9" s="2118" t="s">
        <v>647</v>
      </c>
      <c r="G9" s="2115" t="s">
        <v>1003</v>
      </c>
      <c r="H9" s="2143" t="s">
        <v>302</v>
      </c>
      <c r="I9" s="2125" t="s">
        <v>637</v>
      </c>
      <c r="J9" s="2126"/>
      <c r="K9" s="2126"/>
      <c r="L9" s="2127"/>
      <c r="M9" s="2128" t="s">
        <v>648</v>
      </c>
    </row>
    <row r="10" spans="1:251" ht="45.75" customHeight="1" x14ac:dyDescent="0.3">
      <c r="B10" s="2132"/>
      <c r="C10" s="2135"/>
      <c r="D10" s="2138"/>
      <c r="E10" s="2119"/>
      <c r="F10" s="2119"/>
      <c r="G10" s="2116"/>
      <c r="H10" s="2144"/>
      <c r="I10" s="259" t="s">
        <v>39</v>
      </c>
      <c r="J10" s="2140" t="s">
        <v>163</v>
      </c>
      <c r="K10" s="2140"/>
      <c r="L10" s="2141" t="s">
        <v>129</v>
      </c>
      <c r="M10" s="2129"/>
    </row>
    <row r="11" spans="1:251" ht="53.25" customHeight="1" thickBot="1" x14ac:dyDescent="0.35">
      <c r="B11" s="2133"/>
      <c r="C11" s="2136"/>
      <c r="D11" s="2139"/>
      <c r="E11" s="2120"/>
      <c r="F11" s="2120"/>
      <c r="G11" s="2117"/>
      <c r="H11" s="2145"/>
      <c r="I11" s="1400" t="s">
        <v>42</v>
      </c>
      <c r="J11" s="1401" t="s">
        <v>231</v>
      </c>
      <c r="K11" s="1401" t="s">
        <v>164</v>
      </c>
      <c r="L11" s="2142"/>
      <c r="M11" s="2130"/>
    </row>
    <row r="12" spans="1:251" x14ac:dyDescent="0.3">
      <c r="A12" s="1402">
        <v>1</v>
      </c>
      <c r="B12" s="1403">
        <v>18</v>
      </c>
      <c r="C12" s="1153" t="s">
        <v>31</v>
      </c>
      <c r="D12" s="265"/>
      <c r="E12" s="1404"/>
      <c r="F12" s="1405"/>
      <c r="G12" s="1406"/>
      <c r="H12" s="1407"/>
      <c r="I12" s="1408"/>
      <c r="J12" s="1409"/>
      <c r="K12" s="1409"/>
      <c r="L12" s="1410"/>
      <c r="M12" s="1411"/>
    </row>
    <row r="13" spans="1:251" ht="33" x14ac:dyDescent="0.3">
      <c r="A13" s="1402">
        <v>2</v>
      </c>
      <c r="B13" s="1412"/>
      <c r="C13" s="1413">
        <v>1</v>
      </c>
      <c r="D13" s="1414" t="s">
        <v>1211</v>
      </c>
      <c r="E13" s="1415">
        <f>F13+G13+L17+M14</f>
        <v>11906</v>
      </c>
      <c r="F13" s="1416"/>
      <c r="G13" s="1417">
        <v>5652</v>
      </c>
      <c r="H13" s="1418" t="s">
        <v>24</v>
      </c>
      <c r="I13" s="1419"/>
      <c r="J13" s="1420"/>
      <c r="K13" s="1420"/>
      <c r="L13" s="1421"/>
      <c r="M13" s="1422"/>
    </row>
    <row r="14" spans="1:251" s="1435" customFormat="1" x14ac:dyDescent="0.3">
      <c r="A14" s="1423">
        <v>3</v>
      </c>
      <c r="B14" s="1424"/>
      <c r="C14" s="1425"/>
      <c r="D14" s="1426" t="s">
        <v>311</v>
      </c>
      <c r="E14" s="1427"/>
      <c r="F14" s="1428"/>
      <c r="G14" s="1429"/>
      <c r="H14" s="1430"/>
      <c r="I14" s="1431"/>
      <c r="J14" s="1432">
        <v>4554</v>
      </c>
      <c r="K14" s="1432"/>
      <c r="L14" s="1433">
        <f t="shared" ref="L14:L247" si="0">SUM(I14:K14)</f>
        <v>4554</v>
      </c>
      <c r="M14" s="1434"/>
    </row>
    <row r="15" spans="1:251" s="1435" customFormat="1" x14ac:dyDescent="0.3">
      <c r="A15" s="1402">
        <v>4</v>
      </c>
      <c r="B15" s="1424"/>
      <c r="C15" s="1425"/>
      <c r="D15" s="1436" t="s">
        <v>1064</v>
      </c>
      <c r="E15" s="1427"/>
      <c r="F15" s="1428"/>
      <c r="G15" s="1429"/>
      <c r="H15" s="1430"/>
      <c r="I15" s="1431"/>
      <c r="J15" s="1437">
        <v>4554</v>
      </c>
      <c r="K15" s="1437"/>
      <c r="L15" s="1438">
        <f t="shared" si="0"/>
        <v>4554</v>
      </c>
      <c r="M15" s="1434"/>
    </row>
    <row r="16" spans="1:251" s="1450" customFormat="1" x14ac:dyDescent="0.3">
      <c r="A16" s="1402">
        <v>5</v>
      </c>
      <c r="B16" s="1439"/>
      <c r="C16" s="1440"/>
      <c r="D16" s="1441" t="s">
        <v>990</v>
      </c>
      <c r="E16" s="1442"/>
      <c r="F16" s="1443"/>
      <c r="G16" s="1444"/>
      <c r="H16" s="1445"/>
      <c r="I16" s="1446"/>
      <c r="J16" s="1447">
        <v>1700</v>
      </c>
      <c r="K16" s="1447"/>
      <c r="L16" s="1448">
        <f t="shared" si="0"/>
        <v>1700</v>
      </c>
      <c r="M16" s="1449"/>
    </row>
    <row r="17" spans="1:13" s="1459" customFormat="1" x14ac:dyDescent="0.3">
      <c r="A17" s="1423">
        <v>6</v>
      </c>
      <c r="B17" s="1451"/>
      <c r="C17" s="1452"/>
      <c r="D17" s="1436" t="s">
        <v>1116</v>
      </c>
      <c r="E17" s="1453"/>
      <c r="F17" s="1454"/>
      <c r="G17" s="1455"/>
      <c r="H17" s="1456"/>
      <c r="I17" s="1457"/>
      <c r="J17" s="1457">
        <f>SUM(J15:J16)</f>
        <v>6254</v>
      </c>
      <c r="K17" s="1457">
        <f t="shared" ref="K17" si="1">SUM(K14:K16)</f>
        <v>0</v>
      </c>
      <c r="L17" s="1438">
        <f t="shared" si="0"/>
        <v>6254</v>
      </c>
      <c r="M17" s="1458"/>
    </row>
    <row r="18" spans="1:13" ht="16.5" x14ac:dyDescent="0.3">
      <c r="A18" s="1402">
        <v>7</v>
      </c>
      <c r="B18" s="1412"/>
      <c r="C18" s="1460">
        <v>2</v>
      </c>
      <c r="D18" s="150" t="s">
        <v>760</v>
      </c>
      <c r="E18" s="1415">
        <f>F18+G18+L22+M19</f>
        <v>218705</v>
      </c>
      <c r="F18" s="1416">
        <f>83462</f>
        <v>83462</v>
      </c>
      <c r="G18" s="1417">
        <f>134105</f>
        <v>134105</v>
      </c>
      <c r="H18" s="1418" t="s">
        <v>24</v>
      </c>
      <c r="I18" s="1419"/>
      <c r="J18" s="1420"/>
      <c r="K18" s="1420"/>
      <c r="L18" s="1421"/>
      <c r="M18" s="1422"/>
    </row>
    <row r="19" spans="1:13" s="1435" customFormat="1" x14ac:dyDescent="0.3">
      <c r="A19" s="1402">
        <v>8</v>
      </c>
      <c r="B19" s="1424"/>
      <c r="C19" s="1425"/>
      <c r="D19" s="1426" t="s">
        <v>311</v>
      </c>
      <c r="E19" s="1427"/>
      <c r="F19" s="1428"/>
      <c r="G19" s="1429"/>
      <c r="H19" s="1430"/>
      <c r="I19" s="1431">
        <v>500</v>
      </c>
      <c r="J19" s="1432">
        <v>638</v>
      </c>
      <c r="K19" s="1432"/>
      <c r="L19" s="1433">
        <f t="shared" ref="L19:L21" si="2">SUM(I19:K19)</f>
        <v>1138</v>
      </c>
      <c r="M19" s="1434"/>
    </row>
    <row r="20" spans="1:13" s="1435" customFormat="1" x14ac:dyDescent="0.3">
      <c r="A20" s="1423">
        <v>9</v>
      </c>
      <c r="B20" s="1424"/>
      <c r="C20" s="1425"/>
      <c r="D20" s="1436" t="s">
        <v>1064</v>
      </c>
      <c r="E20" s="1427"/>
      <c r="F20" s="1428"/>
      <c r="G20" s="1429"/>
      <c r="H20" s="1430"/>
      <c r="I20" s="1457">
        <v>500</v>
      </c>
      <c r="J20" s="1437">
        <v>638</v>
      </c>
      <c r="K20" s="1437"/>
      <c r="L20" s="1438">
        <f t="shared" si="2"/>
        <v>1138</v>
      </c>
      <c r="M20" s="1434"/>
    </row>
    <row r="21" spans="1:13" s="1450" customFormat="1" x14ac:dyDescent="0.3">
      <c r="A21" s="1402">
        <v>10</v>
      </c>
      <c r="B21" s="1439"/>
      <c r="C21" s="1440"/>
      <c r="D21" s="1441" t="s">
        <v>999</v>
      </c>
      <c r="E21" s="1442"/>
      <c r="F21" s="1443"/>
      <c r="G21" s="1444"/>
      <c r="H21" s="1445"/>
      <c r="I21" s="1446"/>
      <c r="J21" s="1447"/>
      <c r="K21" s="1447"/>
      <c r="L21" s="1448">
        <f t="shared" si="2"/>
        <v>0</v>
      </c>
      <c r="M21" s="1449"/>
    </row>
    <row r="22" spans="1:13" s="1459" customFormat="1" x14ac:dyDescent="0.3">
      <c r="A22" s="1402">
        <v>11</v>
      </c>
      <c r="B22" s="1451"/>
      <c r="C22" s="1452"/>
      <c r="D22" s="1436" t="s">
        <v>1116</v>
      </c>
      <c r="E22" s="1453"/>
      <c r="F22" s="1454"/>
      <c r="G22" s="1455"/>
      <c r="H22" s="1456"/>
      <c r="I22" s="1457">
        <f>SUM(I20:I21)</f>
        <v>500</v>
      </c>
      <c r="J22" s="1457">
        <f t="shared" ref="J22:K22" si="3">SUM(J20:J21)</f>
        <v>638</v>
      </c>
      <c r="K22" s="1457">
        <f t="shared" si="3"/>
        <v>0</v>
      </c>
      <c r="L22" s="1438">
        <f>SUM(I22:K22)</f>
        <v>1138</v>
      </c>
      <c r="M22" s="1458"/>
    </row>
    <row r="23" spans="1:13" ht="33" x14ac:dyDescent="0.3">
      <c r="A23" s="1423">
        <v>12</v>
      </c>
      <c r="B23" s="1412"/>
      <c r="C23" s="1413">
        <v>3</v>
      </c>
      <c r="D23" s="1414" t="s">
        <v>761</v>
      </c>
      <c r="E23" s="1415">
        <f>F23+G23+L27+M24</f>
        <v>74702</v>
      </c>
      <c r="F23" s="1415">
        <v>18391</v>
      </c>
      <c r="G23" s="1417">
        <f>26497+3</f>
        <v>26500</v>
      </c>
      <c r="H23" s="1418" t="s">
        <v>24</v>
      </c>
      <c r="I23" s="1461"/>
      <c r="J23" s="1415"/>
      <c r="K23" s="1415"/>
      <c r="L23" s="1462"/>
      <c r="M23" s="1422"/>
    </row>
    <row r="24" spans="1:13" s="1435" customFormat="1" x14ac:dyDescent="0.3">
      <c r="A24" s="1402">
        <v>13</v>
      </c>
      <c r="B24" s="1424"/>
      <c r="C24" s="1425"/>
      <c r="D24" s="1426" t="s">
        <v>311</v>
      </c>
      <c r="E24" s="1427"/>
      <c r="F24" s="1428"/>
      <c r="G24" s="1429"/>
      <c r="H24" s="1430"/>
      <c r="I24" s="1431">
        <v>327</v>
      </c>
      <c r="J24" s="1432">
        <v>29484</v>
      </c>
      <c r="K24" s="1432"/>
      <c r="L24" s="1433">
        <f t="shared" si="0"/>
        <v>29811</v>
      </c>
      <c r="M24" s="1434"/>
    </row>
    <row r="25" spans="1:13" s="1435" customFormat="1" x14ac:dyDescent="0.3">
      <c r="A25" s="1402">
        <v>14</v>
      </c>
      <c r="B25" s="1424"/>
      <c r="C25" s="1425"/>
      <c r="D25" s="1436" t="s">
        <v>1064</v>
      </c>
      <c r="E25" s="1427"/>
      <c r="F25" s="1428"/>
      <c r="G25" s="1429"/>
      <c r="H25" s="1430"/>
      <c r="I25" s="1457">
        <v>327</v>
      </c>
      <c r="J25" s="1437">
        <v>29484</v>
      </c>
      <c r="K25" s="1432"/>
      <c r="L25" s="1438">
        <f t="shared" ref="L25" si="4">SUM(I25:K25)</f>
        <v>29811</v>
      </c>
      <c r="M25" s="1434"/>
    </row>
    <row r="26" spans="1:13" s="1450" customFormat="1" x14ac:dyDescent="0.3">
      <c r="A26" s="1423">
        <v>15</v>
      </c>
      <c r="B26" s="1439"/>
      <c r="C26" s="1440"/>
      <c r="D26" s="1441" t="s">
        <v>999</v>
      </c>
      <c r="E26" s="1442"/>
      <c r="F26" s="1443"/>
      <c r="G26" s="1444"/>
      <c r="H26" s="1445"/>
      <c r="I26" s="1446"/>
      <c r="J26" s="1447"/>
      <c r="K26" s="1447"/>
      <c r="L26" s="1448">
        <f t="shared" si="0"/>
        <v>0</v>
      </c>
      <c r="M26" s="1449"/>
    </row>
    <row r="27" spans="1:13" s="1459" customFormat="1" x14ac:dyDescent="0.3">
      <c r="A27" s="1402">
        <v>16</v>
      </c>
      <c r="B27" s="1451"/>
      <c r="C27" s="1452"/>
      <c r="D27" s="1436" t="s">
        <v>1116</v>
      </c>
      <c r="E27" s="1453"/>
      <c r="F27" s="1454"/>
      <c r="G27" s="1455"/>
      <c r="H27" s="1456"/>
      <c r="I27" s="1457">
        <f>SUM(I25:I26)</f>
        <v>327</v>
      </c>
      <c r="J27" s="1457">
        <f t="shared" ref="J27:K27" si="5">SUM(J25:J26)</f>
        <v>29484</v>
      </c>
      <c r="K27" s="1457">
        <f t="shared" si="5"/>
        <v>0</v>
      </c>
      <c r="L27" s="1438">
        <f t="shared" si="0"/>
        <v>29811</v>
      </c>
      <c r="M27" s="1458"/>
    </row>
    <row r="28" spans="1:13" ht="16.5" x14ac:dyDescent="0.3">
      <c r="A28" s="1402">
        <v>17</v>
      </c>
      <c r="B28" s="1412"/>
      <c r="C28" s="1460">
        <v>4</v>
      </c>
      <c r="D28" s="150" t="s">
        <v>762</v>
      </c>
      <c r="E28" s="1415">
        <f>F28+G28+L32+M29</f>
        <v>3175</v>
      </c>
      <c r="F28" s="1415"/>
      <c r="G28" s="1417"/>
      <c r="H28" s="1418" t="s">
        <v>24</v>
      </c>
      <c r="I28" s="1461"/>
      <c r="J28" s="1415"/>
      <c r="K28" s="1415"/>
      <c r="L28" s="1462"/>
      <c r="M28" s="1422"/>
    </row>
    <row r="29" spans="1:13" s="1435" customFormat="1" x14ac:dyDescent="0.3">
      <c r="A29" s="1423">
        <v>18</v>
      </c>
      <c r="B29" s="1424"/>
      <c r="C29" s="1425"/>
      <c r="D29" s="1426" t="s">
        <v>311</v>
      </c>
      <c r="E29" s="1427"/>
      <c r="F29" s="1428"/>
      <c r="G29" s="1429"/>
      <c r="H29" s="1430"/>
      <c r="I29" s="1431"/>
      <c r="J29" s="1432">
        <v>3175</v>
      </c>
      <c r="K29" s="1432"/>
      <c r="L29" s="1433">
        <f t="shared" ref="L29:L32" si="6">SUM(I29:K29)</f>
        <v>3175</v>
      </c>
      <c r="M29" s="1434"/>
    </row>
    <row r="30" spans="1:13" s="1435" customFormat="1" x14ac:dyDescent="0.3">
      <c r="A30" s="1402">
        <v>19</v>
      </c>
      <c r="B30" s="1424"/>
      <c r="C30" s="1425"/>
      <c r="D30" s="1436" t="s">
        <v>1064</v>
      </c>
      <c r="E30" s="1427"/>
      <c r="F30" s="1428"/>
      <c r="G30" s="1429"/>
      <c r="H30" s="1430"/>
      <c r="I30" s="1431"/>
      <c r="J30" s="1437">
        <v>3175</v>
      </c>
      <c r="K30" s="1432"/>
      <c r="L30" s="1438">
        <f t="shared" ref="L30" si="7">SUM(I30:K30)</f>
        <v>3175</v>
      </c>
      <c r="M30" s="1434"/>
    </row>
    <row r="31" spans="1:13" s="1450" customFormat="1" x14ac:dyDescent="0.3">
      <c r="A31" s="1402">
        <v>20</v>
      </c>
      <c r="B31" s="1439"/>
      <c r="C31" s="1440"/>
      <c r="D31" s="1441" t="s">
        <v>999</v>
      </c>
      <c r="E31" s="1442"/>
      <c r="F31" s="1443"/>
      <c r="G31" s="1444"/>
      <c r="H31" s="1445"/>
      <c r="I31" s="1446"/>
      <c r="J31" s="1447"/>
      <c r="K31" s="1447"/>
      <c r="L31" s="1448">
        <f t="shared" si="6"/>
        <v>0</v>
      </c>
      <c r="M31" s="1449"/>
    </row>
    <row r="32" spans="1:13" s="1459" customFormat="1" x14ac:dyDescent="0.3">
      <c r="A32" s="1423">
        <v>21</v>
      </c>
      <c r="B32" s="1451"/>
      <c r="C32" s="1452"/>
      <c r="D32" s="1436" t="s">
        <v>1116</v>
      </c>
      <c r="E32" s="1453"/>
      <c r="F32" s="1454"/>
      <c r="G32" s="1455"/>
      <c r="H32" s="1456"/>
      <c r="I32" s="1457"/>
      <c r="J32" s="1457">
        <f>SUM(J30:J31)</f>
        <v>3175</v>
      </c>
      <c r="K32" s="1457">
        <f>SUM(K30:K31)</f>
        <v>0</v>
      </c>
      <c r="L32" s="1438">
        <f t="shared" si="6"/>
        <v>3175</v>
      </c>
      <c r="M32" s="1458"/>
    </row>
    <row r="33" spans="1:14" ht="33" x14ac:dyDescent="0.3">
      <c r="A33" s="1402">
        <v>22</v>
      </c>
      <c r="B33" s="1412"/>
      <c r="C33" s="1413">
        <v>5</v>
      </c>
      <c r="D33" s="1414" t="s">
        <v>763</v>
      </c>
      <c r="E33" s="1415">
        <f>F33+G33+L37+M34</f>
        <v>1905</v>
      </c>
      <c r="F33" s="1415"/>
      <c r="G33" s="1417"/>
      <c r="H33" s="1418" t="s">
        <v>24</v>
      </c>
      <c r="I33" s="1461"/>
      <c r="J33" s="1415"/>
      <c r="K33" s="1415"/>
      <c r="L33" s="1462"/>
      <c r="M33" s="1422"/>
    </row>
    <row r="34" spans="1:14" s="1435" customFormat="1" x14ac:dyDescent="0.3">
      <c r="A34" s="1402">
        <v>23</v>
      </c>
      <c r="B34" s="1424"/>
      <c r="C34" s="1425"/>
      <c r="D34" s="1426" t="s">
        <v>311</v>
      </c>
      <c r="E34" s="1427"/>
      <c r="F34" s="1428"/>
      <c r="G34" s="1429"/>
      <c r="H34" s="1430"/>
      <c r="I34" s="1431"/>
      <c r="J34" s="1432">
        <v>2000</v>
      </c>
      <c r="K34" s="1432"/>
      <c r="L34" s="1433">
        <f t="shared" si="0"/>
        <v>2000</v>
      </c>
      <c r="M34" s="1434"/>
    </row>
    <row r="35" spans="1:14" s="1435" customFormat="1" x14ac:dyDescent="0.3">
      <c r="A35" s="1423">
        <v>24</v>
      </c>
      <c r="B35" s="1424"/>
      <c r="C35" s="1425"/>
      <c r="D35" s="1436" t="s">
        <v>1064</v>
      </c>
      <c r="E35" s="1427"/>
      <c r="F35" s="1428"/>
      <c r="G35" s="1429"/>
      <c r="H35" s="1430"/>
      <c r="I35" s="1431"/>
      <c r="J35" s="1437">
        <v>1905</v>
      </c>
      <c r="K35" s="1432"/>
      <c r="L35" s="1438">
        <f t="shared" ref="L35" si="8">SUM(I35:K35)</f>
        <v>1905</v>
      </c>
      <c r="M35" s="1434"/>
    </row>
    <row r="36" spans="1:14" s="1450" customFormat="1" x14ac:dyDescent="0.3">
      <c r="A36" s="1402">
        <v>25</v>
      </c>
      <c r="B36" s="1439"/>
      <c r="C36" s="1440"/>
      <c r="D36" s="1441" t="s">
        <v>1012</v>
      </c>
      <c r="E36" s="1442"/>
      <c r="F36" s="1443"/>
      <c r="G36" s="1444"/>
      <c r="H36" s="1445"/>
      <c r="I36" s="1446"/>
      <c r="J36" s="1447"/>
      <c r="K36" s="1447"/>
      <c r="L36" s="1448">
        <f t="shared" si="0"/>
        <v>0</v>
      </c>
      <c r="M36" s="1449"/>
    </row>
    <row r="37" spans="1:14" s="1459" customFormat="1" x14ac:dyDescent="0.3">
      <c r="A37" s="1402">
        <v>26</v>
      </c>
      <c r="B37" s="1451"/>
      <c r="C37" s="1452"/>
      <c r="D37" s="1436" t="s">
        <v>1116</v>
      </c>
      <c r="E37" s="1453"/>
      <c r="F37" s="1454"/>
      <c r="G37" s="1455"/>
      <c r="H37" s="1456"/>
      <c r="I37" s="1457"/>
      <c r="J37" s="1457">
        <f>SUM(J35:J36)</f>
        <v>1905</v>
      </c>
      <c r="K37" s="1457">
        <f>SUM(K35:K36)</f>
        <v>0</v>
      </c>
      <c r="L37" s="1438">
        <f t="shared" si="0"/>
        <v>1905</v>
      </c>
      <c r="M37" s="1458"/>
    </row>
    <row r="38" spans="1:14" ht="33" x14ac:dyDescent="0.3">
      <c r="A38" s="1423">
        <v>27</v>
      </c>
      <c r="B38" s="1412"/>
      <c r="C38" s="1413">
        <v>6</v>
      </c>
      <c r="D38" s="1414" t="s">
        <v>764</v>
      </c>
      <c r="E38" s="1415">
        <f>F38+G38+L42+M39</f>
        <v>4260</v>
      </c>
      <c r="F38" s="1416"/>
      <c r="G38" s="1417">
        <v>305</v>
      </c>
      <c r="H38" s="1418" t="s">
        <v>24</v>
      </c>
      <c r="I38" s="1419"/>
      <c r="J38" s="1420"/>
      <c r="K38" s="1420"/>
      <c r="L38" s="1421"/>
      <c r="M38" s="1422"/>
    </row>
    <row r="39" spans="1:14" s="1435" customFormat="1" x14ac:dyDescent="0.3">
      <c r="A39" s="1402">
        <v>28</v>
      </c>
      <c r="B39" s="1424"/>
      <c r="C39" s="1425"/>
      <c r="D39" s="1426" t="s">
        <v>311</v>
      </c>
      <c r="E39" s="1427"/>
      <c r="F39" s="1428"/>
      <c r="G39" s="1429"/>
      <c r="H39" s="1430"/>
      <c r="I39" s="1431"/>
      <c r="J39" s="1432">
        <v>3955</v>
      </c>
      <c r="K39" s="1432"/>
      <c r="L39" s="1433">
        <f t="shared" ref="L39:L42" si="9">SUM(I39:K39)</f>
        <v>3955</v>
      </c>
      <c r="M39" s="1434"/>
    </row>
    <row r="40" spans="1:14" s="1435" customFormat="1" x14ac:dyDescent="0.3">
      <c r="A40" s="1402">
        <v>29</v>
      </c>
      <c r="B40" s="1424"/>
      <c r="C40" s="1425"/>
      <c r="D40" s="1436" t="s">
        <v>1064</v>
      </c>
      <c r="E40" s="1427"/>
      <c r="F40" s="1428"/>
      <c r="G40" s="1429"/>
      <c r="H40" s="1430"/>
      <c r="I40" s="1431"/>
      <c r="J40" s="1437">
        <v>3955</v>
      </c>
      <c r="K40" s="1432"/>
      <c r="L40" s="1438">
        <f t="shared" ref="L40" si="10">SUM(I40:K40)</f>
        <v>3955</v>
      </c>
      <c r="M40" s="1434"/>
    </row>
    <row r="41" spans="1:14" s="1450" customFormat="1" x14ac:dyDescent="0.3">
      <c r="A41" s="1423">
        <v>30</v>
      </c>
      <c r="B41" s="1439"/>
      <c r="C41" s="1440"/>
      <c r="D41" s="1441" t="s">
        <v>999</v>
      </c>
      <c r="E41" s="1442"/>
      <c r="F41" s="1443"/>
      <c r="G41" s="1444"/>
      <c r="H41" s="1445"/>
      <c r="I41" s="1446"/>
      <c r="J41" s="1447"/>
      <c r="K41" s="1447"/>
      <c r="L41" s="1448">
        <f t="shared" si="9"/>
        <v>0</v>
      </c>
      <c r="M41" s="1449"/>
    </row>
    <row r="42" spans="1:14" s="1459" customFormat="1" x14ac:dyDescent="0.3">
      <c r="A42" s="1402">
        <v>31</v>
      </c>
      <c r="B42" s="1451"/>
      <c r="C42" s="1452"/>
      <c r="D42" s="1436" t="s">
        <v>1116</v>
      </c>
      <c r="E42" s="1453"/>
      <c r="F42" s="1454"/>
      <c r="G42" s="1455"/>
      <c r="H42" s="1456"/>
      <c r="I42" s="1457"/>
      <c r="J42" s="1457">
        <f>SUM(J40:J41)</f>
        <v>3955</v>
      </c>
      <c r="K42" s="1457">
        <f>SUM(K40:K41)</f>
        <v>0</v>
      </c>
      <c r="L42" s="1438">
        <f t="shared" si="9"/>
        <v>3955</v>
      </c>
      <c r="M42" s="1458"/>
    </row>
    <row r="43" spans="1:14" ht="16.5" x14ac:dyDescent="0.3">
      <c r="A43" s="1402">
        <v>32</v>
      </c>
      <c r="B43" s="1412"/>
      <c r="C43" s="1460">
        <v>7</v>
      </c>
      <c r="D43" s="150" t="s">
        <v>765</v>
      </c>
      <c r="E43" s="1415">
        <f>F43+G43+L47+M44</f>
        <v>3000</v>
      </c>
      <c r="F43" s="1416"/>
      <c r="G43" s="1417"/>
      <c r="H43" s="1418" t="s">
        <v>24</v>
      </c>
      <c r="I43" s="1419"/>
      <c r="J43" s="1420"/>
      <c r="K43" s="1420"/>
      <c r="L43" s="1421"/>
      <c r="M43" s="1422"/>
      <c r="N43" s="264"/>
    </row>
    <row r="44" spans="1:14" s="1435" customFormat="1" x14ac:dyDescent="0.3">
      <c r="A44" s="1423">
        <v>33</v>
      </c>
      <c r="B44" s="1424"/>
      <c r="C44" s="1425"/>
      <c r="D44" s="1426" t="s">
        <v>311</v>
      </c>
      <c r="E44" s="1427"/>
      <c r="F44" s="1428"/>
      <c r="G44" s="1429"/>
      <c r="H44" s="1430"/>
      <c r="I44" s="1431"/>
      <c r="J44" s="1432">
        <v>3000</v>
      </c>
      <c r="K44" s="1432"/>
      <c r="L44" s="1433">
        <f t="shared" si="0"/>
        <v>3000</v>
      </c>
      <c r="M44" s="1434"/>
    </row>
    <row r="45" spans="1:14" s="1435" customFormat="1" x14ac:dyDescent="0.3">
      <c r="A45" s="1402">
        <v>34</v>
      </c>
      <c r="B45" s="1424"/>
      <c r="C45" s="1425"/>
      <c r="D45" s="1436" t="s">
        <v>1064</v>
      </c>
      <c r="E45" s="1427"/>
      <c r="F45" s="1428"/>
      <c r="G45" s="1429"/>
      <c r="H45" s="1430"/>
      <c r="I45" s="1431"/>
      <c r="J45" s="1437">
        <v>3000</v>
      </c>
      <c r="K45" s="1432"/>
      <c r="L45" s="1438">
        <f t="shared" ref="L45" si="11">SUM(I45:K45)</f>
        <v>3000</v>
      </c>
      <c r="M45" s="1434"/>
    </row>
    <row r="46" spans="1:14" s="1450" customFormat="1" x14ac:dyDescent="0.3">
      <c r="A46" s="1402">
        <v>35</v>
      </c>
      <c r="B46" s="1439"/>
      <c r="C46" s="1440"/>
      <c r="D46" s="1441" t="s">
        <v>999</v>
      </c>
      <c r="E46" s="1442"/>
      <c r="F46" s="1443"/>
      <c r="G46" s="1444"/>
      <c r="H46" s="1445"/>
      <c r="I46" s="1446"/>
      <c r="J46" s="1447"/>
      <c r="K46" s="1447"/>
      <c r="L46" s="1448">
        <f t="shared" si="0"/>
        <v>0</v>
      </c>
      <c r="M46" s="1449"/>
    </row>
    <row r="47" spans="1:14" s="1459" customFormat="1" x14ac:dyDescent="0.3">
      <c r="A47" s="1423">
        <v>36</v>
      </c>
      <c r="B47" s="1451"/>
      <c r="C47" s="1452"/>
      <c r="D47" s="1436" t="s">
        <v>1116</v>
      </c>
      <c r="E47" s="1453"/>
      <c r="F47" s="1454"/>
      <c r="G47" s="1455"/>
      <c r="H47" s="1456"/>
      <c r="I47" s="1457"/>
      <c r="J47" s="1457">
        <f>SUM(J45:J46)</f>
        <v>3000</v>
      </c>
      <c r="K47" s="1457">
        <f>SUM(K45:K46)</f>
        <v>0</v>
      </c>
      <c r="L47" s="1438">
        <f t="shared" si="0"/>
        <v>3000</v>
      </c>
      <c r="M47" s="1458"/>
    </row>
    <row r="48" spans="1:14" ht="16.5" x14ac:dyDescent="0.3">
      <c r="A48" s="1402">
        <v>37</v>
      </c>
      <c r="B48" s="1412"/>
      <c r="C48" s="1460">
        <v>8</v>
      </c>
      <c r="D48" s="150" t="s">
        <v>766</v>
      </c>
      <c r="E48" s="1415">
        <f>F48+G48+L52+M49</f>
        <v>25000</v>
      </c>
      <c r="F48" s="1416"/>
      <c r="G48" s="1417">
        <v>12491</v>
      </c>
      <c r="H48" s="1418" t="s">
        <v>24</v>
      </c>
      <c r="I48" s="1419"/>
      <c r="J48" s="1420"/>
      <c r="K48" s="1420"/>
      <c r="L48" s="1421"/>
      <c r="M48" s="1422"/>
    </row>
    <row r="49" spans="1:13" s="1435" customFormat="1" x14ac:dyDescent="0.3">
      <c r="A49" s="1402">
        <v>38</v>
      </c>
      <c r="B49" s="1424"/>
      <c r="C49" s="1425"/>
      <c r="D49" s="1426" t="s">
        <v>311</v>
      </c>
      <c r="E49" s="1427"/>
      <c r="F49" s="1428"/>
      <c r="G49" s="1429"/>
      <c r="H49" s="1430"/>
      <c r="I49" s="1431"/>
      <c r="J49" s="1432">
        <v>12509</v>
      </c>
      <c r="K49" s="1432"/>
      <c r="L49" s="1433">
        <f t="shared" ref="L49:L52" si="12">SUM(I49:K49)</f>
        <v>12509</v>
      </c>
      <c r="M49" s="1434"/>
    </row>
    <row r="50" spans="1:13" s="1435" customFormat="1" x14ac:dyDescent="0.3">
      <c r="A50" s="1423">
        <v>39</v>
      </c>
      <c r="B50" s="1424"/>
      <c r="C50" s="1425"/>
      <c r="D50" s="1436" t="s">
        <v>1064</v>
      </c>
      <c r="E50" s="1427"/>
      <c r="F50" s="1428"/>
      <c r="G50" s="1429"/>
      <c r="H50" s="1430"/>
      <c r="I50" s="1431"/>
      <c r="J50" s="1437">
        <v>12509</v>
      </c>
      <c r="K50" s="1432"/>
      <c r="L50" s="1438">
        <f t="shared" ref="L50" si="13">SUM(I50:K50)</f>
        <v>12509</v>
      </c>
      <c r="M50" s="1434"/>
    </row>
    <row r="51" spans="1:13" s="1450" customFormat="1" x14ac:dyDescent="0.3">
      <c r="A51" s="1402">
        <v>40</v>
      </c>
      <c r="B51" s="1439"/>
      <c r="C51" s="1440"/>
      <c r="D51" s="1441" t="s">
        <v>999</v>
      </c>
      <c r="E51" s="1442"/>
      <c r="F51" s="1443"/>
      <c r="G51" s="1444"/>
      <c r="H51" s="1445"/>
      <c r="I51" s="1446"/>
      <c r="J51" s="1447"/>
      <c r="K51" s="1447"/>
      <c r="L51" s="1448">
        <f t="shared" si="12"/>
        <v>0</v>
      </c>
      <c r="M51" s="1449"/>
    </row>
    <row r="52" spans="1:13" s="1459" customFormat="1" x14ac:dyDescent="0.3">
      <c r="A52" s="1402">
        <v>41</v>
      </c>
      <c r="B52" s="1451"/>
      <c r="C52" s="1452"/>
      <c r="D52" s="1436" t="s">
        <v>1116</v>
      </c>
      <c r="E52" s="1453"/>
      <c r="F52" s="1454"/>
      <c r="G52" s="1455"/>
      <c r="H52" s="1456"/>
      <c r="I52" s="1457"/>
      <c r="J52" s="1457">
        <f>SUM(J50:J51)</f>
        <v>12509</v>
      </c>
      <c r="K52" s="1457">
        <f>SUM(K50:K51)</f>
        <v>0</v>
      </c>
      <c r="L52" s="1438">
        <f t="shared" si="12"/>
        <v>12509</v>
      </c>
      <c r="M52" s="1458"/>
    </row>
    <row r="53" spans="1:13" ht="16.5" x14ac:dyDescent="0.3">
      <c r="A53" s="1423">
        <v>42</v>
      </c>
      <c r="B53" s="1412"/>
      <c r="C53" s="1460">
        <v>9</v>
      </c>
      <c r="D53" s="1463" t="s">
        <v>794</v>
      </c>
      <c r="E53" s="1415">
        <f>F53+G53+L57+M54</f>
        <v>3520</v>
      </c>
      <c r="F53" s="1416">
        <f>3210+110</f>
        <v>3320</v>
      </c>
      <c r="G53" s="1417">
        <v>100</v>
      </c>
      <c r="H53" s="1418" t="s">
        <v>24</v>
      </c>
      <c r="I53" s="1419"/>
      <c r="J53" s="1420"/>
      <c r="K53" s="1420"/>
      <c r="L53" s="1421"/>
      <c r="M53" s="1422"/>
    </row>
    <row r="54" spans="1:13" s="1435" customFormat="1" x14ac:dyDescent="0.3">
      <c r="A54" s="1402">
        <v>43</v>
      </c>
      <c r="B54" s="1424"/>
      <c r="C54" s="1425"/>
      <c r="D54" s="1426" t="s">
        <v>311</v>
      </c>
      <c r="E54" s="1427"/>
      <c r="F54" s="1428"/>
      <c r="G54" s="1429"/>
      <c r="H54" s="1430"/>
      <c r="I54" s="1431"/>
      <c r="J54" s="1432">
        <v>100</v>
      </c>
      <c r="K54" s="1432"/>
      <c r="L54" s="1433">
        <f t="shared" si="0"/>
        <v>100</v>
      </c>
      <c r="M54" s="1434"/>
    </row>
    <row r="55" spans="1:13" s="1435" customFormat="1" x14ac:dyDescent="0.3">
      <c r="A55" s="1402">
        <v>44</v>
      </c>
      <c r="B55" s="1424"/>
      <c r="C55" s="1425"/>
      <c r="D55" s="1436" t="s">
        <v>1064</v>
      </c>
      <c r="E55" s="1427"/>
      <c r="F55" s="1428"/>
      <c r="G55" s="1429"/>
      <c r="H55" s="1430"/>
      <c r="I55" s="1431"/>
      <c r="J55" s="1437">
        <v>100</v>
      </c>
      <c r="K55" s="1432"/>
      <c r="L55" s="1438">
        <f t="shared" ref="L55" si="14">SUM(I55:K55)</f>
        <v>100</v>
      </c>
      <c r="M55" s="1434"/>
    </row>
    <row r="56" spans="1:13" s="1450" customFormat="1" x14ac:dyDescent="0.3">
      <c r="A56" s="1423">
        <v>45</v>
      </c>
      <c r="B56" s="1439"/>
      <c r="C56" s="1440"/>
      <c r="D56" s="1441" t="s">
        <v>999</v>
      </c>
      <c r="E56" s="1442"/>
      <c r="F56" s="1443"/>
      <c r="G56" s="1444"/>
      <c r="H56" s="1445"/>
      <c r="I56" s="1446"/>
      <c r="J56" s="1447"/>
      <c r="K56" s="1447"/>
      <c r="L56" s="1448">
        <f t="shared" si="0"/>
        <v>0</v>
      </c>
      <c r="M56" s="1449"/>
    </row>
    <row r="57" spans="1:13" s="1459" customFormat="1" x14ac:dyDescent="0.3">
      <c r="A57" s="1402">
        <v>46</v>
      </c>
      <c r="B57" s="1451"/>
      <c r="C57" s="1452"/>
      <c r="D57" s="1436" t="s">
        <v>1116</v>
      </c>
      <c r="E57" s="1453"/>
      <c r="F57" s="1454"/>
      <c r="G57" s="1455"/>
      <c r="H57" s="1456"/>
      <c r="I57" s="1457"/>
      <c r="J57" s="1457">
        <f>SUM(J55:J56)</f>
        <v>100</v>
      </c>
      <c r="K57" s="1457">
        <f>SUM(K55:K56)</f>
        <v>0</v>
      </c>
      <c r="L57" s="1438">
        <f t="shared" si="0"/>
        <v>100</v>
      </c>
      <c r="M57" s="1458"/>
    </row>
    <row r="58" spans="1:13" ht="16.5" x14ac:dyDescent="0.3">
      <c r="A58" s="1402">
        <v>47</v>
      </c>
      <c r="B58" s="1412"/>
      <c r="C58" s="1460">
        <v>10</v>
      </c>
      <c r="D58" s="1463" t="s">
        <v>795</v>
      </c>
      <c r="E58" s="1415">
        <f>F58+G58+L62+M59</f>
        <v>165780</v>
      </c>
      <c r="F58" s="1416">
        <f>84090+35890</f>
        <v>119980</v>
      </c>
      <c r="G58" s="1417">
        <v>22900</v>
      </c>
      <c r="H58" s="1418" t="s">
        <v>24</v>
      </c>
      <c r="I58" s="1419"/>
      <c r="J58" s="1420"/>
      <c r="K58" s="1420"/>
      <c r="L58" s="1421"/>
      <c r="M58" s="1422"/>
    </row>
    <row r="59" spans="1:13" s="1435" customFormat="1" x14ac:dyDescent="0.3">
      <c r="A59" s="1423">
        <v>48</v>
      </c>
      <c r="B59" s="1424"/>
      <c r="C59" s="1425"/>
      <c r="D59" s="1426" t="s">
        <v>311</v>
      </c>
      <c r="E59" s="1427"/>
      <c r="F59" s="1428"/>
      <c r="G59" s="1429"/>
      <c r="H59" s="1430"/>
      <c r="I59" s="1431"/>
      <c r="J59" s="1432">
        <v>22900</v>
      </c>
      <c r="K59" s="1432"/>
      <c r="L59" s="1433">
        <f t="shared" ref="L59:L62" si="15">SUM(I59:K59)</f>
        <v>22900</v>
      </c>
      <c r="M59" s="1434"/>
    </row>
    <row r="60" spans="1:13" s="1435" customFormat="1" x14ac:dyDescent="0.3">
      <c r="A60" s="1402">
        <v>49</v>
      </c>
      <c r="B60" s="1424"/>
      <c r="C60" s="1425"/>
      <c r="D60" s="1436" t="s">
        <v>1064</v>
      </c>
      <c r="E60" s="1427"/>
      <c r="F60" s="1428"/>
      <c r="G60" s="1429"/>
      <c r="H60" s="1430"/>
      <c r="I60" s="1431"/>
      <c r="J60" s="1437">
        <v>22900</v>
      </c>
      <c r="K60" s="1432"/>
      <c r="L60" s="1438">
        <f t="shared" ref="L60" si="16">SUM(I60:K60)</f>
        <v>22900</v>
      </c>
      <c r="M60" s="1434"/>
    </row>
    <row r="61" spans="1:13" s="1450" customFormat="1" x14ac:dyDescent="0.3">
      <c r="A61" s="1402">
        <v>50</v>
      </c>
      <c r="B61" s="1439"/>
      <c r="C61" s="1440"/>
      <c r="D61" s="1441" t="s">
        <v>999</v>
      </c>
      <c r="E61" s="1442"/>
      <c r="F61" s="1443"/>
      <c r="G61" s="1444"/>
      <c r="H61" s="1445"/>
      <c r="I61" s="1446"/>
      <c r="J61" s="1447"/>
      <c r="K61" s="1447"/>
      <c r="L61" s="1448">
        <f t="shared" si="15"/>
        <v>0</v>
      </c>
      <c r="M61" s="1449"/>
    </row>
    <row r="62" spans="1:13" s="1459" customFormat="1" x14ac:dyDescent="0.3">
      <c r="A62" s="1423">
        <v>51</v>
      </c>
      <c r="B62" s="1451"/>
      <c r="C62" s="1452"/>
      <c r="D62" s="1436" t="s">
        <v>1116</v>
      </c>
      <c r="E62" s="1453"/>
      <c r="F62" s="1454"/>
      <c r="G62" s="1455"/>
      <c r="H62" s="1456"/>
      <c r="I62" s="1457"/>
      <c r="J62" s="1457">
        <f>SUM(J60:J61)</f>
        <v>22900</v>
      </c>
      <c r="K62" s="1457">
        <f>SUM(K60:K61)</f>
        <v>0</v>
      </c>
      <c r="L62" s="1438">
        <f t="shared" si="15"/>
        <v>22900</v>
      </c>
      <c r="M62" s="1458"/>
    </row>
    <row r="63" spans="1:13" ht="16.5" x14ac:dyDescent="0.3">
      <c r="A63" s="1402">
        <v>52</v>
      </c>
      <c r="B63" s="1412"/>
      <c r="C63" s="1460">
        <v>11</v>
      </c>
      <c r="D63" s="1463" t="s">
        <v>796</v>
      </c>
      <c r="E63" s="1415">
        <f>F63+G63+L67+M64</f>
        <v>100080</v>
      </c>
      <c r="F63" s="1416">
        <f>100050+10</f>
        <v>100060</v>
      </c>
      <c r="G63" s="1417">
        <v>10</v>
      </c>
      <c r="H63" s="1418" t="s">
        <v>24</v>
      </c>
      <c r="I63" s="1419"/>
      <c r="J63" s="1420"/>
      <c r="K63" s="1420"/>
      <c r="L63" s="1421"/>
      <c r="M63" s="1422"/>
    </row>
    <row r="64" spans="1:13" s="1435" customFormat="1" x14ac:dyDescent="0.3">
      <c r="A64" s="1402">
        <v>53</v>
      </c>
      <c r="B64" s="1424"/>
      <c r="C64" s="1425"/>
      <c r="D64" s="1426" t="s">
        <v>311</v>
      </c>
      <c r="E64" s="1427"/>
      <c r="F64" s="1428"/>
      <c r="G64" s="1429"/>
      <c r="H64" s="1430"/>
      <c r="I64" s="1431"/>
      <c r="J64" s="1432">
        <v>10</v>
      </c>
      <c r="K64" s="1432"/>
      <c r="L64" s="1433">
        <f t="shared" si="0"/>
        <v>10</v>
      </c>
      <c r="M64" s="1434"/>
    </row>
    <row r="65" spans="1:13" s="1435" customFormat="1" x14ac:dyDescent="0.3">
      <c r="A65" s="1423">
        <v>54</v>
      </c>
      <c r="B65" s="1424"/>
      <c r="C65" s="1425"/>
      <c r="D65" s="1436" t="s">
        <v>1064</v>
      </c>
      <c r="E65" s="1427"/>
      <c r="F65" s="1428"/>
      <c r="G65" s="1429"/>
      <c r="H65" s="1430"/>
      <c r="I65" s="1431"/>
      <c r="J65" s="1432">
        <v>10</v>
      </c>
      <c r="K65" s="1432"/>
      <c r="L65" s="1438">
        <f t="shared" ref="L65" si="17">SUM(I65:K65)</f>
        <v>10</v>
      </c>
      <c r="M65" s="1434"/>
    </row>
    <row r="66" spans="1:13" s="1450" customFormat="1" x14ac:dyDescent="0.3">
      <c r="A66" s="1402">
        <v>55</v>
      </c>
      <c r="B66" s="1439"/>
      <c r="C66" s="1440"/>
      <c r="D66" s="1441" t="s">
        <v>999</v>
      </c>
      <c r="E66" s="1442"/>
      <c r="F66" s="1443"/>
      <c r="G66" s="1444"/>
      <c r="H66" s="1445"/>
      <c r="I66" s="1446"/>
      <c r="J66" s="1447"/>
      <c r="K66" s="1447"/>
      <c r="L66" s="1448">
        <f t="shared" si="0"/>
        <v>0</v>
      </c>
      <c r="M66" s="1449"/>
    </row>
    <row r="67" spans="1:13" s="1459" customFormat="1" x14ac:dyDescent="0.3">
      <c r="A67" s="1402">
        <v>56</v>
      </c>
      <c r="B67" s="1451"/>
      <c r="C67" s="1452"/>
      <c r="D67" s="1436" t="s">
        <v>1116</v>
      </c>
      <c r="E67" s="1453"/>
      <c r="F67" s="1454"/>
      <c r="G67" s="1455"/>
      <c r="H67" s="1456"/>
      <c r="I67" s="1457"/>
      <c r="J67" s="1457">
        <f>SUM(J65:J66)</f>
        <v>10</v>
      </c>
      <c r="K67" s="1457">
        <f>SUM(K65:K66)</f>
        <v>0</v>
      </c>
      <c r="L67" s="1438">
        <f t="shared" si="0"/>
        <v>10</v>
      </c>
      <c r="M67" s="1458"/>
    </row>
    <row r="68" spans="1:13" ht="16.5" x14ac:dyDescent="0.3">
      <c r="A68" s="1423">
        <v>57</v>
      </c>
      <c r="B68" s="1412"/>
      <c r="C68" s="1460">
        <v>12</v>
      </c>
      <c r="D68" s="1463" t="s">
        <v>797</v>
      </c>
      <c r="E68" s="1415">
        <f>F68+G68+L72+M69</f>
        <v>739920</v>
      </c>
      <c r="F68" s="1416">
        <f>379950+119990</f>
        <v>499940</v>
      </c>
      <c r="G68" s="1417">
        <v>119990</v>
      </c>
      <c r="H68" s="1418" t="s">
        <v>24</v>
      </c>
      <c r="I68" s="1419"/>
      <c r="J68" s="1420"/>
      <c r="K68" s="1420"/>
      <c r="L68" s="1421"/>
      <c r="M68" s="1422"/>
    </row>
    <row r="69" spans="1:13" s="1435" customFormat="1" x14ac:dyDescent="0.3">
      <c r="A69" s="1402">
        <v>58</v>
      </c>
      <c r="B69" s="1424"/>
      <c r="C69" s="1425"/>
      <c r="D69" s="1426" t="s">
        <v>311</v>
      </c>
      <c r="E69" s="1427"/>
      <c r="F69" s="1428"/>
      <c r="G69" s="1429"/>
      <c r="H69" s="1430"/>
      <c r="I69" s="1431"/>
      <c r="J69" s="1432">
        <v>119990</v>
      </c>
      <c r="K69" s="1432"/>
      <c r="L69" s="1433">
        <f t="shared" ref="L69:L72" si="18">SUM(I69:K69)</f>
        <v>119990</v>
      </c>
      <c r="M69" s="1434"/>
    </row>
    <row r="70" spans="1:13" s="1435" customFormat="1" x14ac:dyDescent="0.3">
      <c r="A70" s="1402">
        <v>59</v>
      </c>
      <c r="B70" s="1424"/>
      <c r="C70" s="1425"/>
      <c r="D70" s="1436" t="s">
        <v>1064</v>
      </c>
      <c r="E70" s="1427"/>
      <c r="F70" s="1428"/>
      <c r="G70" s="1429"/>
      <c r="H70" s="1430"/>
      <c r="I70" s="1431"/>
      <c r="J70" s="1437">
        <v>119990</v>
      </c>
      <c r="K70" s="1432"/>
      <c r="L70" s="1438">
        <f t="shared" ref="L70" si="19">SUM(I70:K70)</f>
        <v>119990</v>
      </c>
      <c r="M70" s="1434"/>
    </row>
    <row r="71" spans="1:13" s="1450" customFormat="1" x14ac:dyDescent="0.3">
      <c r="A71" s="1423">
        <v>60</v>
      </c>
      <c r="B71" s="1439"/>
      <c r="C71" s="1440"/>
      <c r="D71" s="1441" t="s">
        <v>999</v>
      </c>
      <c r="E71" s="1442"/>
      <c r="F71" s="1443"/>
      <c r="G71" s="1444"/>
      <c r="H71" s="1445"/>
      <c r="I71" s="1446"/>
      <c r="J71" s="1447"/>
      <c r="K71" s="1447"/>
      <c r="L71" s="1448">
        <f t="shared" si="18"/>
        <v>0</v>
      </c>
      <c r="M71" s="1449"/>
    </row>
    <row r="72" spans="1:13" s="1459" customFormat="1" x14ac:dyDescent="0.3">
      <c r="A72" s="1402">
        <v>61</v>
      </c>
      <c r="B72" s="1451"/>
      <c r="C72" s="1452"/>
      <c r="D72" s="1436" t="s">
        <v>1116</v>
      </c>
      <c r="E72" s="1453"/>
      <c r="F72" s="1454"/>
      <c r="G72" s="1455"/>
      <c r="H72" s="1456"/>
      <c r="I72" s="1457"/>
      <c r="J72" s="1457">
        <f>SUM(J70:J71)</f>
        <v>119990</v>
      </c>
      <c r="K72" s="1457">
        <f>SUM(K70:K71)</f>
        <v>0</v>
      </c>
      <c r="L72" s="1438">
        <f t="shared" si="18"/>
        <v>119990</v>
      </c>
      <c r="M72" s="1458"/>
    </row>
    <row r="73" spans="1:13" ht="16.5" x14ac:dyDescent="0.3">
      <c r="A73" s="1402">
        <v>62</v>
      </c>
      <c r="B73" s="1412"/>
      <c r="C73" s="1460">
        <v>13</v>
      </c>
      <c r="D73" s="1463" t="s">
        <v>848</v>
      </c>
      <c r="E73" s="1415">
        <f>F73+G73+L77+M74</f>
        <v>251652</v>
      </c>
      <c r="F73" s="1416"/>
      <c r="G73" s="1417"/>
      <c r="H73" s="1418" t="s">
        <v>24</v>
      </c>
      <c r="I73" s="1419"/>
      <c r="J73" s="1420"/>
      <c r="K73" s="1420"/>
      <c r="L73" s="1421"/>
      <c r="M73" s="1422"/>
    </row>
    <row r="74" spans="1:13" s="1435" customFormat="1" x14ac:dyDescent="0.3">
      <c r="A74" s="1423">
        <v>63</v>
      </c>
      <c r="B74" s="1424"/>
      <c r="C74" s="1425"/>
      <c r="D74" s="1426" t="s">
        <v>311</v>
      </c>
      <c r="E74" s="1427"/>
      <c r="F74" s="1428"/>
      <c r="G74" s="1429"/>
      <c r="H74" s="1430"/>
      <c r="I74" s="1431"/>
      <c r="J74" s="1432">
        <v>251652</v>
      </c>
      <c r="K74" s="1432"/>
      <c r="L74" s="1433">
        <f t="shared" si="0"/>
        <v>251652</v>
      </c>
      <c r="M74" s="1434"/>
    </row>
    <row r="75" spans="1:13" s="1435" customFormat="1" x14ac:dyDescent="0.3">
      <c r="A75" s="1402">
        <v>64</v>
      </c>
      <c r="B75" s="1424"/>
      <c r="C75" s="1425"/>
      <c r="D75" s="1436" t="s">
        <v>1064</v>
      </c>
      <c r="E75" s="1427"/>
      <c r="F75" s="1428"/>
      <c r="G75" s="1429"/>
      <c r="H75" s="1430"/>
      <c r="I75" s="1431"/>
      <c r="J75" s="1437">
        <v>251652</v>
      </c>
      <c r="K75" s="1432"/>
      <c r="L75" s="1438">
        <f t="shared" ref="L75" si="20">SUM(I75:K75)</f>
        <v>251652</v>
      </c>
      <c r="M75" s="1434"/>
    </row>
    <row r="76" spans="1:13" s="1450" customFormat="1" x14ac:dyDescent="0.3">
      <c r="A76" s="1402">
        <v>65</v>
      </c>
      <c r="B76" s="1439"/>
      <c r="C76" s="1440"/>
      <c r="D76" s="1441" t="s">
        <v>999</v>
      </c>
      <c r="E76" s="1442"/>
      <c r="F76" s="1443"/>
      <c r="G76" s="1444"/>
      <c r="H76" s="1445"/>
      <c r="I76" s="1446"/>
      <c r="J76" s="1447"/>
      <c r="K76" s="1447"/>
      <c r="L76" s="1448">
        <f t="shared" si="0"/>
        <v>0</v>
      </c>
      <c r="M76" s="1449"/>
    </row>
    <row r="77" spans="1:13" s="1459" customFormat="1" x14ac:dyDescent="0.3">
      <c r="A77" s="1423">
        <v>66</v>
      </c>
      <c r="B77" s="1451"/>
      <c r="C77" s="1452"/>
      <c r="D77" s="1436" t="s">
        <v>1116</v>
      </c>
      <c r="E77" s="1453"/>
      <c r="F77" s="1454"/>
      <c r="G77" s="1455"/>
      <c r="H77" s="1456"/>
      <c r="I77" s="1457"/>
      <c r="J77" s="1457">
        <f>SUM(J75:J76)</f>
        <v>251652</v>
      </c>
      <c r="K77" s="1457">
        <f>SUM(K75:K76)</f>
        <v>0</v>
      </c>
      <c r="L77" s="1438">
        <f t="shared" si="0"/>
        <v>251652</v>
      </c>
      <c r="M77" s="1458"/>
    </row>
    <row r="78" spans="1:13" ht="16.5" x14ac:dyDescent="0.3">
      <c r="A78" s="1402">
        <v>67</v>
      </c>
      <c r="B78" s="1412"/>
      <c r="C78" s="1460">
        <v>14</v>
      </c>
      <c r="D78" s="1463" t="s">
        <v>798</v>
      </c>
      <c r="E78" s="1415">
        <f>F78+G78+L82+M79</f>
        <v>3600</v>
      </c>
      <c r="F78" s="1416">
        <v>100</v>
      </c>
      <c r="G78" s="1417">
        <v>1500</v>
      </c>
      <c r="H78" s="1418" t="s">
        <v>24</v>
      </c>
      <c r="I78" s="1419"/>
      <c r="J78" s="1420"/>
      <c r="K78" s="1420"/>
      <c r="L78" s="1421"/>
      <c r="M78" s="1422"/>
    </row>
    <row r="79" spans="1:13" s="1435" customFormat="1" x14ac:dyDescent="0.3">
      <c r="A79" s="1402">
        <v>68</v>
      </c>
      <c r="B79" s="1424"/>
      <c r="C79" s="1425"/>
      <c r="D79" s="1426" t="s">
        <v>311</v>
      </c>
      <c r="E79" s="1427"/>
      <c r="F79" s="1428"/>
      <c r="G79" s="1429"/>
      <c r="H79" s="1430"/>
      <c r="I79" s="1431"/>
      <c r="J79" s="1432">
        <v>2000</v>
      </c>
      <c r="K79" s="1432"/>
      <c r="L79" s="1433">
        <f t="shared" ref="L79:L82" si="21">SUM(I79:K79)</f>
        <v>2000</v>
      </c>
      <c r="M79" s="1434"/>
    </row>
    <row r="80" spans="1:13" s="1435" customFormat="1" x14ac:dyDescent="0.3">
      <c r="A80" s="1423">
        <v>69</v>
      </c>
      <c r="B80" s="1424"/>
      <c r="C80" s="1425"/>
      <c r="D80" s="1436" t="s">
        <v>1064</v>
      </c>
      <c r="E80" s="1427"/>
      <c r="F80" s="1428"/>
      <c r="G80" s="1429"/>
      <c r="H80" s="1430"/>
      <c r="I80" s="1431"/>
      <c r="J80" s="1437">
        <v>2000</v>
      </c>
      <c r="K80" s="1432"/>
      <c r="L80" s="1438">
        <f t="shared" ref="L80" si="22">SUM(I80:K80)</f>
        <v>2000</v>
      </c>
      <c r="M80" s="1434"/>
    </row>
    <row r="81" spans="1:15" s="1450" customFormat="1" x14ac:dyDescent="0.3">
      <c r="A81" s="1402">
        <v>70</v>
      </c>
      <c r="B81" s="1439"/>
      <c r="C81" s="1440"/>
      <c r="D81" s="1441" t="s">
        <v>999</v>
      </c>
      <c r="E81" s="1442"/>
      <c r="F81" s="1443"/>
      <c r="G81" s="1444"/>
      <c r="H81" s="1445"/>
      <c r="I81" s="1446"/>
      <c r="J81" s="1447"/>
      <c r="K81" s="1447"/>
      <c r="L81" s="1448">
        <f t="shared" si="21"/>
        <v>0</v>
      </c>
      <c r="M81" s="1449"/>
    </row>
    <row r="82" spans="1:15" s="1459" customFormat="1" x14ac:dyDescent="0.3">
      <c r="A82" s="1402">
        <v>71</v>
      </c>
      <c r="B82" s="1451"/>
      <c r="C82" s="1452"/>
      <c r="D82" s="1436" t="s">
        <v>1116</v>
      </c>
      <c r="E82" s="1453"/>
      <c r="F82" s="1454"/>
      <c r="G82" s="1455"/>
      <c r="H82" s="1456"/>
      <c r="I82" s="1457"/>
      <c r="J82" s="1457">
        <f>SUM(J80:J81)</f>
        <v>2000</v>
      </c>
      <c r="K82" s="1457">
        <f>SUM(K80:K81)</f>
        <v>0</v>
      </c>
      <c r="L82" s="1438">
        <f t="shared" si="21"/>
        <v>2000</v>
      </c>
      <c r="M82" s="1458"/>
    </row>
    <row r="83" spans="1:15" ht="16.5" x14ac:dyDescent="0.3">
      <c r="A83" s="1423">
        <v>72</v>
      </c>
      <c r="B83" s="1412"/>
      <c r="C83" s="1460">
        <v>15</v>
      </c>
      <c r="D83" s="1463" t="s">
        <v>799</v>
      </c>
      <c r="E83" s="1415">
        <f>F83+G83+L87+M84</f>
        <v>376100</v>
      </c>
      <c r="F83" s="1416">
        <v>82900</v>
      </c>
      <c r="G83" s="1417">
        <v>195200</v>
      </c>
      <c r="H83" s="1418" t="s">
        <v>24</v>
      </c>
      <c r="I83" s="1419"/>
      <c r="J83" s="1420"/>
      <c r="K83" s="1420"/>
      <c r="L83" s="1421"/>
      <c r="M83" s="1422"/>
    </row>
    <row r="84" spans="1:15" s="1435" customFormat="1" x14ac:dyDescent="0.3">
      <c r="A84" s="1402">
        <v>73</v>
      </c>
      <c r="B84" s="1424"/>
      <c r="C84" s="1425"/>
      <c r="D84" s="1426" t="s">
        <v>311</v>
      </c>
      <c r="E84" s="1427"/>
      <c r="F84" s="1428"/>
      <c r="G84" s="1429"/>
      <c r="H84" s="1430"/>
      <c r="I84" s="1431"/>
      <c r="J84" s="1432">
        <v>98000</v>
      </c>
      <c r="K84" s="1432"/>
      <c r="L84" s="1433">
        <f t="shared" si="0"/>
        <v>98000</v>
      </c>
      <c r="M84" s="1434"/>
    </row>
    <row r="85" spans="1:15" s="1435" customFormat="1" x14ac:dyDescent="0.3">
      <c r="A85" s="1402">
        <v>74</v>
      </c>
      <c r="B85" s="1424"/>
      <c r="C85" s="1425"/>
      <c r="D85" s="1436" t="s">
        <v>1064</v>
      </c>
      <c r="E85" s="1427"/>
      <c r="F85" s="1428"/>
      <c r="G85" s="1429"/>
      <c r="H85" s="1430"/>
      <c r="I85" s="1431"/>
      <c r="J85" s="1437">
        <v>98000</v>
      </c>
      <c r="K85" s="1432"/>
      <c r="L85" s="1438">
        <f t="shared" ref="L85" si="23">SUM(I85:K85)</f>
        <v>98000</v>
      </c>
      <c r="M85" s="1434"/>
    </row>
    <row r="86" spans="1:15" s="1450" customFormat="1" x14ac:dyDescent="0.3">
      <c r="A86" s="1423">
        <v>75</v>
      </c>
      <c r="B86" s="1439"/>
      <c r="C86" s="1440"/>
      <c r="D86" s="1441" t="s">
        <v>999</v>
      </c>
      <c r="E86" s="1442"/>
      <c r="F86" s="1443"/>
      <c r="G86" s="1444"/>
      <c r="H86" s="1445"/>
      <c r="I86" s="1446"/>
      <c r="J86" s="1447"/>
      <c r="K86" s="1447"/>
      <c r="L86" s="1448">
        <f t="shared" si="0"/>
        <v>0</v>
      </c>
      <c r="M86" s="1449"/>
    </row>
    <row r="87" spans="1:15" s="1459" customFormat="1" x14ac:dyDescent="0.3">
      <c r="A87" s="1402">
        <v>76</v>
      </c>
      <c r="B87" s="1451"/>
      <c r="C87" s="1452"/>
      <c r="D87" s="1436" t="s">
        <v>1116</v>
      </c>
      <c r="E87" s="1453"/>
      <c r="F87" s="1454"/>
      <c r="G87" s="1455"/>
      <c r="H87" s="1456"/>
      <c r="I87" s="1457"/>
      <c r="J87" s="1457">
        <f>SUM(J85:J86)</f>
        <v>98000</v>
      </c>
      <c r="K87" s="1457">
        <f>SUM(K85:K86)</f>
        <v>0</v>
      </c>
      <c r="L87" s="1438">
        <f t="shared" si="0"/>
        <v>98000</v>
      </c>
      <c r="M87" s="1458"/>
    </row>
    <row r="88" spans="1:15" ht="66" x14ac:dyDescent="0.3">
      <c r="A88" s="1402">
        <v>77</v>
      </c>
      <c r="B88" s="1412"/>
      <c r="C88" s="1413">
        <v>16</v>
      </c>
      <c r="D88" s="1464" t="s">
        <v>767</v>
      </c>
      <c r="E88" s="1415">
        <f>F88+G88+L92+M89</f>
        <v>39628</v>
      </c>
      <c r="F88" s="1416">
        <f>11933+7351</f>
        <v>19284</v>
      </c>
      <c r="G88" s="1417">
        <v>12596</v>
      </c>
      <c r="H88" s="1418" t="s">
        <v>24</v>
      </c>
      <c r="I88" s="1419"/>
      <c r="J88" s="1420"/>
      <c r="K88" s="1420"/>
      <c r="L88" s="1421"/>
      <c r="M88" s="1422"/>
    </row>
    <row r="89" spans="1:15" s="1435" customFormat="1" x14ac:dyDescent="0.3">
      <c r="A89" s="1423">
        <v>78</v>
      </c>
      <c r="B89" s="1424"/>
      <c r="C89" s="1425"/>
      <c r="D89" s="1426" t="s">
        <v>311</v>
      </c>
      <c r="E89" s="1427"/>
      <c r="F89" s="1428"/>
      <c r="G89" s="1429"/>
      <c r="H89" s="1430"/>
      <c r="I89" s="1431"/>
      <c r="J89" s="1432">
        <v>13952</v>
      </c>
      <c r="K89" s="1432"/>
      <c r="L89" s="1433">
        <f t="shared" ref="L89:L92" si="24">SUM(I89:K89)</f>
        <v>13952</v>
      </c>
      <c r="M89" s="1434"/>
    </row>
    <row r="90" spans="1:15" s="1435" customFormat="1" x14ac:dyDescent="0.3">
      <c r="A90" s="1402">
        <v>79</v>
      </c>
      <c r="B90" s="1424"/>
      <c r="C90" s="1425"/>
      <c r="D90" s="1436" t="s">
        <v>1064</v>
      </c>
      <c r="E90" s="1427"/>
      <c r="F90" s="1428"/>
      <c r="G90" s="1429"/>
      <c r="H90" s="1430"/>
      <c r="I90" s="1431"/>
      <c r="J90" s="1437">
        <v>7748</v>
      </c>
      <c r="K90" s="1432"/>
      <c r="L90" s="1438">
        <f t="shared" ref="L90" si="25">SUM(I90:K90)</f>
        <v>7748</v>
      </c>
      <c r="M90" s="1434"/>
    </row>
    <row r="91" spans="1:15" s="1450" customFormat="1" x14ac:dyDescent="0.3">
      <c r="A91" s="1402">
        <v>80</v>
      </c>
      <c r="B91" s="1439"/>
      <c r="C91" s="1440"/>
      <c r="D91" s="1441" t="s">
        <v>1012</v>
      </c>
      <c r="E91" s="1442"/>
      <c r="F91" s="1443"/>
      <c r="G91" s="1444"/>
      <c r="H91" s="1445"/>
      <c r="I91" s="1446"/>
      <c r="J91" s="1447"/>
      <c r="K91" s="1447"/>
      <c r="L91" s="1448">
        <f t="shared" si="24"/>
        <v>0</v>
      </c>
      <c r="M91" s="1449"/>
    </row>
    <row r="92" spans="1:15" s="1459" customFormat="1" x14ac:dyDescent="0.3">
      <c r="A92" s="1423">
        <v>81</v>
      </c>
      <c r="B92" s="1451"/>
      <c r="C92" s="1452"/>
      <c r="D92" s="1436" t="s">
        <v>1116</v>
      </c>
      <c r="E92" s="1453"/>
      <c r="F92" s="1454"/>
      <c r="G92" s="1455"/>
      <c r="H92" s="1456"/>
      <c r="I92" s="1457"/>
      <c r="J92" s="1457">
        <f>SUM(J90:J91)</f>
        <v>7748</v>
      </c>
      <c r="K92" s="1457">
        <f>SUM(K90:K91)</f>
        <v>0</v>
      </c>
      <c r="L92" s="1438">
        <f t="shared" si="24"/>
        <v>7748</v>
      </c>
      <c r="M92" s="1458"/>
    </row>
    <row r="93" spans="1:15" ht="16.5" x14ac:dyDescent="0.3">
      <c r="A93" s="1402">
        <v>82</v>
      </c>
      <c r="B93" s="1412"/>
      <c r="C93" s="1460">
        <v>17</v>
      </c>
      <c r="D93" s="1463" t="s">
        <v>768</v>
      </c>
      <c r="E93" s="1415">
        <f>F93+G93+L97+M94</f>
        <v>3058</v>
      </c>
      <c r="F93" s="1416">
        <v>2058</v>
      </c>
      <c r="G93" s="1417">
        <v>269</v>
      </c>
      <c r="H93" s="1418" t="s">
        <v>24</v>
      </c>
      <c r="I93" s="1419"/>
      <c r="J93" s="1420"/>
      <c r="K93" s="1420"/>
      <c r="L93" s="1421"/>
      <c r="M93" s="1422"/>
      <c r="N93" s="264"/>
      <c r="O93" s="264"/>
    </row>
    <row r="94" spans="1:15" s="1435" customFormat="1" x14ac:dyDescent="0.3">
      <c r="A94" s="1402">
        <v>83</v>
      </c>
      <c r="B94" s="1424"/>
      <c r="C94" s="1425"/>
      <c r="D94" s="1426" t="s">
        <v>311</v>
      </c>
      <c r="E94" s="1427"/>
      <c r="F94" s="1428"/>
      <c r="G94" s="1429"/>
      <c r="H94" s="1430"/>
      <c r="I94" s="1431"/>
      <c r="J94" s="1432">
        <v>7173</v>
      </c>
      <c r="K94" s="1432"/>
      <c r="L94" s="1433">
        <f t="shared" si="0"/>
        <v>7173</v>
      </c>
      <c r="M94" s="1434"/>
    </row>
    <row r="95" spans="1:15" s="1435" customFormat="1" x14ac:dyDescent="0.3">
      <c r="A95" s="1423">
        <v>84</v>
      </c>
      <c r="B95" s="1424"/>
      <c r="C95" s="1425"/>
      <c r="D95" s="1436" t="s">
        <v>1064</v>
      </c>
      <c r="E95" s="1427"/>
      <c r="F95" s="1428"/>
      <c r="G95" s="1429"/>
      <c r="H95" s="1430"/>
      <c r="I95" s="1431"/>
      <c r="J95" s="1437">
        <v>731</v>
      </c>
      <c r="K95" s="1432"/>
      <c r="L95" s="1438">
        <f t="shared" ref="L95" si="26">SUM(I95:K95)</f>
        <v>731</v>
      </c>
      <c r="M95" s="1434"/>
    </row>
    <row r="96" spans="1:15" s="1450" customFormat="1" x14ac:dyDescent="0.3">
      <c r="A96" s="1402">
        <v>85</v>
      </c>
      <c r="B96" s="1439"/>
      <c r="C96" s="1440"/>
      <c r="D96" s="1441" t="s">
        <v>1012</v>
      </c>
      <c r="E96" s="1442"/>
      <c r="F96" s="1443"/>
      <c r="G96" s="1444"/>
      <c r="H96" s="1445"/>
      <c r="I96" s="1446"/>
      <c r="J96" s="1447"/>
      <c r="K96" s="1447"/>
      <c r="L96" s="1448">
        <f t="shared" si="0"/>
        <v>0</v>
      </c>
      <c r="M96" s="1449"/>
    </row>
    <row r="97" spans="1:15" s="1459" customFormat="1" x14ac:dyDescent="0.3">
      <c r="A97" s="1402">
        <v>86</v>
      </c>
      <c r="B97" s="1451"/>
      <c r="C97" s="1452"/>
      <c r="D97" s="1436" t="s">
        <v>1116</v>
      </c>
      <c r="E97" s="1453"/>
      <c r="F97" s="1454"/>
      <c r="G97" s="1455"/>
      <c r="H97" s="1456"/>
      <c r="I97" s="1457"/>
      <c r="J97" s="1457">
        <f>SUM(J95:J96)</f>
        <v>731</v>
      </c>
      <c r="K97" s="1457">
        <f t="shared" ref="K97" si="27">SUM(K94:K96)</f>
        <v>0</v>
      </c>
      <c r="L97" s="1438">
        <f t="shared" si="0"/>
        <v>731</v>
      </c>
      <c r="M97" s="1458"/>
    </row>
    <row r="98" spans="1:15" ht="16.5" x14ac:dyDescent="0.3">
      <c r="A98" s="1423">
        <v>87</v>
      </c>
      <c r="B98" s="1412"/>
      <c r="C98" s="1460">
        <v>18</v>
      </c>
      <c r="D98" s="1463" t="s">
        <v>769</v>
      </c>
      <c r="E98" s="1415">
        <f>F98+G98+L102+M99</f>
        <v>3145</v>
      </c>
      <c r="F98" s="1416">
        <f>248+251</f>
        <v>499</v>
      </c>
      <c r="G98" s="1417">
        <v>1455</v>
      </c>
      <c r="H98" s="1418" t="s">
        <v>24</v>
      </c>
      <c r="I98" s="1419"/>
      <c r="J98" s="1420"/>
      <c r="K98" s="1420"/>
      <c r="L98" s="1421"/>
      <c r="M98" s="1422"/>
      <c r="N98" s="266"/>
      <c r="O98" s="264"/>
    </row>
    <row r="99" spans="1:15" s="1435" customFormat="1" x14ac:dyDescent="0.3">
      <c r="A99" s="1402">
        <v>88</v>
      </c>
      <c r="B99" s="1424"/>
      <c r="C99" s="1425"/>
      <c r="D99" s="1426" t="s">
        <v>311</v>
      </c>
      <c r="E99" s="1427"/>
      <c r="F99" s="1428"/>
      <c r="G99" s="1429"/>
      <c r="H99" s="1430"/>
      <c r="I99" s="1431"/>
      <c r="J99" s="1432">
        <v>5046</v>
      </c>
      <c r="K99" s="1432"/>
      <c r="L99" s="1433">
        <f t="shared" ref="L99:L102" si="28">SUM(I99:K99)</f>
        <v>5046</v>
      </c>
      <c r="M99" s="1434"/>
    </row>
    <row r="100" spans="1:15" s="1435" customFormat="1" x14ac:dyDescent="0.3">
      <c r="A100" s="1402">
        <v>89</v>
      </c>
      <c r="B100" s="1424"/>
      <c r="C100" s="1425"/>
      <c r="D100" s="1436" t="s">
        <v>1064</v>
      </c>
      <c r="E100" s="1427"/>
      <c r="F100" s="1428"/>
      <c r="G100" s="1429"/>
      <c r="H100" s="1430"/>
      <c r="I100" s="1431"/>
      <c r="J100" s="1437">
        <v>1191</v>
      </c>
      <c r="K100" s="1432"/>
      <c r="L100" s="1438">
        <f t="shared" ref="L100" si="29">SUM(I100:K100)</f>
        <v>1191</v>
      </c>
      <c r="M100" s="1434"/>
    </row>
    <row r="101" spans="1:15" s="1450" customFormat="1" x14ac:dyDescent="0.3">
      <c r="A101" s="1423">
        <v>90</v>
      </c>
      <c r="B101" s="1439"/>
      <c r="C101" s="1440"/>
      <c r="D101" s="1441" t="s">
        <v>1012</v>
      </c>
      <c r="E101" s="1442"/>
      <c r="F101" s="1443"/>
      <c r="G101" s="1444"/>
      <c r="H101" s="1445"/>
      <c r="I101" s="1446"/>
      <c r="J101" s="1447"/>
      <c r="K101" s="1447"/>
      <c r="L101" s="1448">
        <f t="shared" si="28"/>
        <v>0</v>
      </c>
      <c r="M101" s="1449"/>
    </row>
    <row r="102" spans="1:15" s="1459" customFormat="1" x14ac:dyDescent="0.3">
      <c r="A102" s="1402">
        <v>91</v>
      </c>
      <c r="B102" s="1451"/>
      <c r="C102" s="1452"/>
      <c r="D102" s="1436" t="s">
        <v>1116</v>
      </c>
      <c r="E102" s="1453"/>
      <c r="F102" s="1454"/>
      <c r="G102" s="1455"/>
      <c r="H102" s="1456"/>
      <c r="I102" s="1457"/>
      <c r="J102" s="1457">
        <f>SUM(J100:J101)</f>
        <v>1191</v>
      </c>
      <c r="K102" s="1457">
        <f>SUM(K100:K101)</f>
        <v>0</v>
      </c>
      <c r="L102" s="1438">
        <f t="shared" si="28"/>
        <v>1191</v>
      </c>
      <c r="M102" s="1458"/>
    </row>
    <row r="103" spans="1:15" ht="33" x14ac:dyDescent="0.3">
      <c r="A103" s="1402">
        <v>92</v>
      </c>
      <c r="B103" s="1412"/>
      <c r="C103" s="1413">
        <v>19</v>
      </c>
      <c r="D103" s="1414" t="s">
        <v>800</v>
      </c>
      <c r="E103" s="1415">
        <f>F103+G103+L107+M104</f>
        <v>9000</v>
      </c>
      <c r="F103" s="1416">
        <f>3500+2500</f>
        <v>6000</v>
      </c>
      <c r="G103" s="1417">
        <v>3000</v>
      </c>
      <c r="H103" s="1418" t="s">
        <v>24</v>
      </c>
      <c r="I103" s="1419"/>
      <c r="J103" s="1420"/>
      <c r="K103" s="1420"/>
      <c r="L103" s="1421"/>
      <c r="M103" s="1422"/>
      <c r="N103" s="266"/>
      <c r="O103" s="264"/>
    </row>
    <row r="104" spans="1:15" s="1435" customFormat="1" x14ac:dyDescent="0.3">
      <c r="A104" s="1423">
        <v>93</v>
      </c>
      <c r="B104" s="1424"/>
      <c r="C104" s="1425"/>
      <c r="D104" s="1426" t="s">
        <v>311</v>
      </c>
      <c r="E104" s="1427"/>
      <c r="F104" s="1428"/>
      <c r="G104" s="1429"/>
      <c r="H104" s="1430"/>
      <c r="I104" s="1431"/>
      <c r="J104" s="1432">
        <v>2000</v>
      </c>
      <c r="K104" s="1432"/>
      <c r="L104" s="1433">
        <f t="shared" si="0"/>
        <v>2000</v>
      </c>
      <c r="M104" s="1434"/>
    </row>
    <row r="105" spans="1:15" s="1435" customFormat="1" x14ac:dyDescent="0.3">
      <c r="A105" s="1402">
        <v>94</v>
      </c>
      <c r="B105" s="1424"/>
      <c r="C105" s="1425"/>
      <c r="D105" s="1436" t="s">
        <v>1064</v>
      </c>
      <c r="E105" s="1427"/>
      <c r="F105" s="1428"/>
      <c r="G105" s="1429"/>
      <c r="H105" s="1430"/>
      <c r="I105" s="1431"/>
      <c r="J105" s="1437">
        <v>0</v>
      </c>
      <c r="K105" s="1432"/>
      <c r="L105" s="1438">
        <f t="shared" ref="L105" si="30">SUM(I105:K105)</f>
        <v>0</v>
      </c>
      <c r="M105" s="1434"/>
    </row>
    <row r="106" spans="1:15" s="1450" customFormat="1" x14ac:dyDescent="0.3">
      <c r="A106" s="1402">
        <v>95</v>
      </c>
      <c r="B106" s="1439"/>
      <c r="C106" s="1440"/>
      <c r="D106" s="1441" t="s">
        <v>1001</v>
      </c>
      <c r="E106" s="1442"/>
      <c r="F106" s="1443"/>
      <c r="G106" s="1444"/>
      <c r="H106" s="1445"/>
      <c r="I106" s="1446"/>
      <c r="J106" s="1447"/>
      <c r="K106" s="1447"/>
      <c r="L106" s="1448">
        <f t="shared" si="0"/>
        <v>0</v>
      </c>
      <c r="M106" s="1449"/>
    </row>
    <row r="107" spans="1:15" s="1459" customFormat="1" x14ac:dyDescent="0.3">
      <c r="A107" s="1423">
        <v>96</v>
      </c>
      <c r="B107" s="1451"/>
      <c r="C107" s="1452"/>
      <c r="D107" s="1436" t="s">
        <v>1116</v>
      </c>
      <c r="E107" s="1453"/>
      <c r="F107" s="1454"/>
      <c r="G107" s="1455"/>
      <c r="H107" s="1456"/>
      <c r="I107" s="1457"/>
      <c r="J107" s="1457">
        <f>SUM(J105:J106)</f>
        <v>0</v>
      </c>
      <c r="K107" s="1457">
        <f>SUM(K105:K106)</f>
        <v>0</v>
      </c>
      <c r="L107" s="1438">
        <f t="shared" si="0"/>
        <v>0</v>
      </c>
      <c r="M107" s="1458"/>
    </row>
    <row r="108" spans="1:15" ht="16.5" x14ac:dyDescent="0.3">
      <c r="A108" s="1402">
        <v>97</v>
      </c>
      <c r="B108" s="1412"/>
      <c r="C108" s="1460">
        <v>20</v>
      </c>
      <c r="D108" s="150" t="s">
        <v>770</v>
      </c>
      <c r="E108" s="1415">
        <f>F108+G108+L112+M109</f>
        <v>29323</v>
      </c>
      <c r="F108" s="1416"/>
      <c r="G108" s="1417">
        <v>29323</v>
      </c>
      <c r="H108" s="1418" t="s">
        <v>24</v>
      </c>
      <c r="I108" s="1419"/>
      <c r="J108" s="1420"/>
      <c r="K108" s="1420"/>
      <c r="L108" s="1421"/>
      <c r="M108" s="1422"/>
      <c r="N108" s="266"/>
      <c r="O108" s="264"/>
    </row>
    <row r="109" spans="1:15" s="1435" customFormat="1" x14ac:dyDescent="0.3">
      <c r="A109" s="1402">
        <v>98</v>
      </c>
      <c r="B109" s="1424"/>
      <c r="C109" s="1425"/>
      <c r="D109" s="1426" t="s">
        <v>311</v>
      </c>
      <c r="E109" s="1427"/>
      <c r="F109" s="1428"/>
      <c r="G109" s="1429"/>
      <c r="H109" s="1430"/>
      <c r="I109" s="1431"/>
      <c r="J109" s="1432">
        <v>677</v>
      </c>
      <c r="K109" s="1432"/>
      <c r="L109" s="1433">
        <f t="shared" ref="L109:L112" si="31">SUM(I109:K109)</f>
        <v>677</v>
      </c>
      <c r="M109" s="1434"/>
    </row>
    <row r="110" spans="1:15" s="1435" customFormat="1" x14ac:dyDescent="0.3">
      <c r="A110" s="1423">
        <v>99</v>
      </c>
      <c r="B110" s="1424"/>
      <c r="C110" s="1425"/>
      <c r="D110" s="1436" t="s">
        <v>1064</v>
      </c>
      <c r="E110" s="1427"/>
      <c r="F110" s="1428"/>
      <c r="G110" s="1429"/>
      <c r="H110" s="1430"/>
      <c r="I110" s="1431"/>
      <c r="J110" s="1437">
        <v>0</v>
      </c>
      <c r="K110" s="1432"/>
      <c r="L110" s="1438">
        <f t="shared" ref="L110" si="32">SUM(I110:K110)</f>
        <v>0</v>
      </c>
      <c r="M110" s="1434"/>
    </row>
    <row r="111" spans="1:15" s="1450" customFormat="1" x14ac:dyDescent="0.3">
      <c r="A111" s="1402">
        <v>100</v>
      </c>
      <c r="B111" s="1439"/>
      <c r="C111" s="1440"/>
      <c r="D111" s="1441" t="s">
        <v>990</v>
      </c>
      <c r="E111" s="1442"/>
      <c r="F111" s="1443"/>
      <c r="G111" s="1444"/>
      <c r="H111" s="1445"/>
      <c r="I111" s="1446"/>
      <c r="J111" s="1447"/>
      <c r="K111" s="1447"/>
      <c r="L111" s="1448">
        <f t="shared" si="31"/>
        <v>0</v>
      </c>
      <c r="M111" s="1449"/>
    </row>
    <row r="112" spans="1:15" s="1459" customFormat="1" x14ac:dyDescent="0.3">
      <c r="A112" s="1402">
        <v>101</v>
      </c>
      <c r="B112" s="1451"/>
      <c r="C112" s="1452"/>
      <c r="D112" s="1436" t="s">
        <v>1116</v>
      </c>
      <c r="E112" s="1453"/>
      <c r="F112" s="1454"/>
      <c r="G112" s="1455"/>
      <c r="H112" s="1456"/>
      <c r="I112" s="1457"/>
      <c r="J112" s="1457">
        <f>SUM(J110:J111)</f>
        <v>0</v>
      </c>
      <c r="K112" s="1457">
        <f>SUM(K110:K111)</f>
        <v>0</v>
      </c>
      <c r="L112" s="1438">
        <f t="shared" si="31"/>
        <v>0</v>
      </c>
      <c r="M112" s="1458"/>
    </row>
    <row r="113" spans="1:13" ht="16.5" x14ac:dyDescent="0.3">
      <c r="A113" s="1423">
        <v>102</v>
      </c>
      <c r="B113" s="1412"/>
      <c r="C113" s="1460">
        <v>21</v>
      </c>
      <c r="D113" s="150" t="s">
        <v>715</v>
      </c>
      <c r="E113" s="1415">
        <f>F113+G113+L117+M114</f>
        <v>15536</v>
      </c>
      <c r="F113" s="1416">
        <v>11091</v>
      </c>
      <c r="G113" s="1417"/>
      <c r="H113" s="1418" t="s">
        <v>24</v>
      </c>
      <c r="I113" s="1419"/>
      <c r="J113" s="1420"/>
      <c r="K113" s="1420"/>
      <c r="L113" s="1421"/>
      <c r="M113" s="1422"/>
    </row>
    <row r="114" spans="1:13" s="1435" customFormat="1" x14ac:dyDescent="0.3">
      <c r="A114" s="1402">
        <v>103</v>
      </c>
      <c r="B114" s="1424"/>
      <c r="C114" s="1425"/>
      <c r="D114" s="1426" t="s">
        <v>311</v>
      </c>
      <c r="E114" s="1427"/>
      <c r="F114" s="1428"/>
      <c r="G114" s="1429"/>
      <c r="H114" s="1430"/>
      <c r="I114" s="1431"/>
      <c r="J114" s="1432">
        <v>5309</v>
      </c>
      <c r="K114" s="1432"/>
      <c r="L114" s="1433">
        <f t="shared" si="0"/>
        <v>5309</v>
      </c>
      <c r="M114" s="1434"/>
    </row>
    <row r="115" spans="1:13" s="1435" customFormat="1" x14ac:dyDescent="0.3">
      <c r="A115" s="1402">
        <v>104</v>
      </c>
      <c r="B115" s="1424"/>
      <c r="C115" s="1425"/>
      <c r="D115" s="1436" t="s">
        <v>1064</v>
      </c>
      <c r="E115" s="1427"/>
      <c r="F115" s="1428"/>
      <c r="G115" s="1429"/>
      <c r="H115" s="1430"/>
      <c r="I115" s="1431"/>
      <c r="J115" s="1437">
        <v>4445</v>
      </c>
      <c r="K115" s="1432"/>
      <c r="L115" s="1438">
        <f t="shared" ref="L115" si="33">SUM(I115:K115)</f>
        <v>4445</v>
      </c>
      <c r="M115" s="1434"/>
    </row>
    <row r="116" spans="1:13" s="1450" customFormat="1" x14ac:dyDescent="0.3">
      <c r="A116" s="1423">
        <v>105</v>
      </c>
      <c r="B116" s="1439"/>
      <c r="C116" s="1440"/>
      <c r="D116" s="1441" t="s">
        <v>1012</v>
      </c>
      <c r="E116" s="1442"/>
      <c r="F116" s="1443"/>
      <c r="G116" s="1444"/>
      <c r="H116" s="1445"/>
      <c r="I116" s="1446"/>
      <c r="J116" s="1447"/>
      <c r="K116" s="1447"/>
      <c r="L116" s="1448">
        <f t="shared" si="0"/>
        <v>0</v>
      </c>
      <c r="M116" s="1449"/>
    </row>
    <row r="117" spans="1:13" s="1459" customFormat="1" x14ac:dyDescent="0.3">
      <c r="A117" s="1402">
        <v>106</v>
      </c>
      <c r="B117" s="1451"/>
      <c r="C117" s="1452"/>
      <c r="D117" s="1436" t="s">
        <v>1116</v>
      </c>
      <c r="E117" s="1453"/>
      <c r="F117" s="1454"/>
      <c r="G117" s="1455"/>
      <c r="H117" s="1456"/>
      <c r="I117" s="1457"/>
      <c r="J117" s="1457">
        <f>SUM(J115:J116)</f>
        <v>4445</v>
      </c>
      <c r="K117" s="1457">
        <f>SUM(K115:K116)</f>
        <v>0</v>
      </c>
      <c r="L117" s="1438">
        <f t="shared" si="0"/>
        <v>4445</v>
      </c>
      <c r="M117" s="1458"/>
    </row>
    <row r="118" spans="1:13" ht="33" x14ac:dyDescent="0.3">
      <c r="A118" s="1402">
        <v>107</v>
      </c>
      <c r="B118" s="1412"/>
      <c r="C118" s="1413">
        <v>22</v>
      </c>
      <c r="D118" s="1414" t="s">
        <v>771</v>
      </c>
      <c r="E118" s="1415">
        <f>F118+G118+L122+M119</f>
        <v>19000</v>
      </c>
      <c r="F118" s="1416"/>
      <c r="G118" s="1417"/>
      <c r="H118" s="1418" t="s">
        <v>24</v>
      </c>
      <c r="I118" s="1419"/>
      <c r="J118" s="1420"/>
      <c r="K118" s="1420"/>
      <c r="L118" s="1421"/>
      <c r="M118" s="1422"/>
    </row>
    <row r="119" spans="1:13" s="1435" customFormat="1" x14ac:dyDescent="0.3">
      <c r="A119" s="1423">
        <v>108</v>
      </c>
      <c r="B119" s="1424"/>
      <c r="C119" s="1425"/>
      <c r="D119" s="1426" t="s">
        <v>311</v>
      </c>
      <c r="E119" s="1427"/>
      <c r="F119" s="1428"/>
      <c r="G119" s="1429"/>
      <c r="H119" s="1430"/>
      <c r="I119" s="1431"/>
      <c r="J119" s="1432">
        <v>19000</v>
      </c>
      <c r="K119" s="1432"/>
      <c r="L119" s="1433">
        <f t="shared" ref="L119:L122" si="34">SUM(I119:K119)</f>
        <v>19000</v>
      </c>
      <c r="M119" s="1434"/>
    </row>
    <row r="120" spans="1:13" s="1435" customFormat="1" x14ac:dyDescent="0.3">
      <c r="A120" s="1402">
        <v>109</v>
      </c>
      <c r="B120" s="1424"/>
      <c r="C120" s="1425"/>
      <c r="D120" s="1436" t="s">
        <v>1064</v>
      </c>
      <c r="E120" s="1427"/>
      <c r="F120" s="1428"/>
      <c r="G120" s="1429"/>
      <c r="H120" s="1430"/>
      <c r="I120" s="1431"/>
      <c r="J120" s="1437">
        <v>19000</v>
      </c>
      <c r="K120" s="1432"/>
      <c r="L120" s="1438">
        <f t="shared" ref="L120" si="35">SUM(I120:K120)</f>
        <v>19000</v>
      </c>
      <c r="M120" s="1434"/>
    </row>
    <row r="121" spans="1:13" s="1450" customFormat="1" x14ac:dyDescent="0.3">
      <c r="A121" s="1402">
        <v>110</v>
      </c>
      <c r="B121" s="1439"/>
      <c r="C121" s="1440"/>
      <c r="D121" s="1441" t="s">
        <v>999</v>
      </c>
      <c r="E121" s="1442"/>
      <c r="F121" s="1443"/>
      <c r="G121" s="1444"/>
      <c r="H121" s="1445"/>
      <c r="I121" s="1446"/>
      <c r="J121" s="1447"/>
      <c r="K121" s="1447"/>
      <c r="L121" s="1448">
        <f t="shared" si="34"/>
        <v>0</v>
      </c>
      <c r="M121" s="1449"/>
    </row>
    <row r="122" spans="1:13" s="1459" customFormat="1" x14ac:dyDescent="0.3">
      <c r="A122" s="1423">
        <v>111</v>
      </c>
      <c r="B122" s="1451"/>
      <c r="C122" s="1452"/>
      <c r="D122" s="1436" t="s">
        <v>1116</v>
      </c>
      <c r="E122" s="1453"/>
      <c r="F122" s="1454"/>
      <c r="G122" s="1455"/>
      <c r="H122" s="1456"/>
      <c r="I122" s="1457"/>
      <c r="J122" s="1457">
        <f>SUM(J120:J121)</f>
        <v>19000</v>
      </c>
      <c r="K122" s="1457">
        <f>SUM(K120:K121)</f>
        <v>0</v>
      </c>
      <c r="L122" s="1438">
        <f t="shared" si="34"/>
        <v>19000</v>
      </c>
      <c r="M122" s="1458"/>
    </row>
    <row r="123" spans="1:13" ht="16.5" x14ac:dyDescent="0.3">
      <c r="A123" s="1402">
        <v>112</v>
      </c>
      <c r="B123" s="1412"/>
      <c r="C123" s="1460">
        <v>23</v>
      </c>
      <c r="D123" s="150" t="s">
        <v>573</v>
      </c>
      <c r="E123" s="1415">
        <f>F123+G123+L127+M124</f>
        <v>39198</v>
      </c>
      <c r="F123" s="1416">
        <v>8127</v>
      </c>
      <c r="G123" s="1417">
        <v>11065</v>
      </c>
      <c r="H123" s="1418" t="s">
        <v>24</v>
      </c>
      <c r="I123" s="1419"/>
      <c r="J123" s="1420"/>
      <c r="K123" s="1420"/>
      <c r="L123" s="1421"/>
      <c r="M123" s="1422"/>
    </row>
    <row r="124" spans="1:13" s="1435" customFormat="1" x14ac:dyDescent="0.3">
      <c r="A124" s="1402">
        <v>113</v>
      </c>
      <c r="B124" s="1424"/>
      <c r="C124" s="1425"/>
      <c r="D124" s="1426" t="s">
        <v>311</v>
      </c>
      <c r="E124" s="1427"/>
      <c r="F124" s="1428"/>
      <c r="G124" s="1429"/>
      <c r="H124" s="1430"/>
      <c r="I124" s="1431">
        <v>9612</v>
      </c>
      <c r="J124" s="1432">
        <v>11194</v>
      </c>
      <c r="K124" s="1432"/>
      <c r="L124" s="1433">
        <f t="shared" si="0"/>
        <v>20806</v>
      </c>
      <c r="M124" s="1434"/>
    </row>
    <row r="125" spans="1:13" s="1435" customFormat="1" x14ac:dyDescent="0.3">
      <c r="A125" s="1423">
        <v>114</v>
      </c>
      <c r="B125" s="1424"/>
      <c r="C125" s="1425"/>
      <c r="D125" s="1436" t="s">
        <v>1064</v>
      </c>
      <c r="E125" s="1427"/>
      <c r="F125" s="1428"/>
      <c r="G125" s="1429"/>
      <c r="H125" s="1430"/>
      <c r="I125" s="1457">
        <v>9612</v>
      </c>
      <c r="J125" s="1437">
        <v>11194</v>
      </c>
      <c r="K125" s="1432"/>
      <c r="L125" s="1438">
        <f t="shared" ref="L125" si="36">SUM(I125:K125)</f>
        <v>20806</v>
      </c>
      <c r="M125" s="1434"/>
    </row>
    <row r="126" spans="1:13" s="1450" customFormat="1" x14ac:dyDescent="0.3">
      <c r="A126" s="1402">
        <v>115</v>
      </c>
      <c r="B126" s="1439"/>
      <c r="C126" s="1440"/>
      <c r="D126" s="1441" t="s">
        <v>990</v>
      </c>
      <c r="E126" s="1442"/>
      <c r="F126" s="1443"/>
      <c r="G126" s="1444"/>
      <c r="H126" s="1445"/>
      <c r="I126" s="1446"/>
      <c r="J126" s="1447">
        <v>-800</v>
      </c>
      <c r="K126" s="1447"/>
      <c r="L126" s="1448">
        <f t="shared" si="0"/>
        <v>-800</v>
      </c>
      <c r="M126" s="1449"/>
    </row>
    <row r="127" spans="1:13" s="1459" customFormat="1" x14ac:dyDescent="0.3">
      <c r="A127" s="1402">
        <v>116</v>
      </c>
      <c r="B127" s="1451"/>
      <c r="C127" s="1452"/>
      <c r="D127" s="1436" t="s">
        <v>1116</v>
      </c>
      <c r="E127" s="1453"/>
      <c r="F127" s="1454"/>
      <c r="G127" s="1455"/>
      <c r="H127" s="1456"/>
      <c r="I127" s="1457">
        <f>SUM(I125:I126)</f>
        <v>9612</v>
      </c>
      <c r="J127" s="1457">
        <f>SUM(J125:J126)</f>
        <v>10394</v>
      </c>
      <c r="K127" s="1457">
        <f t="shared" ref="K127" si="37">SUM(K124:K126)</f>
        <v>0</v>
      </c>
      <c r="L127" s="1438">
        <f t="shared" si="0"/>
        <v>20006</v>
      </c>
      <c r="M127" s="1458"/>
    </row>
    <row r="128" spans="1:13" ht="16.5" x14ac:dyDescent="0.3">
      <c r="A128" s="1423">
        <v>117</v>
      </c>
      <c r="B128" s="1412"/>
      <c r="C128" s="1460">
        <v>24</v>
      </c>
      <c r="D128" s="150" t="s">
        <v>801</v>
      </c>
      <c r="E128" s="1415">
        <f>F128+G128+L132+M129</f>
        <v>3120</v>
      </c>
      <c r="F128" s="1416"/>
      <c r="G128" s="1417"/>
      <c r="H128" s="1418" t="s">
        <v>24</v>
      </c>
      <c r="I128" s="1419"/>
      <c r="J128" s="1420"/>
      <c r="K128" s="1420"/>
      <c r="L128" s="1421"/>
      <c r="M128" s="1422"/>
    </row>
    <row r="129" spans="1:13" s="1435" customFormat="1" x14ac:dyDescent="0.3">
      <c r="A129" s="1402">
        <v>118</v>
      </c>
      <c r="B129" s="1424"/>
      <c r="C129" s="1425"/>
      <c r="D129" s="1426" t="s">
        <v>311</v>
      </c>
      <c r="E129" s="1427"/>
      <c r="F129" s="1428"/>
      <c r="G129" s="1429"/>
      <c r="H129" s="1430"/>
      <c r="I129" s="1431"/>
      <c r="J129" s="1432">
        <v>7620</v>
      </c>
      <c r="K129" s="1432"/>
      <c r="L129" s="1433">
        <f t="shared" ref="L129:L132" si="38">SUM(I129:K129)</f>
        <v>7620</v>
      </c>
      <c r="M129" s="1434"/>
    </row>
    <row r="130" spans="1:13" s="1435" customFormat="1" x14ac:dyDescent="0.3">
      <c r="A130" s="1402">
        <v>119</v>
      </c>
      <c r="B130" s="1424"/>
      <c r="C130" s="1425"/>
      <c r="D130" s="1436" t="s">
        <v>1064</v>
      </c>
      <c r="E130" s="1427"/>
      <c r="F130" s="1428"/>
      <c r="G130" s="1429"/>
      <c r="H130" s="1430"/>
      <c r="I130" s="1431"/>
      <c r="J130" s="1437">
        <v>7620</v>
      </c>
      <c r="K130" s="1432"/>
      <c r="L130" s="1438">
        <f t="shared" ref="L130" si="39">SUM(I130:K130)</f>
        <v>7620</v>
      </c>
      <c r="M130" s="1434"/>
    </row>
    <row r="131" spans="1:13" s="1450" customFormat="1" x14ac:dyDescent="0.3">
      <c r="A131" s="1423">
        <v>120</v>
      </c>
      <c r="B131" s="1439"/>
      <c r="C131" s="1440"/>
      <c r="D131" s="1441" t="s">
        <v>990</v>
      </c>
      <c r="E131" s="1442"/>
      <c r="F131" s="1443"/>
      <c r="G131" s="1444"/>
      <c r="H131" s="1445"/>
      <c r="I131" s="1446"/>
      <c r="J131" s="1447">
        <v>-4500</v>
      </c>
      <c r="K131" s="1447"/>
      <c r="L131" s="1448">
        <f t="shared" si="38"/>
        <v>-4500</v>
      </c>
      <c r="M131" s="1449"/>
    </row>
    <row r="132" spans="1:13" s="1459" customFormat="1" x14ac:dyDescent="0.3">
      <c r="A132" s="1402">
        <v>121</v>
      </c>
      <c r="B132" s="1451"/>
      <c r="C132" s="1452"/>
      <c r="D132" s="1436" t="s">
        <v>1116</v>
      </c>
      <c r="E132" s="1453"/>
      <c r="F132" s="1454"/>
      <c r="G132" s="1455"/>
      <c r="H132" s="1456"/>
      <c r="I132" s="1457">
        <f>SUM(I131)</f>
        <v>0</v>
      </c>
      <c r="J132" s="1457">
        <f>SUM(J130:J131)</f>
        <v>3120</v>
      </c>
      <c r="K132" s="1457">
        <f>SUM(K130:K131)</f>
        <v>0</v>
      </c>
      <c r="L132" s="1438">
        <f t="shared" si="38"/>
        <v>3120</v>
      </c>
      <c r="M132" s="1458"/>
    </row>
    <row r="133" spans="1:13" ht="33" x14ac:dyDescent="0.3">
      <c r="A133" s="1402">
        <v>122</v>
      </c>
      <c r="B133" s="1412"/>
      <c r="C133" s="1413">
        <v>25</v>
      </c>
      <c r="D133" s="1414" t="s">
        <v>802</v>
      </c>
      <c r="E133" s="1415">
        <f>F133+G133+L137+M134</f>
        <v>21891</v>
      </c>
      <c r="F133" s="1416"/>
      <c r="G133" s="1417"/>
      <c r="H133" s="1418" t="s">
        <v>24</v>
      </c>
      <c r="I133" s="1419"/>
      <c r="J133" s="1420"/>
      <c r="K133" s="1420"/>
      <c r="L133" s="1421"/>
      <c r="M133" s="1422"/>
    </row>
    <row r="134" spans="1:13" s="1435" customFormat="1" x14ac:dyDescent="0.3">
      <c r="A134" s="1423">
        <v>123</v>
      </c>
      <c r="B134" s="1424"/>
      <c r="C134" s="1425"/>
      <c r="D134" s="1426" t="s">
        <v>311</v>
      </c>
      <c r="E134" s="1427"/>
      <c r="F134" s="1428"/>
      <c r="G134" s="1429"/>
      <c r="H134" s="1430"/>
      <c r="I134" s="1431"/>
      <c r="J134" s="1432">
        <v>21891</v>
      </c>
      <c r="K134" s="1432"/>
      <c r="L134" s="1433">
        <f t="shared" si="0"/>
        <v>21891</v>
      </c>
      <c r="M134" s="1434"/>
    </row>
    <row r="135" spans="1:13" s="1435" customFormat="1" x14ac:dyDescent="0.3">
      <c r="A135" s="1402">
        <v>124</v>
      </c>
      <c r="B135" s="1424"/>
      <c r="C135" s="1425"/>
      <c r="D135" s="1436" t="s">
        <v>1064</v>
      </c>
      <c r="E135" s="1427"/>
      <c r="F135" s="1428"/>
      <c r="G135" s="1429"/>
      <c r="H135" s="1430"/>
      <c r="I135" s="1431"/>
      <c r="J135" s="1437">
        <v>21891</v>
      </c>
      <c r="K135" s="1432"/>
      <c r="L135" s="1438">
        <f t="shared" ref="L135" si="40">SUM(I135:K135)</f>
        <v>21891</v>
      </c>
      <c r="M135" s="1434"/>
    </row>
    <row r="136" spans="1:13" s="1450" customFormat="1" x14ac:dyDescent="0.3">
      <c r="A136" s="1402">
        <v>125</v>
      </c>
      <c r="B136" s="1439"/>
      <c r="C136" s="1440"/>
      <c r="D136" s="1441" t="s">
        <v>999</v>
      </c>
      <c r="E136" s="1442"/>
      <c r="F136" s="1443"/>
      <c r="G136" s="1444"/>
      <c r="H136" s="1445"/>
      <c r="I136" s="1446"/>
      <c r="J136" s="1447"/>
      <c r="K136" s="1447"/>
      <c r="L136" s="1448">
        <f t="shared" si="0"/>
        <v>0</v>
      </c>
      <c r="M136" s="1449"/>
    </row>
    <row r="137" spans="1:13" s="1459" customFormat="1" x14ac:dyDescent="0.3">
      <c r="A137" s="1423">
        <v>126</v>
      </c>
      <c r="B137" s="1451"/>
      <c r="C137" s="1452"/>
      <c r="D137" s="1436" t="s">
        <v>1116</v>
      </c>
      <c r="E137" s="1453"/>
      <c r="F137" s="1454"/>
      <c r="G137" s="1455"/>
      <c r="H137" s="1456"/>
      <c r="I137" s="1457"/>
      <c r="J137" s="1457">
        <f>SUM(J135:J136)</f>
        <v>21891</v>
      </c>
      <c r="K137" s="1457">
        <f>SUM(K135:K136)</f>
        <v>0</v>
      </c>
      <c r="L137" s="1438">
        <f t="shared" si="0"/>
        <v>21891</v>
      </c>
      <c r="M137" s="1458"/>
    </row>
    <row r="138" spans="1:13" ht="49.5" x14ac:dyDescent="0.3">
      <c r="A138" s="1402">
        <v>127</v>
      </c>
      <c r="B138" s="1412"/>
      <c r="C138" s="1413">
        <v>26</v>
      </c>
      <c r="D138" s="1414" t="s">
        <v>803</v>
      </c>
      <c r="E138" s="1415">
        <f>F138+G138+L142+M139</f>
        <v>20620</v>
      </c>
      <c r="F138" s="1416"/>
      <c r="G138" s="1417"/>
      <c r="H138" s="1418" t="s">
        <v>24</v>
      </c>
      <c r="I138" s="1419"/>
      <c r="J138" s="1420"/>
      <c r="K138" s="1420"/>
      <c r="L138" s="1421"/>
      <c r="M138" s="1422"/>
    </row>
    <row r="139" spans="1:13" s="1435" customFormat="1" x14ac:dyDescent="0.3">
      <c r="A139" s="1402">
        <v>128</v>
      </c>
      <c r="B139" s="1424"/>
      <c r="C139" s="1425"/>
      <c r="D139" s="1426" t="s">
        <v>311</v>
      </c>
      <c r="E139" s="1427"/>
      <c r="F139" s="1428"/>
      <c r="G139" s="1429"/>
      <c r="H139" s="1430"/>
      <c r="I139" s="1431"/>
      <c r="J139" s="1432">
        <v>20620</v>
      </c>
      <c r="K139" s="1432"/>
      <c r="L139" s="1433">
        <f t="shared" ref="L139:L142" si="41">SUM(I139:K139)</f>
        <v>20620</v>
      </c>
      <c r="M139" s="1434"/>
    </row>
    <row r="140" spans="1:13" s="1435" customFormat="1" x14ac:dyDescent="0.3">
      <c r="A140" s="1423">
        <v>129</v>
      </c>
      <c r="B140" s="1424"/>
      <c r="C140" s="1425"/>
      <c r="D140" s="1436" t="s">
        <v>1064</v>
      </c>
      <c r="E140" s="1427"/>
      <c r="F140" s="1428"/>
      <c r="G140" s="1429"/>
      <c r="H140" s="1430"/>
      <c r="I140" s="1431"/>
      <c r="J140" s="1437">
        <v>20620</v>
      </c>
      <c r="K140" s="1432"/>
      <c r="L140" s="1438">
        <f t="shared" ref="L140" si="42">SUM(I140:K140)</f>
        <v>20620</v>
      </c>
      <c r="M140" s="1434"/>
    </row>
    <row r="141" spans="1:13" s="1450" customFormat="1" x14ac:dyDescent="0.3">
      <c r="A141" s="1402">
        <v>130</v>
      </c>
      <c r="B141" s="1439"/>
      <c r="C141" s="1440"/>
      <c r="D141" s="1441" t="s">
        <v>999</v>
      </c>
      <c r="E141" s="1442"/>
      <c r="F141" s="1443"/>
      <c r="G141" s="1444"/>
      <c r="H141" s="1445"/>
      <c r="I141" s="1446"/>
      <c r="J141" s="1447"/>
      <c r="K141" s="1447"/>
      <c r="L141" s="1448">
        <f t="shared" si="41"/>
        <v>0</v>
      </c>
      <c r="M141" s="1449"/>
    </row>
    <row r="142" spans="1:13" s="1459" customFormat="1" x14ac:dyDescent="0.3">
      <c r="A142" s="1402">
        <v>131</v>
      </c>
      <c r="B142" s="1451"/>
      <c r="C142" s="1452"/>
      <c r="D142" s="1436" t="s">
        <v>1116</v>
      </c>
      <c r="E142" s="1453"/>
      <c r="F142" s="1454"/>
      <c r="G142" s="1455"/>
      <c r="H142" s="1456"/>
      <c r="I142" s="1457"/>
      <c r="J142" s="1457">
        <f>SUM(J140:J141)</f>
        <v>20620</v>
      </c>
      <c r="K142" s="1457">
        <f>SUM(K140:K141)</f>
        <v>0</v>
      </c>
      <c r="L142" s="1438">
        <f t="shared" si="41"/>
        <v>20620</v>
      </c>
      <c r="M142" s="1458"/>
    </row>
    <row r="143" spans="1:13" ht="49.5" x14ac:dyDescent="0.3">
      <c r="A143" s="1423">
        <v>132</v>
      </c>
      <c r="B143" s="1412"/>
      <c r="C143" s="1413">
        <v>27</v>
      </c>
      <c r="D143" s="1414" t="s">
        <v>804</v>
      </c>
      <c r="E143" s="1415">
        <f>F143+G143+L147+M144</f>
        <v>4802</v>
      </c>
      <c r="F143" s="1416"/>
      <c r="G143" s="1417"/>
      <c r="H143" s="1418" t="s">
        <v>24</v>
      </c>
      <c r="I143" s="1419"/>
      <c r="J143" s="1420"/>
      <c r="K143" s="1420"/>
      <c r="L143" s="1421"/>
      <c r="M143" s="1422"/>
    </row>
    <row r="144" spans="1:13" s="1435" customFormat="1" x14ac:dyDescent="0.3">
      <c r="A144" s="1402">
        <v>133</v>
      </c>
      <c r="B144" s="1424"/>
      <c r="C144" s="1425"/>
      <c r="D144" s="1426" t="s">
        <v>311</v>
      </c>
      <c r="E144" s="1427"/>
      <c r="F144" s="1428"/>
      <c r="G144" s="1429"/>
      <c r="H144" s="1430"/>
      <c r="I144" s="1431"/>
      <c r="J144" s="1432">
        <v>4802</v>
      </c>
      <c r="K144" s="1432"/>
      <c r="L144" s="1433">
        <f t="shared" si="0"/>
        <v>4802</v>
      </c>
      <c r="M144" s="1434"/>
    </row>
    <row r="145" spans="1:13" s="1435" customFormat="1" x14ac:dyDescent="0.3">
      <c r="A145" s="1402">
        <v>134</v>
      </c>
      <c r="B145" s="1424"/>
      <c r="C145" s="1425"/>
      <c r="D145" s="1436" t="s">
        <v>1064</v>
      </c>
      <c r="E145" s="1427"/>
      <c r="F145" s="1428"/>
      <c r="G145" s="1429"/>
      <c r="H145" s="1430"/>
      <c r="I145" s="1431"/>
      <c r="J145" s="1432">
        <v>4802</v>
      </c>
      <c r="K145" s="1432"/>
      <c r="L145" s="1438">
        <f t="shared" ref="L145" si="43">SUM(I145:K145)</f>
        <v>4802</v>
      </c>
      <c r="M145" s="1434"/>
    </row>
    <row r="146" spans="1:13" s="1450" customFormat="1" x14ac:dyDescent="0.3">
      <c r="A146" s="1423">
        <v>135</v>
      </c>
      <c r="B146" s="1439"/>
      <c r="C146" s="1440"/>
      <c r="D146" s="1441" t="s">
        <v>999</v>
      </c>
      <c r="E146" s="1442"/>
      <c r="F146" s="1443"/>
      <c r="G146" s="1444"/>
      <c r="H146" s="1445"/>
      <c r="I146" s="1446"/>
      <c r="J146" s="1447"/>
      <c r="K146" s="1447"/>
      <c r="L146" s="1448">
        <f t="shared" si="0"/>
        <v>0</v>
      </c>
      <c r="M146" s="1449"/>
    </row>
    <row r="147" spans="1:13" s="1459" customFormat="1" x14ac:dyDescent="0.3">
      <c r="A147" s="1402">
        <v>136</v>
      </c>
      <c r="B147" s="1451"/>
      <c r="C147" s="1452"/>
      <c r="D147" s="1436" t="s">
        <v>1116</v>
      </c>
      <c r="E147" s="1453"/>
      <c r="F147" s="1454"/>
      <c r="G147" s="1455"/>
      <c r="H147" s="1456"/>
      <c r="I147" s="1457"/>
      <c r="J147" s="1457">
        <f>SUM(J145:J146)</f>
        <v>4802</v>
      </c>
      <c r="K147" s="1457">
        <f>SUM(K145:K146)</f>
        <v>0</v>
      </c>
      <c r="L147" s="1438">
        <f t="shared" si="0"/>
        <v>4802</v>
      </c>
      <c r="M147" s="1458"/>
    </row>
    <row r="148" spans="1:13" ht="33" x14ac:dyDescent="0.3">
      <c r="A148" s="1402">
        <v>137</v>
      </c>
      <c r="B148" s="1412"/>
      <c r="C148" s="1413">
        <v>28</v>
      </c>
      <c r="D148" s="1414" t="s">
        <v>805</v>
      </c>
      <c r="E148" s="1415">
        <f>F148+G148+L152+M149</f>
        <v>0</v>
      </c>
      <c r="F148" s="1416"/>
      <c r="G148" s="1417"/>
      <c r="H148" s="1418" t="s">
        <v>24</v>
      </c>
      <c r="I148" s="1419"/>
      <c r="J148" s="1420"/>
      <c r="K148" s="1420"/>
      <c r="L148" s="1421"/>
      <c r="M148" s="1422"/>
    </row>
    <row r="149" spans="1:13" s="1435" customFormat="1" x14ac:dyDescent="0.3">
      <c r="A149" s="1423">
        <v>138</v>
      </c>
      <c r="B149" s="1424"/>
      <c r="C149" s="1425"/>
      <c r="D149" s="1426" t="s">
        <v>311</v>
      </c>
      <c r="E149" s="1427"/>
      <c r="F149" s="1428"/>
      <c r="G149" s="1429"/>
      <c r="H149" s="1430"/>
      <c r="I149" s="1431"/>
      <c r="J149" s="1432">
        <v>3000</v>
      </c>
      <c r="K149" s="1432"/>
      <c r="L149" s="1433">
        <f t="shared" ref="L149:L152" si="44">SUM(I149:K149)</f>
        <v>3000</v>
      </c>
      <c r="M149" s="1434"/>
    </row>
    <row r="150" spans="1:13" s="1435" customFormat="1" x14ac:dyDescent="0.3">
      <c r="A150" s="1402">
        <v>139</v>
      </c>
      <c r="B150" s="1424"/>
      <c r="C150" s="1425"/>
      <c r="D150" s="1436" t="s">
        <v>1064</v>
      </c>
      <c r="E150" s="1427"/>
      <c r="F150" s="1428"/>
      <c r="G150" s="1429"/>
      <c r="H150" s="1430"/>
      <c r="I150" s="1431"/>
      <c r="J150" s="1437">
        <v>0</v>
      </c>
      <c r="K150" s="1432"/>
      <c r="L150" s="1438">
        <f t="shared" ref="L150" si="45">SUM(I150:K150)</f>
        <v>0</v>
      </c>
      <c r="M150" s="1434"/>
    </row>
    <row r="151" spans="1:13" s="1450" customFormat="1" x14ac:dyDescent="0.3">
      <c r="A151" s="1402">
        <v>140</v>
      </c>
      <c r="B151" s="1439"/>
      <c r="C151" s="1440"/>
      <c r="D151" s="1441" t="s">
        <v>1001</v>
      </c>
      <c r="E151" s="1442"/>
      <c r="F151" s="1443"/>
      <c r="G151" s="1444"/>
      <c r="H151" s="1445"/>
      <c r="I151" s="1446"/>
      <c r="J151" s="1447"/>
      <c r="K151" s="1447"/>
      <c r="L151" s="1448">
        <f t="shared" si="44"/>
        <v>0</v>
      </c>
      <c r="M151" s="1449"/>
    </row>
    <row r="152" spans="1:13" s="1459" customFormat="1" x14ac:dyDescent="0.3">
      <c r="A152" s="1423">
        <v>141</v>
      </c>
      <c r="B152" s="1451"/>
      <c r="C152" s="1452"/>
      <c r="D152" s="1436" t="s">
        <v>1116</v>
      </c>
      <c r="E152" s="1453"/>
      <c r="F152" s="1454"/>
      <c r="G152" s="1455"/>
      <c r="H152" s="1456"/>
      <c r="I152" s="1457"/>
      <c r="J152" s="1457">
        <f>SUM(J150:J151)</f>
        <v>0</v>
      </c>
      <c r="K152" s="1457">
        <f>SUM(K150:K151)</f>
        <v>0</v>
      </c>
      <c r="L152" s="1438">
        <f t="shared" si="44"/>
        <v>0</v>
      </c>
      <c r="M152" s="1458"/>
    </row>
    <row r="153" spans="1:13" ht="16.5" x14ac:dyDescent="0.3">
      <c r="A153" s="1402">
        <v>142</v>
      </c>
      <c r="B153" s="1412"/>
      <c r="C153" s="1460">
        <v>29</v>
      </c>
      <c r="D153" s="150" t="s">
        <v>806</v>
      </c>
      <c r="E153" s="1415">
        <f>F153+G153+L157+M154</f>
        <v>0</v>
      </c>
      <c r="F153" s="1416"/>
      <c r="G153" s="1417"/>
      <c r="H153" s="1418" t="s">
        <v>24</v>
      </c>
      <c r="I153" s="1419"/>
      <c r="J153" s="1420"/>
      <c r="K153" s="1420"/>
      <c r="L153" s="1421"/>
      <c r="M153" s="1422"/>
    </row>
    <row r="154" spans="1:13" s="1435" customFormat="1" x14ac:dyDescent="0.3">
      <c r="A154" s="1402">
        <v>143</v>
      </c>
      <c r="B154" s="1424"/>
      <c r="C154" s="1425"/>
      <c r="D154" s="1426" t="s">
        <v>311</v>
      </c>
      <c r="E154" s="1427"/>
      <c r="F154" s="1428"/>
      <c r="G154" s="1429"/>
      <c r="H154" s="1430"/>
      <c r="I154" s="1431"/>
      <c r="J154" s="1432">
        <v>4500</v>
      </c>
      <c r="K154" s="1432"/>
      <c r="L154" s="1433">
        <f t="shared" si="0"/>
        <v>4500</v>
      </c>
      <c r="M154" s="1434"/>
    </row>
    <row r="155" spans="1:13" s="1435" customFormat="1" x14ac:dyDescent="0.3">
      <c r="A155" s="1423">
        <v>144</v>
      </c>
      <c r="B155" s="1424"/>
      <c r="C155" s="1425"/>
      <c r="D155" s="1436" t="s">
        <v>1064</v>
      </c>
      <c r="E155" s="1427"/>
      <c r="F155" s="1428"/>
      <c r="G155" s="1429"/>
      <c r="H155" s="1430"/>
      <c r="I155" s="1431"/>
      <c r="J155" s="1432">
        <v>0</v>
      </c>
      <c r="K155" s="1432"/>
      <c r="L155" s="1438">
        <f t="shared" ref="L155" si="46">SUM(I155:K155)</f>
        <v>0</v>
      </c>
      <c r="M155" s="1434"/>
    </row>
    <row r="156" spans="1:13" s="1450" customFormat="1" x14ac:dyDescent="0.3">
      <c r="A156" s="1402">
        <v>145</v>
      </c>
      <c r="B156" s="1439"/>
      <c r="C156" s="1440"/>
      <c r="D156" s="1441" t="s">
        <v>1004</v>
      </c>
      <c r="E156" s="1442"/>
      <c r="F156" s="1443"/>
      <c r="G156" s="1444"/>
      <c r="H156" s="1445"/>
      <c r="I156" s="1446"/>
      <c r="J156" s="1447"/>
      <c r="K156" s="1447"/>
      <c r="L156" s="1448">
        <f t="shared" si="0"/>
        <v>0</v>
      </c>
      <c r="M156" s="1449"/>
    </row>
    <row r="157" spans="1:13" s="1459" customFormat="1" x14ac:dyDescent="0.3">
      <c r="A157" s="1402">
        <v>146</v>
      </c>
      <c r="B157" s="1451"/>
      <c r="C157" s="1452"/>
      <c r="D157" s="1436" t="s">
        <v>1116</v>
      </c>
      <c r="E157" s="1453"/>
      <c r="F157" s="1454"/>
      <c r="G157" s="1455"/>
      <c r="H157" s="1456"/>
      <c r="I157" s="1457"/>
      <c r="J157" s="1457">
        <f>SUM(J155:J156)</f>
        <v>0</v>
      </c>
      <c r="K157" s="1457">
        <f>SUM(K155:K156)</f>
        <v>0</v>
      </c>
      <c r="L157" s="1438">
        <f t="shared" si="0"/>
        <v>0</v>
      </c>
      <c r="M157" s="1458"/>
    </row>
    <row r="158" spans="1:13" ht="16.5" x14ac:dyDescent="0.3">
      <c r="A158" s="1423">
        <v>147</v>
      </c>
      <c r="B158" s="1412"/>
      <c r="C158" s="1460">
        <v>30</v>
      </c>
      <c r="D158" s="150" t="s">
        <v>807</v>
      </c>
      <c r="E158" s="1415">
        <f>F158+G158+L162+M159</f>
        <v>0</v>
      </c>
      <c r="F158" s="1416"/>
      <c r="G158" s="1417"/>
      <c r="H158" s="1418" t="s">
        <v>24</v>
      </c>
      <c r="I158" s="1419"/>
      <c r="J158" s="1420"/>
      <c r="K158" s="1420"/>
      <c r="L158" s="1421"/>
      <c r="M158" s="1422"/>
    </row>
    <row r="159" spans="1:13" s="1435" customFormat="1" x14ac:dyDescent="0.3">
      <c r="A159" s="1402">
        <v>148</v>
      </c>
      <c r="B159" s="1424"/>
      <c r="C159" s="1425"/>
      <c r="D159" s="1426" t="s">
        <v>311</v>
      </c>
      <c r="E159" s="1427"/>
      <c r="F159" s="1428"/>
      <c r="G159" s="1429"/>
      <c r="H159" s="1430"/>
      <c r="I159" s="1431"/>
      <c r="J159" s="1432">
        <v>1300</v>
      </c>
      <c r="K159" s="1432"/>
      <c r="L159" s="1433">
        <f t="shared" ref="L159:L162" si="47">SUM(I159:K159)</f>
        <v>1300</v>
      </c>
      <c r="M159" s="1434"/>
    </row>
    <row r="160" spans="1:13" s="1435" customFormat="1" x14ac:dyDescent="0.3">
      <c r="A160" s="1402">
        <v>149</v>
      </c>
      <c r="B160" s="1424"/>
      <c r="C160" s="1425"/>
      <c r="D160" s="1436" t="s">
        <v>1064</v>
      </c>
      <c r="E160" s="1427"/>
      <c r="F160" s="1428"/>
      <c r="G160" s="1429"/>
      <c r="H160" s="1430"/>
      <c r="I160" s="1431"/>
      <c r="J160" s="1437">
        <v>0</v>
      </c>
      <c r="K160" s="1432"/>
      <c r="L160" s="1438">
        <f t="shared" ref="L160" si="48">SUM(I160:K160)</f>
        <v>0</v>
      </c>
      <c r="M160" s="1434"/>
    </row>
    <row r="161" spans="1:13" s="1450" customFormat="1" x14ac:dyDescent="0.3">
      <c r="A161" s="1423">
        <v>150</v>
      </c>
      <c r="B161" s="1439"/>
      <c r="C161" s="1440"/>
      <c r="D161" s="1441" t="s">
        <v>1001</v>
      </c>
      <c r="E161" s="1442"/>
      <c r="F161" s="1443"/>
      <c r="G161" s="1444"/>
      <c r="H161" s="1445"/>
      <c r="I161" s="1446"/>
      <c r="J161" s="1447"/>
      <c r="K161" s="1447"/>
      <c r="L161" s="1448">
        <f t="shared" si="47"/>
        <v>0</v>
      </c>
      <c r="M161" s="1449"/>
    </row>
    <row r="162" spans="1:13" s="1459" customFormat="1" x14ac:dyDescent="0.3">
      <c r="A162" s="1402">
        <v>151</v>
      </c>
      <c r="B162" s="1451"/>
      <c r="C162" s="1452"/>
      <c r="D162" s="1436" t="s">
        <v>1116</v>
      </c>
      <c r="E162" s="1453"/>
      <c r="F162" s="1454"/>
      <c r="G162" s="1455"/>
      <c r="H162" s="1456"/>
      <c r="I162" s="1457"/>
      <c r="J162" s="1457">
        <f>SUM(J160:J161)</f>
        <v>0</v>
      </c>
      <c r="K162" s="1457">
        <f>SUM(K160:K161)</f>
        <v>0</v>
      </c>
      <c r="L162" s="1438">
        <f t="shared" si="47"/>
        <v>0</v>
      </c>
      <c r="M162" s="1458"/>
    </row>
    <row r="163" spans="1:13" ht="33" x14ac:dyDescent="0.3">
      <c r="A163" s="1402">
        <v>152</v>
      </c>
      <c r="B163" s="1412"/>
      <c r="C163" s="1460">
        <v>31</v>
      </c>
      <c r="D163" s="1465" t="s">
        <v>808</v>
      </c>
      <c r="E163" s="1415">
        <f>F163+G163+L167+M164</f>
        <v>2457</v>
      </c>
      <c r="F163" s="1416"/>
      <c r="G163" s="1417"/>
      <c r="H163" s="1418" t="s">
        <v>24</v>
      </c>
      <c r="I163" s="1419"/>
      <c r="J163" s="1420"/>
      <c r="K163" s="1420"/>
      <c r="L163" s="1421"/>
      <c r="M163" s="1422"/>
    </row>
    <row r="164" spans="1:13" s="1435" customFormat="1" x14ac:dyDescent="0.3">
      <c r="A164" s="1423">
        <v>153</v>
      </c>
      <c r="B164" s="1424"/>
      <c r="C164" s="1425"/>
      <c r="D164" s="1426" t="s">
        <v>311</v>
      </c>
      <c r="E164" s="1427"/>
      <c r="F164" s="1428"/>
      <c r="G164" s="1429"/>
      <c r="H164" s="1430"/>
      <c r="I164" s="1431"/>
      <c r="J164" s="1432">
        <v>2500</v>
      </c>
      <c r="K164" s="1432"/>
      <c r="L164" s="1433">
        <f t="shared" si="0"/>
        <v>2500</v>
      </c>
      <c r="M164" s="1434"/>
    </row>
    <row r="165" spans="1:13" s="1435" customFormat="1" x14ac:dyDescent="0.3">
      <c r="A165" s="1402">
        <v>154</v>
      </c>
      <c r="B165" s="1424"/>
      <c r="C165" s="1425"/>
      <c r="D165" s="1436" t="s">
        <v>1064</v>
      </c>
      <c r="E165" s="1427"/>
      <c r="F165" s="1428"/>
      <c r="G165" s="1429"/>
      <c r="H165" s="1430"/>
      <c r="I165" s="1431"/>
      <c r="J165" s="1437">
        <v>2457</v>
      </c>
      <c r="K165" s="1432"/>
      <c r="L165" s="1438">
        <f t="shared" ref="L165" si="49">SUM(I165:K165)</f>
        <v>2457</v>
      </c>
      <c r="M165" s="1434"/>
    </row>
    <row r="166" spans="1:13" s="1450" customFormat="1" x14ac:dyDescent="0.3">
      <c r="A166" s="1402">
        <v>155</v>
      </c>
      <c r="B166" s="1439"/>
      <c r="C166" s="1440"/>
      <c r="D166" s="1441" t="s">
        <v>1012</v>
      </c>
      <c r="E166" s="1442"/>
      <c r="F166" s="1443"/>
      <c r="G166" s="1444"/>
      <c r="H166" s="1445"/>
      <c r="I166" s="1446"/>
      <c r="J166" s="1447"/>
      <c r="K166" s="1447"/>
      <c r="L166" s="1448">
        <f t="shared" si="0"/>
        <v>0</v>
      </c>
      <c r="M166" s="1449"/>
    </row>
    <row r="167" spans="1:13" s="1459" customFormat="1" x14ac:dyDescent="0.3">
      <c r="A167" s="1423">
        <v>156</v>
      </c>
      <c r="B167" s="1451"/>
      <c r="C167" s="1452"/>
      <c r="D167" s="1436" t="s">
        <v>1116</v>
      </c>
      <c r="E167" s="1453"/>
      <c r="F167" s="1454"/>
      <c r="G167" s="1455"/>
      <c r="H167" s="1456"/>
      <c r="I167" s="1457"/>
      <c r="J167" s="1457">
        <f>SUM(J165:J166)</f>
        <v>2457</v>
      </c>
      <c r="K167" s="1457">
        <f>SUM(K165:K166)</f>
        <v>0</v>
      </c>
      <c r="L167" s="1438">
        <f t="shared" si="0"/>
        <v>2457</v>
      </c>
      <c r="M167" s="1458"/>
    </row>
    <row r="168" spans="1:13" ht="16.5" x14ac:dyDescent="0.3">
      <c r="A168" s="1402">
        <v>157</v>
      </c>
      <c r="B168" s="1412"/>
      <c r="C168" s="1460">
        <v>32</v>
      </c>
      <c r="D168" s="150" t="s">
        <v>787</v>
      </c>
      <c r="E168" s="1415">
        <f>F168+G168+L172+M169</f>
        <v>982</v>
      </c>
      <c r="F168" s="1416"/>
      <c r="G168" s="1417"/>
      <c r="H168" s="1418" t="s">
        <v>24</v>
      </c>
      <c r="I168" s="1419"/>
      <c r="J168" s="1420"/>
      <c r="K168" s="1420"/>
      <c r="L168" s="1421"/>
      <c r="M168" s="1422"/>
    </row>
    <row r="169" spans="1:13" s="1435" customFormat="1" x14ac:dyDescent="0.3">
      <c r="A169" s="1402">
        <v>158</v>
      </c>
      <c r="B169" s="1424"/>
      <c r="C169" s="1425"/>
      <c r="D169" s="1426" t="s">
        <v>311</v>
      </c>
      <c r="E169" s="1427"/>
      <c r="F169" s="1428"/>
      <c r="G169" s="1429"/>
      <c r="H169" s="1430"/>
      <c r="I169" s="1431"/>
      <c r="J169" s="1432">
        <v>1079</v>
      </c>
      <c r="K169" s="1432"/>
      <c r="L169" s="1433">
        <f t="shared" ref="L169:L172" si="50">SUM(I169:K169)</f>
        <v>1079</v>
      </c>
      <c r="M169" s="1434"/>
    </row>
    <row r="170" spans="1:13" s="1435" customFormat="1" x14ac:dyDescent="0.3">
      <c r="A170" s="1423">
        <v>159</v>
      </c>
      <c r="B170" s="1424"/>
      <c r="C170" s="1425"/>
      <c r="D170" s="1436" t="s">
        <v>1064</v>
      </c>
      <c r="E170" s="1427"/>
      <c r="F170" s="1428"/>
      <c r="G170" s="1429"/>
      <c r="H170" s="1430"/>
      <c r="I170" s="1431"/>
      <c r="J170" s="1437">
        <v>982</v>
      </c>
      <c r="K170" s="1432"/>
      <c r="L170" s="1438">
        <f t="shared" ref="L170" si="51">SUM(I170:K170)</f>
        <v>982</v>
      </c>
      <c r="M170" s="1434"/>
    </row>
    <row r="171" spans="1:13" s="1450" customFormat="1" x14ac:dyDescent="0.3">
      <c r="A171" s="1402">
        <v>160</v>
      </c>
      <c r="B171" s="1439"/>
      <c r="C171" s="1440"/>
      <c r="D171" s="1441" t="s">
        <v>1012</v>
      </c>
      <c r="E171" s="1442"/>
      <c r="F171" s="1443"/>
      <c r="G171" s="1444"/>
      <c r="H171" s="1445"/>
      <c r="I171" s="1446"/>
      <c r="J171" s="1447"/>
      <c r="K171" s="1447"/>
      <c r="L171" s="1448">
        <f t="shared" si="50"/>
        <v>0</v>
      </c>
      <c r="M171" s="1449"/>
    </row>
    <row r="172" spans="1:13" s="1459" customFormat="1" x14ac:dyDescent="0.3">
      <c r="A172" s="1402">
        <v>161</v>
      </c>
      <c r="B172" s="1451"/>
      <c r="C172" s="1452"/>
      <c r="D172" s="1436" t="s">
        <v>1116</v>
      </c>
      <c r="E172" s="1453"/>
      <c r="F172" s="1454"/>
      <c r="G172" s="1455"/>
      <c r="H172" s="1456"/>
      <c r="I172" s="1457"/>
      <c r="J172" s="1457">
        <f>SUM(J170:J171)</f>
        <v>982</v>
      </c>
      <c r="K172" s="1457">
        <f>SUM(K170:K171)</f>
        <v>0</v>
      </c>
      <c r="L172" s="1438">
        <f t="shared" si="50"/>
        <v>982</v>
      </c>
      <c r="M172" s="1458"/>
    </row>
    <row r="173" spans="1:13" ht="16.5" x14ac:dyDescent="0.3">
      <c r="A173" s="1423">
        <v>162</v>
      </c>
      <c r="B173" s="1412"/>
      <c r="C173" s="1460">
        <v>33</v>
      </c>
      <c r="D173" s="150" t="s">
        <v>772</v>
      </c>
      <c r="E173" s="1415">
        <f>F173+G173+L177+M174</f>
        <v>69</v>
      </c>
      <c r="F173" s="1416"/>
      <c r="G173" s="1417"/>
      <c r="H173" s="1418" t="s">
        <v>24</v>
      </c>
      <c r="I173" s="1419"/>
      <c r="J173" s="1420"/>
      <c r="K173" s="1420"/>
      <c r="L173" s="1421"/>
      <c r="M173" s="1422"/>
    </row>
    <row r="174" spans="1:13" s="1435" customFormat="1" x14ac:dyDescent="0.3">
      <c r="A174" s="1402">
        <v>163</v>
      </c>
      <c r="B174" s="1424"/>
      <c r="C174" s="1425"/>
      <c r="D174" s="1426" t="s">
        <v>311</v>
      </c>
      <c r="E174" s="1427"/>
      <c r="F174" s="1428"/>
      <c r="G174" s="1429"/>
      <c r="H174" s="1430"/>
      <c r="I174" s="1431"/>
      <c r="J174" s="1432">
        <v>69</v>
      </c>
      <c r="K174" s="1432"/>
      <c r="L174" s="1433">
        <f t="shared" si="0"/>
        <v>69</v>
      </c>
      <c r="M174" s="1434"/>
    </row>
    <row r="175" spans="1:13" s="1435" customFormat="1" x14ac:dyDescent="0.3">
      <c r="A175" s="1402">
        <v>164</v>
      </c>
      <c r="B175" s="1424"/>
      <c r="C175" s="1425"/>
      <c r="D175" s="1436" t="s">
        <v>1064</v>
      </c>
      <c r="E175" s="1427"/>
      <c r="F175" s="1428"/>
      <c r="G175" s="1429"/>
      <c r="H175" s="1430"/>
      <c r="I175" s="1431"/>
      <c r="J175" s="1437">
        <v>69</v>
      </c>
      <c r="K175" s="1432"/>
      <c r="L175" s="1438">
        <f t="shared" ref="L175" si="52">SUM(I175:K175)</f>
        <v>69</v>
      </c>
      <c r="M175" s="1434"/>
    </row>
    <row r="176" spans="1:13" s="1450" customFormat="1" x14ac:dyDescent="0.3">
      <c r="A176" s="1423">
        <v>165</v>
      </c>
      <c r="B176" s="1439"/>
      <c r="C176" s="1440"/>
      <c r="D176" s="1441" t="s">
        <v>999</v>
      </c>
      <c r="E176" s="1442"/>
      <c r="F176" s="1443"/>
      <c r="G176" s="1444"/>
      <c r="H176" s="1445"/>
      <c r="I176" s="1446"/>
      <c r="J176" s="1447"/>
      <c r="K176" s="1447"/>
      <c r="L176" s="1448">
        <f t="shared" si="0"/>
        <v>0</v>
      </c>
      <c r="M176" s="1449"/>
    </row>
    <row r="177" spans="1:23" s="1459" customFormat="1" x14ac:dyDescent="0.3">
      <c r="A177" s="1402">
        <v>166</v>
      </c>
      <c r="B177" s="1451"/>
      <c r="C177" s="1452"/>
      <c r="D177" s="1436" t="s">
        <v>1116</v>
      </c>
      <c r="E177" s="1453"/>
      <c r="F177" s="1454"/>
      <c r="G177" s="1455"/>
      <c r="H177" s="1456"/>
      <c r="I177" s="1457"/>
      <c r="J177" s="1457">
        <f>SUM(J175:J176)</f>
        <v>69</v>
      </c>
      <c r="K177" s="1457">
        <f t="shared" ref="K177" si="53">SUM(K174:K176)</f>
        <v>0</v>
      </c>
      <c r="L177" s="1438">
        <f t="shared" si="0"/>
        <v>69</v>
      </c>
      <c r="M177" s="1458"/>
    </row>
    <row r="178" spans="1:23" ht="16.5" x14ac:dyDescent="0.3">
      <c r="A178" s="1402">
        <v>167</v>
      </c>
      <c r="B178" s="1412"/>
      <c r="C178" s="1460">
        <v>34</v>
      </c>
      <c r="D178" s="150" t="s">
        <v>773</v>
      </c>
      <c r="E178" s="1415">
        <f>F178+G178+L182+M179</f>
        <v>96</v>
      </c>
      <c r="F178" s="1416"/>
      <c r="G178" s="1417"/>
      <c r="H178" s="1418" t="s">
        <v>24</v>
      </c>
      <c r="I178" s="1419"/>
      <c r="J178" s="1420"/>
      <c r="K178" s="1420"/>
      <c r="L178" s="1421"/>
      <c r="M178" s="1422"/>
    </row>
    <row r="179" spans="1:23" s="1435" customFormat="1" x14ac:dyDescent="0.3">
      <c r="A179" s="1423">
        <v>168</v>
      </c>
      <c r="B179" s="1424"/>
      <c r="C179" s="1425"/>
      <c r="D179" s="1426" t="s">
        <v>311</v>
      </c>
      <c r="E179" s="1427"/>
      <c r="F179" s="1428"/>
      <c r="G179" s="1429"/>
      <c r="H179" s="1430"/>
      <c r="I179" s="1431"/>
      <c r="J179" s="1432">
        <v>96</v>
      </c>
      <c r="K179" s="1432"/>
      <c r="L179" s="1433">
        <f t="shared" ref="L179:L182" si="54">SUM(I179:K179)</f>
        <v>96</v>
      </c>
      <c r="M179" s="1434"/>
    </row>
    <row r="180" spans="1:23" s="1435" customFormat="1" x14ac:dyDescent="0.3">
      <c r="A180" s="1402">
        <v>169</v>
      </c>
      <c r="B180" s="1424"/>
      <c r="C180" s="1425"/>
      <c r="D180" s="1436" t="s">
        <v>1064</v>
      </c>
      <c r="E180" s="1427"/>
      <c r="F180" s="1428"/>
      <c r="G180" s="1429"/>
      <c r="H180" s="1430"/>
      <c r="I180" s="1431"/>
      <c r="J180" s="1437">
        <v>96</v>
      </c>
      <c r="K180" s="1432"/>
      <c r="L180" s="1438">
        <f t="shared" ref="L180" si="55">SUM(I180:K180)</f>
        <v>96</v>
      </c>
      <c r="M180" s="1434"/>
    </row>
    <row r="181" spans="1:23" s="1450" customFormat="1" x14ac:dyDescent="0.3">
      <c r="A181" s="1402">
        <v>170</v>
      </c>
      <c r="B181" s="1439"/>
      <c r="C181" s="1440"/>
      <c r="D181" s="1441" t="s">
        <v>999</v>
      </c>
      <c r="E181" s="1442"/>
      <c r="F181" s="1443"/>
      <c r="G181" s="1444"/>
      <c r="H181" s="1445"/>
      <c r="I181" s="1446"/>
      <c r="J181" s="1447"/>
      <c r="K181" s="1447"/>
      <c r="L181" s="1448">
        <f t="shared" si="54"/>
        <v>0</v>
      </c>
      <c r="M181" s="1449"/>
    </row>
    <row r="182" spans="1:23" s="1459" customFormat="1" x14ac:dyDescent="0.3">
      <c r="A182" s="1423">
        <v>171</v>
      </c>
      <c r="B182" s="1451"/>
      <c r="C182" s="1452"/>
      <c r="D182" s="1436" t="s">
        <v>1116</v>
      </c>
      <c r="E182" s="1453"/>
      <c r="F182" s="1454"/>
      <c r="G182" s="1455"/>
      <c r="H182" s="1456"/>
      <c r="I182" s="1457"/>
      <c r="J182" s="1457">
        <f>SUM(J180:J181)</f>
        <v>96</v>
      </c>
      <c r="K182" s="1457">
        <f t="shared" ref="K182" si="56">SUM(K179:K181)</f>
        <v>0</v>
      </c>
      <c r="L182" s="1438">
        <f t="shared" si="54"/>
        <v>96</v>
      </c>
      <c r="M182" s="1458"/>
    </row>
    <row r="183" spans="1:23" ht="16.5" x14ac:dyDescent="0.3">
      <c r="A183" s="1402">
        <v>172</v>
      </c>
      <c r="B183" s="1412"/>
      <c r="C183" s="1460">
        <v>35</v>
      </c>
      <c r="D183" s="1466" t="s">
        <v>501</v>
      </c>
      <c r="E183" s="1415">
        <f>F183+G183+L187+M184</f>
        <v>2687</v>
      </c>
      <c r="F183" s="1416"/>
      <c r="G183" s="1417">
        <f>317+541</f>
        <v>858</v>
      </c>
      <c r="H183" s="1418" t="s">
        <v>24</v>
      </c>
      <c r="I183" s="1419"/>
      <c r="J183" s="1420"/>
      <c r="K183" s="1420"/>
      <c r="L183" s="1421"/>
      <c r="M183" s="1422"/>
      <c r="N183" s="264"/>
      <c r="O183" s="264"/>
      <c r="P183" s="264"/>
      <c r="Q183" s="264"/>
      <c r="R183" s="264"/>
      <c r="S183" s="264"/>
      <c r="T183" s="264"/>
      <c r="U183" s="264"/>
      <c r="V183" s="264"/>
      <c r="W183" s="264"/>
    </row>
    <row r="184" spans="1:23" s="1435" customFormat="1" x14ac:dyDescent="0.3">
      <c r="A184" s="1402">
        <v>173</v>
      </c>
      <c r="B184" s="1424"/>
      <c r="C184" s="1425"/>
      <c r="D184" s="1426" t="s">
        <v>311</v>
      </c>
      <c r="E184" s="1427"/>
      <c r="F184" s="1428"/>
      <c r="G184" s="1429"/>
      <c r="H184" s="1430"/>
      <c r="I184" s="1431">
        <v>29</v>
      </c>
      <c r="J184" s="1432">
        <v>1800</v>
      </c>
      <c r="K184" s="1432"/>
      <c r="L184" s="1433">
        <f t="shared" si="0"/>
        <v>1829</v>
      </c>
      <c r="M184" s="1434"/>
    </row>
    <row r="185" spans="1:23" s="1435" customFormat="1" x14ac:dyDescent="0.3">
      <c r="A185" s="1423">
        <v>174</v>
      </c>
      <c r="B185" s="1424"/>
      <c r="C185" s="1425"/>
      <c r="D185" s="1436" t="s">
        <v>1064</v>
      </c>
      <c r="E185" s="1427"/>
      <c r="F185" s="1428"/>
      <c r="G185" s="1429"/>
      <c r="H185" s="1430"/>
      <c r="I185" s="1457">
        <v>29</v>
      </c>
      <c r="J185" s="1437">
        <v>1800</v>
      </c>
      <c r="K185" s="1432"/>
      <c r="L185" s="1438">
        <f t="shared" ref="L185" si="57">SUM(I185:K185)</f>
        <v>1829</v>
      </c>
      <c r="M185" s="1434"/>
    </row>
    <row r="186" spans="1:23" s="1450" customFormat="1" x14ac:dyDescent="0.3">
      <c r="A186" s="1402">
        <v>175</v>
      </c>
      <c r="B186" s="1439"/>
      <c r="C186" s="1440"/>
      <c r="D186" s="1441" t="s">
        <v>999</v>
      </c>
      <c r="E186" s="1442"/>
      <c r="F186" s="1443"/>
      <c r="G186" s="1444"/>
      <c r="H186" s="1445"/>
      <c r="I186" s="1446"/>
      <c r="J186" s="1447"/>
      <c r="K186" s="1447"/>
      <c r="L186" s="1448">
        <f t="shared" si="0"/>
        <v>0</v>
      </c>
      <c r="M186" s="1449"/>
    </row>
    <row r="187" spans="1:23" s="1459" customFormat="1" x14ac:dyDescent="0.3">
      <c r="A187" s="1402">
        <v>176</v>
      </c>
      <c r="B187" s="1451"/>
      <c r="C187" s="1452"/>
      <c r="D187" s="1436" t="s">
        <v>1116</v>
      </c>
      <c r="E187" s="1453"/>
      <c r="F187" s="1454"/>
      <c r="G187" s="1455"/>
      <c r="H187" s="1456"/>
      <c r="I187" s="1457">
        <f>SUM(I185:I186)</f>
        <v>29</v>
      </c>
      <c r="J187" s="1457">
        <f t="shared" ref="J187:K187" si="58">SUM(J185:J186)</f>
        <v>1800</v>
      </c>
      <c r="K187" s="1457">
        <f t="shared" si="58"/>
        <v>0</v>
      </c>
      <c r="L187" s="1438">
        <f t="shared" si="0"/>
        <v>1829</v>
      </c>
      <c r="M187" s="1458"/>
    </row>
    <row r="188" spans="1:23" ht="16.5" x14ac:dyDescent="0.3">
      <c r="A188" s="1423">
        <v>177</v>
      </c>
      <c r="B188" s="1412"/>
      <c r="C188" s="1460">
        <v>36</v>
      </c>
      <c r="D188" s="150" t="s">
        <v>774</v>
      </c>
      <c r="E188" s="1415">
        <f>F188+G188+L192+M189</f>
        <v>0</v>
      </c>
      <c r="F188" s="1416"/>
      <c r="G188" s="1417"/>
      <c r="H188" s="1418" t="s">
        <v>24</v>
      </c>
      <c r="I188" s="1419"/>
      <c r="J188" s="1420"/>
      <c r="K188" s="1420"/>
      <c r="L188" s="1421"/>
      <c r="M188" s="1422"/>
    </row>
    <row r="189" spans="1:23" s="1435" customFormat="1" x14ac:dyDescent="0.3">
      <c r="A189" s="1402">
        <v>178</v>
      </c>
      <c r="B189" s="1424"/>
      <c r="C189" s="1425"/>
      <c r="D189" s="1426" t="s">
        <v>311</v>
      </c>
      <c r="E189" s="1427"/>
      <c r="F189" s="1428"/>
      <c r="G189" s="1429"/>
      <c r="H189" s="1430"/>
      <c r="I189" s="1431"/>
      <c r="J189" s="1432">
        <v>269</v>
      </c>
      <c r="K189" s="1432"/>
      <c r="L189" s="1433">
        <f t="shared" ref="L189:L192" si="59">SUM(I189:K189)</f>
        <v>269</v>
      </c>
      <c r="M189" s="1434"/>
    </row>
    <row r="190" spans="1:23" s="1435" customFormat="1" x14ac:dyDescent="0.3">
      <c r="A190" s="1402">
        <v>179</v>
      </c>
      <c r="B190" s="1424"/>
      <c r="C190" s="1425"/>
      <c r="D190" s="1436" t="s">
        <v>1064</v>
      </c>
      <c r="E190" s="1427"/>
      <c r="F190" s="1428"/>
      <c r="G190" s="1429"/>
      <c r="H190" s="1430"/>
      <c r="I190" s="1431"/>
      <c r="J190" s="1437">
        <v>0</v>
      </c>
      <c r="K190" s="1432"/>
      <c r="L190" s="1438">
        <f t="shared" ref="L190" si="60">SUM(I190:K190)</f>
        <v>0</v>
      </c>
      <c r="M190" s="1434"/>
    </row>
    <row r="191" spans="1:23" s="1450" customFormat="1" x14ac:dyDescent="0.3">
      <c r="A191" s="1423">
        <v>180</v>
      </c>
      <c r="B191" s="1439"/>
      <c r="C191" s="1440"/>
      <c r="D191" s="1441" t="s">
        <v>1012</v>
      </c>
      <c r="E191" s="1442"/>
      <c r="F191" s="1443"/>
      <c r="G191" s="1444"/>
      <c r="H191" s="1445"/>
      <c r="I191" s="1446"/>
      <c r="J191" s="1447"/>
      <c r="K191" s="1447"/>
      <c r="L191" s="1448">
        <f t="shared" si="59"/>
        <v>0</v>
      </c>
      <c r="M191" s="1449"/>
    </row>
    <row r="192" spans="1:23" s="1459" customFormat="1" x14ac:dyDescent="0.3">
      <c r="A192" s="1402">
        <v>181</v>
      </c>
      <c r="B192" s="1451"/>
      <c r="C192" s="1452"/>
      <c r="D192" s="1436" t="s">
        <v>1116</v>
      </c>
      <c r="E192" s="1453"/>
      <c r="F192" s="1454"/>
      <c r="G192" s="1455"/>
      <c r="H192" s="1456"/>
      <c r="I192" s="1457"/>
      <c r="J192" s="1457">
        <f>SUM(J190:J191)</f>
        <v>0</v>
      </c>
      <c r="K192" s="1457">
        <f>SUM(K190:K191)</f>
        <v>0</v>
      </c>
      <c r="L192" s="1438">
        <f t="shared" si="59"/>
        <v>0</v>
      </c>
      <c r="M192" s="1458"/>
    </row>
    <row r="193" spans="1:13" ht="33" x14ac:dyDescent="0.3">
      <c r="A193" s="1402">
        <v>182</v>
      </c>
      <c r="B193" s="1412"/>
      <c r="C193" s="1413">
        <v>37</v>
      </c>
      <c r="D193" s="1414" t="s">
        <v>775</v>
      </c>
      <c r="E193" s="1415">
        <f>F193+G193+L197+M194</f>
        <v>4178</v>
      </c>
      <c r="F193" s="1416"/>
      <c r="G193" s="1417"/>
      <c r="H193" s="1418" t="s">
        <v>24</v>
      </c>
      <c r="I193" s="1419"/>
      <c r="J193" s="1420"/>
      <c r="K193" s="1420"/>
      <c r="L193" s="1421"/>
      <c r="M193" s="1422"/>
    </row>
    <row r="194" spans="1:13" s="1435" customFormat="1" x14ac:dyDescent="0.3">
      <c r="A194" s="1423">
        <v>183</v>
      </c>
      <c r="B194" s="1424"/>
      <c r="C194" s="1425"/>
      <c r="D194" s="1426" t="s">
        <v>311</v>
      </c>
      <c r="E194" s="1427"/>
      <c r="F194" s="1428"/>
      <c r="G194" s="1429"/>
      <c r="H194" s="1430"/>
      <c r="I194" s="1431"/>
      <c r="J194" s="1432">
        <v>4178</v>
      </c>
      <c r="K194" s="1432"/>
      <c r="L194" s="1433">
        <f t="shared" si="0"/>
        <v>4178</v>
      </c>
      <c r="M194" s="1434"/>
    </row>
    <row r="195" spans="1:13" s="1435" customFormat="1" x14ac:dyDescent="0.3">
      <c r="A195" s="1402">
        <v>184</v>
      </c>
      <c r="B195" s="1424"/>
      <c r="C195" s="1425"/>
      <c r="D195" s="1436" t="s">
        <v>1064</v>
      </c>
      <c r="E195" s="1427"/>
      <c r="F195" s="1428"/>
      <c r="G195" s="1429"/>
      <c r="H195" s="1430"/>
      <c r="I195" s="1431"/>
      <c r="J195" s="1437">
        <v>4178</v>
      </c>
      <c r="K195" s="1432"/>
      <c r="L195" s="1438">
        <f t="shared" ref="L195" si="61">SUM(I195:K195)</f>
        <v>4178</v>
      </c>
      <c r="M195" s="1434"/>
    </row>
    <row r="196" spans="1:13" s="1450" customFormat="1" x14ac:dyDescent="0.3">
      <c r="A196" s="1402">
        <v>185</v>
      </c>
      <c r="B196" s="1439"/>
      <c r="C196" s="1440"/>
      <c r="D196" s="1441" t="s">
        <v>999</v>
      </c>
      <c r="E196" s="1442"/>
      <c r="F196" s="1443"/>
      <c r="G196" s="1444"/>
      <c r="H196" s="1445"/>
      <c r="I196" s="1446"/>
      <c r="J196" s="1447"/>
      <c r="K196" s="1447"/>
      <c r="L196" s="1448">
        <f t="shared" si="0"/>
        <v>0</v>
      </c>
      <c r="M196" s="1449"/>
    </row>
    <row r="197" spans="1:13" s="1459" customFormat="1" x14ac:dyDescent="0.3">
      <c r="A197" s="1423">
        <v>186</v>
      </c>
      <c r="B197" s="1451"/>
      <c r="C197" s="1452"/>
      <c r="D197" s="1436" t="s">
        <v>1116</v>
      </c>
      <c r="E197" s="1453"/>
      <c r="F197" s="1454"/>
      <c r="G197" s="1455"/>
      <c r="H197" s="1456"/>
      <c r="I197" s="1457"/>
      <c r="J197" s="1457">
        <f>SUM(J195:J196)</f>
        <v>4178</v>
      </c>
      <c r="K197" s="1457">
        <f>SUM(K195:K196)</f>
        <v>0</v>
      </c>
      <c r="L197" s="1438">
        <f t="shared" si="0"/>
        <v>4178</v>
      </c>
      <c r="M197" s="1458"/>
    </row>
    <row r="198" spans="1:13" ht="16.5" x14ac:dyDescent="0.3">
      <c r="A198" s="1402">
        <v>187</v>
      </c>
      <c r="B198" s="1412"/>
      <c r="C198" s="1460">
        <v>38</v>
      </c>
      <c r="D198" s="150" t="s">
        <v>776</v>
      </c>
      <c r="E198" s="1415">
        <f>F198+G198+L202+M199</f>
        <v>0</v>
      </c>
      <c r="F198" s="1416"/>
      <c r="G198" s="1417"/>
      <c r="H198" s="1418" t="s">
        <v>24</v>
      </c>
      <c r="I198" s="1419"/>
      <c r="J198" s="1420"/>
      <c r="K198" s="1420"/>
      <c r="L198" s="1421"/>
      <c r="M198" s="1422"/>
    </row>
    <row r="199" spans="1:13" s="1435" customFormat="1" x14ac:dyDescent="0.3">
      <c r="A199" s="1402">
        <v>188</v>
      </c>
      <c r="B199" s="1424"/>
      <c r="C199" s="1425"/>
      <c r="D199" s="1426" t="s">
        <v>311</v>
      </c>
      <c r="E199" s="1427"/>
      <c r="F199" s="1428"/>
      <c r="G199" s="1429"/>
      <c r="H199" s="1430"/>
      <c r="I199" s="1431"/>
      <c r="J199" s="1432">
        <v>1000</v>
      </c>
      <c r="K199" s="1432"/>
      <c r="L199" s="1433">
        <f t="shared" ref="L199:L202" si="62">SUM(I199:K199)</f>
        <v>1000</v>
      </c>
      <c r="M199" s="1434"/>
    </row>
    <row r="200" spans="1:13" s="1435" customFormat="1" x14ac:dyDescent="0.3">
      <c r="A200" s="1423">
        <v>189</v>
      </c>
      <c r="B200" s="1424"/>
      <c r="C200" s="1425"/>
      <c r="D200" s="1436" t="s">
        <v>1064</v>
      </c>
      <c r="E200" s="1427"/>
      <c r="F200" s="1428"/>
      <c r="G200" s="1429"/>
      <c r="H200" s="1430"/>
      <c r="I200" s="1431"/>
      <c r="J200" s="1437">
        <v>0</v>
      </c>
      <c r="K200" s="1432"/>
      <c r="L200" s="1438">
        <f t="shared" ref="L200" si="63">SUM(I200:K200)</f>
        <v>0</v>
      </c>
      <c r="M200" s="1434"/>
    </row>
    <row r="201" spans="1:13" s="1450" customFormat="1" x14ac:dyDescent="0.3">
      <c r="A201" s="1402">
        <v>190</v>
      </c>
      <c r="B201" s="1439"/>
      <c r="C201" s="1440"/>
      <c r="D201" s="1441" t="s">
        <v>999</v>
      </c>
      <c r="E201" s="1442"/>
      <c r="F201" s="1443"/>
      <c r="G201" s="1444"/>
      <c r="H201" s="1445"/>
      <c r="I201" s="1446"/>
      <c r="J201" s="1447"/>
      <c r="K201" s="1447"/>
      <c r="L201" s="1448">
        <f t="shared" si="62"/>
        <v>0</v>
      </c>
      <c r="M201" s="1449"/>
    </row>
    <row r="202" spans="1:13" s="1459" customFormat="1" x14ac:dyDescent="0.3">
      <c r="A202" s="1402">
        <v>191</v>
      </c>
      <c r="B202" s="1451"/>
      <c r="C202" s="1452"/>
      <c r="D202" s="1436" t="s">
        <v>1116</v>
      </c>
      <c r="E202" s="1453"/>
      <c r="F202" s="1454"/>
      <c r="G202" s="1455"/>
      <c r="H202" s="1456"/>
      <c r="I202" s="1457"/>
      <c r="J202" s="1457">
        <f>SUM(J200:J201)</f>
        <v>0</v>
      </c>
      <c r="K202" s="1457">
        <f>SUM(K200:K201)</f>
        <v>0</v>
      </c>
      <c r="L202" s="1438">
        <f t="shared" si="62"/>
        <v>0</v>
      </c>
      <c r="M202" s="1458"/>
    </row>
    <row r="203" spans="1:13" ht="16.5" x14ac:dyDescent="0.3">
      <c r="A203" s="1423">
        <v>192</v>
      </c>
      <c r="B203" s="1412"/>
      <c r="C203" s="1460">
        <v>39</v>
      </c>
      <c r="D203" s="1466" t="s">
        <v>777</v>
      </c>
      <c r="E203" s="1415">
        <f>F203+G203+L207+M204</f>
        <v>4886</v>
      </c>
      <c r="F203" s="1416"/>
      <c r="G203" s="1417">
        <v>1753</v>
      </c>
      <c r="H203" s="1418" t="s">
        <v>24</v>
      </c>
      <c r="I203" s="1419"/>
      <c r="J203" s="1420"/>
      <c r="K203" s="1420"/>
      <c r="L203" s="1421"/>
      <c r="M203" s="1422"/>
    </row>
    <row r="204" spans="1:13" s="1435" customFormat="1" x14ac:dyDescent="0.3">
      <c r="A204" s="1402">
        <v>193</v>
      </c>
      <c r="B204" s="1424"/>
      <c r="C204" s="1425"/>
      <c r="D204" s="1426" t="s">
        <v>311</v>
      </c>
      <c r="E204" s="1427"/>
      <c r="F204" s="1428"/>
      <c r="G204" s="1429"/>
      <c r="H204" s="1430"/>
      <c r="I204" s="1431"/>
      <c r="J204" s="1432">
        <v>1183</v>
      </c>
      <c r="K204" s="1432"/>
      <c r="L204" s="1433">
        <f t="shared" si="0"/>
        <v>1183</v>
      </c>
      <c r="M204" s="1434"/>
    </row>
    <row r="205" spans="1:13" s="1435" customFormat="1" x14ac:dyDescent="0.3">
      <c r="A205" s="1402">
        <v>194</v>
      </c>
      <c r="B205" s="1424"/>
      <c r="C205" s="1425"/>
      <c r="D205" s="1436" t="s">
        <v>1064</v>
      </c>
      <c r="E205" s="1427"/>
      <c r="F205" s="1428"/>
      <c r="G205" s="1429"/>
      <c r="H205" s="1430"/>
      <c r="I205" s="1431"/>
      <c r="J205" s="1437">
        <v>3133</v>
      </c>
      <c r="K205" s="1432"/>
      <c r="L205" s="1438">
        <f t="shared" ref="L205" si="64">SUM(I205:K205)</f>
        <v>3133</v>
      </c>
      <c r="M205" s="1434"/>
    </row>
    <row r="206" spans="1:13" s="1450" customFormat="1" x14ac:dyDescent="0.3">
      <c r="A206" s="1423">
        <v>195</v>
      </c>
      <c r="B206" s="1439"/>
      <c r="C206" s="1440"/>
      <c r="D206" s="1441" t="s">
        <v>1012</v>
      </c>
      <c r="E206" s="1442"/>
      <c r="F206" s="1443"/>
      <c r="G206" s="1444"/>
      <c r="H206" s="1445"/>
      <c r="I206" s="1446"/>
      <c r="J206" s="1447"/>
      <c r="K206" s="1447"/>
      <c r="L206" s="1448">
        <f t="shared" si="0"/>
        <v>0</v>
      </c>
      <c r="M206" s="1449"/>
    </row>
    <row r="207" spans="1:13" s="1459" customFormat="1" x14ac:dyDescent="0.3">
      <c r="A207" s="1402">
        <v>196</v>
      </c>
      <c r="B207" s="1451"/>
      <c r="C207" s="1452"/>
      <c r="D207" s="1436" t="s">
        <v>1116</v>
      </c>
      <c r="E207" s="1453"/>
      <c r="F207" s="1454"/>
      <c r="G207" s="1455"/>
      <c r="H207" s="1456"/>
      <c r="I207" s="1457"/>
      <c r="J207" s="1457">
        <f>SUM(J205:J206)</f>
        <v>3133</v>
      </c>
      <c r="K207" s="1457">
        <f>SUM(K205:K206)</f>
        <v>0</v>
      </c>
      <c r="L207" s="1438">
        <f t="shared" si="0"/>
        <v>3133</v>
      </c>
      <c r="M207" s="1458"/>
    </row>
    <row r="208" spans="1:13" ht="33" x14ac:dyDescent="0.3">
      <c r="A208" s="1402">
        <v>197</v>
      </c>
      <c r="B208" s="1412"/>
      <c r="C208" s="1460">
        <v>40</v>
      </c>
      <c r="D208" s="150" t="s">
        <v>788</v>
      </c>
      <c r="E208" s="1415">
        <f>F208+G208+L212+M209</f>
        <v>500</v>
      </c>
      <c r="F208" s="1416"/>
      <c r="G208" s="1417"/>
      <c r="H208" s="1418" t="s">
        <v>24</v>
      </c>
      <c r="I208" s="1419"/>
      <c r="J208" s="1420"/>
      <c r="K208" s="1420"/>
      <c r="L208" s="1421"/>
      <c r="M208" s="1422"/>
    </row>
    <row r="209" spans="1:13" s="1435" customFormat="1" x14ac:dyDescent="0.3">
      <c r="A209" s="1423">
        <v>198</v>
      </c>
      <c r="B209" s="1424"/>
      <c r="C209" s="1425"/>
      <c r="D209" s="1426" t="s">
        <v>311</v>
      </c>
      <c r="E209" s="1427"/>
      <c r="F209" s="1428"/>
      <c r="G209" s="1429"/>
      <c r="H209" s="1430"/>
      <c r="I209" s="1431"/>
      <c r="J209" s="1432">
        <v>500</v>
      </c>
      <c r="K209" s="1432"/>
      <c r="L209" s="1433">
        <f t="shared" ref="L209:L212" si="65">SUM(I209:K209)</f>
        <v>500</v>
      </c>
      <c r="M209" s="1434"/>
    </row>
    <row r="210" spans="1:13" s="1435" customFormat="1" x14ac:dyDescent="0.3">
      <c r="A210" s="1402">
        <v>199</v>
      </c>
      <c r="B210" s="1424"/>
      <c r="C210" s="1425"/>
      <c r="D210" s="1436" t="s">
        <v>1064</v>
      </c>
      <c r="E210" s="1427"/>
      <c r="F210" s="1428"/>
      <c r="G210" s="1429"/>
      <c r="H210" s="1430"/>
      <c r="I210" s="1431"/>
      <c r="J210" s="1437">
        <v>500</v>
      </c>
      <c r="K210" s="1432"/>
      <c r="L210" s="1438">
        <f t="shared" ref="L210" si="66">SUM(I210:K210)</f>
        <v>500</v>
      </c>
      <c r="M210" s="1434"/>
    </row>
    <row r="211" spans="1:13" s="1450" customFormat="1" x14ac:dyDescent="0.3">
      <c r="A211" s="1402">
        <v>200</v>
      </c>
      <c r="B211" s="1439"/>
      <c r="C211" s="1440"/>
      <c r="D211" s="1441" t="s">
        <v>999</v>
      </c>
      <c r="E211" s="1442"/>
      <c r="F211" s="1443"/>
      <c r="G211" s="1444"/>
      <c r="H211" s="1445"/>
      <c r="I211" s="1446"/>
      <c r="J211" s="1447"/>
      <c r="K211" s="1447"/>
      <c r="L211" s="1448">
        <f t="shared" si="65"/>
        <v>0</v>
      </c>
      <c r="M211" s="1449"/>
    </row>
    <row r="212" spans="1:13" s="1459" customFormat="1" x14ac:dyDescent="0.3">
      <c r="A212" s="1423">
        <v>201</v>
      </c>
      <c r="B212" s="1451"/>
      <c r="C212" s="1452"/>
      <c r="D212" s="1436" t="s">
        <v>1116</v>
      </c>
      <c r="E212" s="1453"/>
      <c r="F212" s="1454"/>
      <c r="G212" s="1455"/>
      <c r="H212" s="1456"/>
      <c r="I212" s="1457"/>
      <c r="J212" s="1457">
        <f>SUM(J210:J211)</f>
        <v>500</v>
      </c>
      <c r="K212" s="1457">
        <f>SUM(K210:K211)</f>
        <v>0</v>
      </c>
      <c r="L212" s="1438">
        <f t="shared" si="65"/>
        <v>500</v>
      </c>
      <c r="M212" s="1458"/>
    </row>
    <row r="213" spans="1:13" ht="16.5" x14ac:dyDescent="0.3">
      <c r="A213" s="1402">
        <v>202</v>
      </c>
      <c r="B213" s="1412"/>
      <c r="C213" s="1460">
        <v>41</v>
      </c>
      <c r="D213" s="150" t="s">
        <v>778</v>
      </c>
      <c r="E213" s="1415">
        <f>F213+G213+L217+M214</f>
        <v>1000</v>
      </c>
      <c r="F213" s="1416"/>
      <c r="G213" s="1417"/>
      <c r="H213" s="1418" t="s">
        <v>24</v>
      </c>
      <c r="I213" s="1419"/>
      <c r="J213" s="1420"/>
      <c r="K213" s="1420"/>
      <c r="L213" s="1421"/>
      <c r="M213" s="1422"/>
    </row>
    <row r="214" spans="1:13" s="1435" customFormat="1" x14ac:dyDescent="0.3">
      <c r="A214" s="1402">
        <v>203</v>
      </c>
      <c r="B214" s="1424"/>
      <c r="C214" s="1425"/>
      <c r="D214" s="1426" t="s">
        <v>311</v>
      </c>
      <c r="E214" s="1427"/>
      <c r="F214" s="1428"/>
      <c r="G214" s="1429"/>
      <c r="H214" s="1430"/>
      <c r="I214" s="1431"/>
      <c r="J214" s="1432">
        <v>1000</v>
      </c>
      <c r="K214" s="1432"/>
      <c r="L214" s="1433">
        <f t="shared" si="0"/>
        <v>1000</v>
      </c>
      <c r="M214" s="1434"/>
    </row>
    <row r="215" spans="1:13" s="1435" customFormat="1" x14ac:dyDescent="0.3">
      <c r="A215" s="1423">
        <v>204</v>
      </c>
      <c r="B215" s="1424"/>
      <c r="C215" s="1425"/>
      <c r="D215" s="1436" t="s">
        <v>1064</v>
      </c>
      <c r="E215" s="1427"/>
      <c r="F215" s="1428"/>
      <c r="G215" s="1429"/>
      <c r="H215" s="1430"/>
      <c r="I215" s="1431"/>
      <c r="J215" s="1437">
        <v>1000</v>
      </c>
      <c r="K215" s="1432"/>
      <c r="L215" s="1438">
        <f t="shared" ref="L215" si="67">SUM(I215:K215)</f>
        <v>1000</v>
      </c>
      <c r="M215" s="1434"/>
    </row>
    <row r="216" spans="1:13" s="1450" customFormat="1" x14ac:dyDescent="0.3">
      <c r="A216" s="1402">
        <v>205</v>
      </c>
      <c r="B216" s="1439"/>
      <c r="C216" s="1440"/>
      <c r="D216" s="1441" t="s">
        <v>999</v>
      </c>
      <c r="E216" s="1442"/>
      <c r="F216" s="1443"/>
      <c r="G216" s="1444"/>
      <c r="H216" s="1445"/>
      <c r="I216" s="1446"/>
      <c r="J216" s="1447"/>
      <c r="K216" s="1447"/>
      <c r="L216" s="1448">
        <f t="shared" si="0"/>
        <v>0</v>
      </c>
      <c r="M216" s="1449"/>
    </row>
    <row r="217" spans="1:13" s="1459" customFormat="1" x14ac:dyDescent="0.3">
      <c r="A217" s="1402">
        <v>206</v>
      </c>
      <c r="B217" s="1451"/>
      <c r="C217" s="1452"/>
      <c r="D217" s="1436" t="s">
        <v>1116</v>
      </c>
      <c r="E217" s="1453"/>
      <c r="F217" s="1454"/>
      <c r="G217" s="1455"/>
      <c r="H217" s="1456"/>
      <c r="I217" s="1457"/>
      <c r="J217" s="1457">
        <f>SUM(J215:J216)</f>
        <v>1000</v>
      </c>
      <c r="K217" s="1457">
        <f>SUM(K215:K216)</f>
        <v>0</v>
      </c>
      <c r="L217" s="1438">
        <f t="shared" si="0"/>
        <v>1000</v>
      </c>
      <c r="M217" s="1458"/>
    </row>
    <row r="218" spans="1:13" ht="16.5" x14ac:dyDescent="0.3">
      <c r="A218" s="1423">
        <v>207</v>
      </c>
      <c r="B218" s="1412"/>
      <c r="C218" s="1460">
        <v>42</v>
      </c>
      <c r="D218" s="150" t="s">
        <v>779</v>
      </c>
      <c r="E218" s="1415">
        <f>F218+G218+L222+M219</f>
        <v>999</v>
      </c>
      <c r="F218" s="1415"/>
      <c r="G218" s="1417">
        <v>999</v>
      </c>
      <c r="H218" s="1418" t="s">
        <v>24</v>
      </c>
      <c r="I218" s="1461"/>
      <c r="J218" s="1415"/>
      <c r="K218" s="1415"/>
      <c r="L218" s="1462"/>
      <c r="M218" s="1422"/>
    </row>
    <row r="219" spans="1:13" s="1435" customFormat="1" x14ac:dyDescent="0.3">
      <c r="A219" s="1402">
        <v>208</v>
      </c>
      <c r="B219" s="1424"/>
      <c r="C219" s="1425"/>
      <c r="D219" s="1426" t="s">
        <v>311</v>
      </c>
      <c r="E219" s="1427"/>
      <c r="F219" s="1428"/>
      <c r="G219" s="1429"/>
      <c r="H219" s="1430"/>
      <c r="I219" s="1431"/>
      <c r="J219" s="1432">
        <v>13843</v>
      </c>
      <c r="K219" s="1432"/>
      <c r="L219" s="1433">
        <f t="shared" ref="L219:L222" si="68">SUM(I219:K219)</f>
        <v>13843</v>
      </c>
      <c r="M219" s="1434"/>
    </row>
    <row r="220" spans="1:13" s="1435" customFormat="1" x14ac:dyDescent="0.3">
      <c r="A220" s="1402">
        <v>209</v>
      </c>
      <c r="B220" s="1424"/>
      <c r="C220" s="1425"/>
      <c r="D220" s="1436" t="s">
        <v>1064</v>
      </c>
      <c r="E220" s="1427"/>
      <c r="F220" s="1428"/>
      <c r="G220" s="1429"/>
      <c r="H220" s="1430"/>
      <c r="I220" s="1431"/>
      <c r="J220" s="1437">
        <v>0</v>
      </c>
      <c r="K220" s="1432"/>
      <c r="L220" s="1438">
        <f t="shared" ref="L220" si="69">SUM(I220:K220)</f>
        <v>0</v>
      </c>
      <c r="M220" s="1434"/>
    </row>
    <row r="221" spans="1:13" s="1450" customFormat="1" x14ac:dyDescent="0.3">
      <c r="A221" s="1423">
        <v>210</v>
      </c>
      <c r="B221" s="1439"/>
      <c r="C221" s="1440"/>
      <c r="D221" s="1441" t="s">
        <v>1012</v>
      </c>
      <c r="E221" s="1442"/>
      <c r="F221" s="1443"/>
      <c r="G221" s="1444"/>
      <c r="H221" s="1445"/>
      <c r="I221" s="1446"/>
      <c r="J221" s="1447"/>
      <c r="K221" s="1447"/>
      <c r="L221" s="1448">
        <f t="shared" si="68"/>
        <v>0</v>
      </c>
      <c r="M221" s="1449"/>
    </row>
    <row r="222" spans="1:13" s="1459" customFormat="1" x14ac:dyDescent="0.3">
      <c r="A222" s="1402">
        <v>211</v>
      </c>
      <c r="B222" s="1451"/>
      <c r="C222" s="1452"/>
      <c r="D222" s="1436" t="s">
        <v>1116</v>
      </c>
      <c r="E222" s="1453"/>
      <c r="F222" s="1454"/>
      <c r="G222" s="1455"/>
      <c r="H222" s="1456"/>
      <c r="I222" s="1457"/>
      <c r="J222" s="1457">
        <f>SUM(J220:J221)</f>
        <v>0</v>
      </c>
      <c r="K222" s="1457">
        <f>SUM(K220:K221)</f>
        <v>0</v>
      </c>
      <c r="L222" s="1438">
        <f t="shared" si="68"/>
        <v>0</v>
      </c>
      <c r="M222" s="1458"/>
    </row>
    <row r="223" spans="1:13" ht="33" x14ac:dyDescent="0.3">
      <c r="A223" s="1402">
        <v>212</v>
      </c>
      <c r="B223" s="1412"/>
      <c r="C223" s="1460">
        <v>43</v>
      </c>
      <c r="D223" s="150" t="s">
        <v>780</v>
      </c>
      <c r="E223" s="1415">
        <f>F223+G223+L227+M224</f>
        <v>0</v>
      </c>
      <c r="F223" s="1415"/>
      <c r="G223" s="1417"/>
      <c r="H223" s="1418" t="s">
        <v>24</v>
      </c>
      <c r="I223" s="1461"/>
      <c r="J223" s="1415"/>
      <c r="K223" s="1415"/>
      <c r="L223" s="1462"/>
      <c r="M223" s="1422"/>
    </row>
    <row r="224" spans="1:13" s="1435" customFormat="1" x14ac:dyDescent="0.3">
      <c r="A224" s="1423">
        <v>213</v>
      </c>
      <c r="B224" s="1424"/>
      <c r="C224" s="1425"/>
      <c r="D224" s="1426" t="s">
        <v>311</v>
      </c>
      <c r="E224" s="1427"/>
      <c r="F224" s="1428"/>
      <c r="G224" s="1429"/>
      <c r="H224" s="1430"/>
      <c r="I224" s="1431"/>
      <c r="J224" s="1432">
        <v>5000</v>
      </c>
      <c r="K224" s="1432"/>
      <c r="L224" s="1433">
        <f t="shared" si="0"/>
        <v>5000</v>
      </c>
      <c r="M224" s="1434"/>
    </row>
    <row r="225" spans="1:251" s="1435" customFormat="1" x14ac:dyDescent="0.3">
      <c r="A225" s="1402">
        <v>214</v>
      </c>
      <c r="B225" s="1424"/>
      <c r="C225" s="1425"/>
      <c r="D225" s="1436" t="s">
        <v>1064</v>
      </c>
      <c r="E225" s="1427"/>
      <c r="F225" s="1428"/>
      <c r="G225" s="1429"/>
      <c r="H225" s="1430"/>
      <c r="I225" s="1431"/>
      <c r="J225" s="1437">
        <v>0</v>
      </c>
      <c r="K225" s="1432"/>
      <c r="L225" s="1438">
        <f t="shared" ref="L225" si="70">SUM(I225:K225)</f>
        <v>0</v>
      </c>
      <c r="M225" s="1434"/>
    </row>
    <row r="226" spans="1:251" s="1450" customFormat="1" x14ac:dyDescent="0.3">
      <c r="A226" s="1402">
        <v>215</v>
      </c>
      <c r="B226" s="1439"/>
      <c r="C226" s="1440"/>
      <c r="D226" s="1441" t="s">
        <v>999</v>
      </c>
      <c r="E226" s="1442"/>
      <c r="F226" s="1443"/>
      <c r="G226" s="1444"/>
      <c r="H226" s="1445"/>
      <c r="I226" s="1446"/>
      <c r="J226" s="1447"/>
      <c r="K226" s="1447"/>
      <c r="L226" s="1448">
        <f t="shared" si="0"/>
        <v>0</v>
      </c>
      <c r="M226" s="1449"/>
    </row>
    <row r="227" spans="1:251" s="1459" customFormat="1" x14ac:dyDescent="0.3">
      <c r="A227" s="1423">
        <v>216</v>
      </c>
      <c r="B227" s="1451"/>
      <c r="C227" s="1452"/>
      <c r="D227" s="1436" t="s">
        <v>1116</v>
      </c>
      <c r="E227" s="1453"/>
      <c r="F227" s="1454"/>
      <c r="G227" s="1455"/>
      <c r="H227" s="1456"/>
      <c r="I227" s="1457"/>
      <c r="J227" s="1457">
        <f>SUM(J225:J226)</f>
        <v>0</v>
      </c>
      <c r="K227" s="1457">
        <f>SUM(K225:K226)</f>
        <v>0</v>
      </c>
      <c r="L227" s="1438">
        <f t="shared" si="0"/>
        <v>0</v>
      </c>
      <c r="M227" s="1458"/>
    </row>
    <row r="228" spans="1:251" ht="16.5" x14ac:dyDescent="0.3">
      <c r="A228" s="1402">
        <v>217</v>
      </c>
      <c r="B228" s="1412"/>
      <c r="C228" s="1460">
        <v>44</v>
      </c>
      <c r="D228" s="150" t="s">
        <v>781</v>
      </c>
      <c r="E228" s="1415">
        <f>F228+G228+L232+M229</f>
        <v>7651</v>
      </c>
      <c r="F228" s="1416"/>
      <c r="G228" s="1417"/>
      <c r="H228" s="1418" t="s">
        <v>24</v>
      </c>
      <c r="I228" s="1461"/>
      <c r="J228" s="1415"/>
      <c r="K228" s="1415"/>
      <c r="L228" s="1462"/>
      <c r="M228" s="1422"/>
      <c r="N228" s="264"/>
      <c r="O228" s="264"/>
      <c r="P228" s="264"/>
      <c r="Q228" s="264"/>
      <c r="R228" s="264"/>
      <c r="S228" s="264"/>
      <c r="T228" s="264"/>
      <c r="U228" s="264"/>
      <c r="V228" s="264"/>
      <c r="W228" s="264"/>
      <c r="X228" s="264"/>
      <c r="Y228" s="264"/>
      <c r="Z228" s="264"/>
      <c r="AA228" s="264"/>
      <c r="AB228" s="264"/>
      <c r="AC228" s="264"/>
      <c r="AD228" s="264"/>
      <c r="AE228" s="264"/>
      <c r="AF228" s="264"/>
      <c r="AG228" s="264"/>
      <c r="AH228" s="264"/>
      <c r="AI228" s="264"/>
      <c r="AJ228" s="264"/>
      <c r="AK228" s="264"/>
      <c r="AL228" s="264"/>
      <c r="AM228" s="264"/>
      <c r="AN228" s="264"/>
      <c r="AO228" s="264"/>
      <c r="AP228" s="264"/>
      <c r="AQ228" s="264"/>
      <c r="AR228" s="264"/>
      <c r="AS228" s="264"/>
      <c r="AT228" s="264"/>
      <c r="AU228" s="264"/>
      <c r="AV228" s="264"/>
      <c r="AW228" s="264"/>
      <c r="AX228" s="264"/>
      <c r="AY228" s="264"/>
      <c r="AZ228" s="264"/>
      <c r="BA228" s="264"/>
      <c r="BB228" s="264"/>
      <c r="BC228" s="264"/>
      <c r="BD228" s="264"/>
      <c r="BE228" s="264"/>
      <c r="BF228" s="264"/>
      <c r="BG228" s="264"/>
      <c r="BH228" s="264"/>
      <c r="BI228" s="264"/>
      <c r="BJ228" s="264"/>
      <c r="BK228" s="264"/>
      <c r="BL228" s="264"/>
      <c r="BM228" s="264"/>
      <c r="BN228" s="264"/>
      <c r="BO228" s="264"/>
      <c r="BP228" s="264"/>
      <c r="BQ228" s="264"/>
      <c r="BR228" s="264"/>
      <c r="BS228" s="264"/>
      <c r="BT228" s="264"/>
      <c r="BU228" s="264"/>
      <c r="BV228" s="264"/>
      <c r="BW228" s="264"/>
      <c r="BX228" s="264"/>
      <c r="BY228" s="264"/>
      <c r="BZ228" s="264"/>
      <c r="CA228" s="264"/>
      <c r="CB228" s="264"/>
      <c r="CC228" s="264"/>
      <c r="CD228" s="264"/>
      <c r="CE228" s="264"/>
      <c r="CF228" s="264"/>
      <c r="CG228" s="264"/>
      <c r="CH228" s="264"/>
      <c r="CI228" s="264"/>
      <c r="CJ228" s="264"/>
      <c r="CK228" s="264"/>
      <c r="CL228" s="264"/>
      <c r="CM228" s="264"/>
      <c r="CN228" s="264"/>
      <c r="CO228" s="264"/>
      <c r="CP228" s="264"/>
      <c r="CQ228" s="264"/>
      <c r="CR228" s="264"/>
      <c r="CS228" s="264"/>
      <c r="CT228" s="264"/>
      <c r="CU228" s="264"/>
      <c r="CV228" s="264"/>
      <c r="CW228" s="264"/>
      <c r="CX228" s="264"/>
      <c r="CY228" s="264"/>
      <c r="CZ228" s="264"/>
      <c r="DA228" s="264"/>
      <c r="DB228" s="264"/>
      <c r="DC228" s="264"/>
      <c r="DD228" s="264"/>
      <c r="DE228" s="264"/>
      <c r="DF228" s="264"/>
      <c r="DG228" s="264"/>
      <c r="DH228" s="264"/>
      <c r="DI228" s="264"/>
      <c r="DJ228" s="264"/>
      <c r="DK228" s="264"/>
      <c r="DL228" s="264"/>
      <c r="DM228" s="264"/>
      <c r="DN228" s="264"/>
      <c r="DO228" s="264"/>
      <c r="DP228" s="264"/>
      <c r="DQ228" s="264"/>
      <c r="DR228" s="264"/>
      <c r="DS228" s="264"/>
      <c r="DT228" s="264"/>
      <c r="DU228" s="264"/>
      <c r="DV228" s="264"/>
      <c r="DW228" s="264"/>
      <c r="DX228" s="264"/>
      <c r="DY228" s="264"/>
      <c r="DZ228" s="264"/>
      <c r="EA228" s="264"/>
      <c r="EB228" s="264"/>
      <c r="EC228" s="264"/>
      <c r="ED228" s="264"/>
      <c r="EE228" s="264"/>
      <c r="EF228" s="264"/>
      <c r="EG228" s="264"/>
      <c r="EH228" s="264"/>
      <c r="EI228" s="264"/>
      <c r="EJ228" s="264"/>
      <c r="EK228" s="264"/>
      <c r="EL228" s="264"/>
      <c r="EM228" s="264"/>
      <c r="EN228" s="264"/>
      <c r="EO228" s="264"/>
      <c r="EP228" s="264"/>
      <c r="EQ228" s="264"/>
      <c r="ER228" s="264"/>
      <c r="ES228" s="264"/>
      <c r="ET228" s="264"/>
      <c r="EU228" s="264"/>
      <c r="EV228" s="264"/>
      <c r="EW228" s="264"/>
      <c r="EX228" s="264"/>
      <c r="EY228" s="264"/>
      <c r="EZ228" s="264"/>
      <c r="FA228" s="264"/>
      <c r="FB228" s="264"/>
      <c r="FC228" s="264"/>
      <c r="FD228" s="264"/>
      <c r="FE228" s="264"/>
      <c r="FF228" s="264"/>
      <c r="FG228" s="264"/>
      <c r="FH228" s="264"/>
      <c r="FI228" s="264"/>
      <c r="FJ228" s="264"/>
      <c r="FK228" s="264"/>
      <c r="FL228" s="264"/>
      <c r="FM228" s="264"/>
      <c r="FN228" s="264"/>
      <c r="FO228" s="264"/>
      <c r="FP228" s="264"/>
      <c r="FQ228" s="264"/>
      <c r="FR228" s="264"/>
      <c r="FS228" s="264"/>
      <c r="FT228" s="264"/>
      <c r="FU228" s="264"/>
      <c r="FV228" s="264"/>
      <c r="FW228" s="264"/>
      <c r="FX228" s="264"/>
      <c r="FY228" s="264"/>
      <c r="FZ228" s="264"/>
      <c r="GA228" s="264"/>
      <c r="GB228" s="264"/>
      <c r="GC228" s="264"/>
      <c r="GD228" s="264"/>
      <c r="GE228" s="264"/>
      <c r="GF228" s="264"/>
      <c r="GG228" s="264"/>
      <c r="GH228" s="264"/>
      <c r="GI228" s="264"/>
      <c r="GJ228" s="264"/>
      <c r="GK228" s="264"/>
      <c r="GL228" s="264"/>
      <c r="GM228" s="264"/>
      <c r="GN228" s="264"/>
      <c r="GO228" s="264"/>
      <c r="GP228" s="264"/>
      <c r="GQ228" s="264"/>
      <c r="GR228" s="264"/>
      <c r="GS228" s="264"/>
      <c r="GT228" s="264"/>
      <c r="GU228" s="264"/>
      <c r="GV228" s="264"/>
      <c r="GW228" s="264"/>
      <c r="GX228" s="264"/>
      <c r="GY228" s="264"/>
      <c r="GZ228" s="264"/>
      <c r="HA228" s="264"/>
      <c r="HB228" s="264"/>
      <c r="HC228" s="264"/>
      <c r="HD228" s="264"/>
      <c r="HE228" s="264"/>
      <c r="HF228" s="264"/>
      <c r="HG228" s="264"/>
      <c r="HH228" s="264"/>
      <c r="HI228" s="264"/>
      <c r="HJ228" s="264"/>
      <c r="HK228" s="264"/>
      <c r="HL228" s="264"/>
      <c r="HM228" s="264"/>
      <c r="HN228" s="264"/>
      <c r="HO228" s="264"/>
      <c r="HP228" s="264"/>
      <c r="HQ228" s="264"/>
      <c r="HR228" s="264"/>
      <c r="HS228" s="264"/>
      <c r="HT228" s="264"/>
      <c r="HU228" s="264"/>
      <c r="HV228" s="264"/>
      <c r="HW228" s="264"/>
      <c r="HX228" s="264"/>
      <c r="HY228" s="264"/>
      <c r="HZ228" s="264"/>
      <c r="IA228" s="264"/>
      <c r="IB228" s="264"/>
      <c r="IC228" s="264"/>
      <c r="ID228" s="264"/>
      <c r="IE228" s="264"/>
      <c r="IF228" s="264"/>
      <c r="IG228" s="264"/>
      <c r="IH228" s="264"/>
      <c r="II228" s="264"/>
      <c r="IJ228" s="264"/>
      <c r="IK228" s="264"/>
      <c r="IL228" s="264"/>
      <c r="IM228" s="264"/>
      <c r="IN228" s="264"/>
      <c r="IO228" s="264"/>
      <c r="IP228" s="264"/>
      <c r="IQ228" s="264"/>
    </row>
    <row r="229" spans="1:251" s="1435" customFormat="1" x14ac:dyDescent="0.3">
      <c r="A229" s="1402">
        <v>218</v>
      </c>
      <c r="B229" s="1424"/>
      <c r="C229" s="1425"/>
      <c r="D229" s="1426" t="s">
        <v>311</v>
      </c>
      <c r="E229" s="1427"/>
      <c r="F229" s="1428"/>
      <c r="G229" s="1429"/>
      <c r="H229" s="1430"/>
      <c r="I229" s="1431"/>
      <c r="J229" s="1432">
        <v>7651</v>
      </c>
      <c r="K229" s="1432"/>
      <c r="L229" s="1433">
        <f t="shared" ref="L229:L232" si="71">SUM(I229:K229)</f>
        <v>7651</v>
      </c>
      <c r="M229" s="1434"/>
    </row>
    <row r="230" spans="1:251" s="1435" customFormat="1" x14ac:dyDescent="0.3">
      <c r="A230" s="1423">
        <v>219</v>
      </c>
      <c r="B230" s="1424"/>
      <c r="C230" s="1425"/>
      <c r="D230" s="1436" t="s">
        <v>1064</v>
      </c>
      <c r="E230" s="1427"/>
      <c r="F230" s="1428"/>
      <c r="G230" s="1429"/>
      <c r="H230" s="1430"/>
      <c r="I230" s="1431"/>
      <c r="J230" s="1437">
        <v>7651</v>
      </c>
      <c r="K230" s="1432"/>
      <c r="L230" s="1438">
        <f t="shared" ref="L230" si="72">SUM(I230:K230)</f>
        <v>7651</v>
      </c>
      <c r="M230" s="1434"/>
    </row>
    <row r="231" spans="1:251" s="1450" customFormat="1" x14ac:dyDescent="0.3">
      <c r="A231" s="1402">
        <v>220</v>
      </c>
      <c r="B231" s="1439"/>
      <c r="C231" s="1440"/>
      <c r="D231" s="1441" t="s">
        <v>999</v>
      </c>
      <c r="E231" s="1442"/>
      <c r="F231" s="1443"/>
      <c r="G231" s="1444"/>
      <c r="H231" s="1445"/>
      <c r="I231" s="1446"/>
      <c r="J231" s="1447"/>
      <c r="K231" s="1447"/>
      <c r="L231" s="1448">
        <f t="shared" si="71"/>
        <v>0</v>
      </c>
      <c r="M231" s="1449"/>
    </row>
    <row r="232" spans="1:251" s="1459" customFormat="1" x14ac:dyDescent="0.3">
      <c r="A232" s="1402">
        <v>221</v>
      </c>
      <c r="B232" s="1451"/>
      <c r="C232" s="1452"/>
      <c r="D232" s="1436" t="s">
        <v>1116</v>
      </c>
      <c r="E232" s="1453"/>
      <c r="F232" s="1454"/>
      <c r="G232" s="1455"/>
      <c r="H232" s="1456"/>
      <c r="I232" s="1457"/>
      <c r="J232" s="1457">
        <f>SUM(J230:J231)</f>
        <v>7651</v>
      </c>
      <c r="K232" s="1457">
        <f>SUM(K230:K231)</f>
        <v>0</v>
      </c>
      <c r="L232" s="1438">
        <f t="shared" si="71"/>
        <v>7651</v>
      </c>
      <c r="M232" s="1458"/>
    </row>
    <row r="233" spans="1:251" ht="33" x14ac:dyDescent="0.3">
      <c r="A233" s="1423">
        <v>222</v>
      </c>
      <c r="B233" s="1412"/>
      <c r="C233" s="1413">
        <v>45</v>
      </c>
      <c r="D233" s="1414" t="s">
        <v>782</v>
      </c>
      <c r="E233" s="1415">
        <f>F233+G233+L237+M234</f>
        <v>6096</v>
      </c>
      <c r="F233" s="1416"/>
      <c r="G233" s="1417"/>
      <c r="H233" s="1418" t="s">
        <v>24</v>
      </c>
      <c r="I233" s="1461"/>
      <c r="J233" s="1415"/>
      <c r="K233" s="1415"/>
      <c r="L233" s="1462"/>
      <c r="M233" s="1422"/>
      <c r="N233" s="264"/>
      <c r="O233" s="264"/>
      <c r="P233" s="264"/>
      <c r="Q233" s="264"/>
      <c r="R233" s="264"/>
      <c r="S233" s="264"/>
      <c r="T233" s="264"/>
      <c r="U233" s="264"/>
      <c r="V233" s="264"/>
      <c r="W233" s="264"/>
      <c r="X233" s="264"/>
      <c r="Y233" s="264"/>
      <c r="Z233" s="264"/>
      <c r="AA233" s="264"/>
      <c r="AB233" s="264"/>
      <c r="AC233" s="264"/>
      <c r="AD233" s="264"/>
      <c r="AE233" s="264"/>
      <c r="AF233" s="264"/>
      <c r="AG233" s="264"/>
      <c r="AH233" s="264"/>
      <c r="AI233" s="264"/>
      <c r="AJ233" s="264"/>
      <c r="AK233" s="264"/>
      <c r="AL233" s="264"/>
      <c r="AM233" s="264"/>
      <c r="AN233" s="264"/>
      <c r="AO233" s="264"/>
      <c r="AP233" s="264"/>
      <c r="AQ233" s="264"/>
      <c r="AR233" s="264"/>
      <c r="AS233" s="264"/>
      <c r="AT233" s="264"/>
      <c r="AU233" s="264"/>
      <c r="AV233" s="264"/>
      <c r="AW233" s="264"/>
      <c r="AX233" s="264"/>
      <c r="AY233" s="264"/>
      <c r="AZ233" s="264"/>
      <c r="BA233" s="264"/>
      <c r="BB233" s="264"/>
      <c r="BC233" s="264"/>
      <c r="BD233" s="264"/>
      <c r="BE233" s="264"/>
      <c r="BF233" s="264"/>
      <c r="BG233" s="264"/>
      <c r="BH233" s="264"/>
      <c r="BI233" s="264"/>
      <c r="BJ233" s="264"/>
      <c r="BK233" s="264"/>
      <c r="BL233" s="264"/>
      <c r="BM233" s="264"/>
      <c r="BN233" s="264"/>
      <c r="BO233" s="264"/>
      <c r="BP233" s="264"/>
      <c r="BQ233" s="264"/>
      <c r="BR233" s="264"/>
      <c r="BS233" s="264"/>
      <c r="BT233" s="264"/>
      <c r="BU233" s="264"/>
      <c r="BV233" s="264"/>
      <c r="BW233" s="264"/>
      <c r="BX233" s="264"/>
      <c r="BY233" s="264"/>
      <c r="BZ233" s="264"/>
      <c r="CA233" s="264"/>
      <c r="CB233" s="264"/>
      <c r="CC233" s="264"/>
      <c r="CD233" s="264"/>
      <c r="CE233" s="264"/>
      <c r="CF233" s="264"/>
      <c r="CG233" s="264"/>
      <c r="CH233" s="264"/>
      <c r="CI233" s="264"/>
      <c r="CJ233" s="264"/>
      <c r="CK233" s="264"/>
      <c r="CL233" s="264"/>
      <c r="CM233" s="264"/>
      <c r="CN233" s="264"/>
      <c r="CO233" s="264"/>
      <c r="CP233" s="264"/>
      <c r="CQ233" s="264"/>
      <c r="CR233" s="264"/>
      <c r="CS233" s="264"/>
      <c r="CT233" s="264"/>
      <c r="CU233" s="264"/>
      <c r="CV233" s="264"/>
      <c r="CW233" s="264"/>
      <c r="CX233" s="264"/>
      <c r="CY233" s="264"/>
      <c r="CZ233" s="264"/>
      <c r="DA233" s="264"/>
      <c r="DB233" s="264"/>
      <c r="DC233" s="264"/>
      <c r="DD233" s="264"/>
      <c r="DE233" s="264"/>
      <c r="DF233" s="264"/>
      <c r="DG233" s="264"/>
      <c r="DH233" s="264"/>
      <c r="DI233" s="264"/>
      <c r="DJ233" s="264"/>
      <c r="DK233" s="264"/>
      <c r="DL233" s="264"/>
      <c r="DM233" s="264"/>
      <c r="DN233" s="264"/>
      <c r="DO233" s="264"/>
      <c r="DP233" s="264"/>
      <c r="DQ233" s="264"/>
      <c r="DR233" s="264"/>
      <c r="DS233" s="264"/>
      <c r="DT233" s="264"/>
      <c r="DU233" s="264"/>
      <c r="DV233" s="264"/>
      <c r="DW233" s="264"/>
      <c r="DX233" s="264"/>
      <c r="DY233" s="264"/>
      <c r="DZ233" s="264"/>
      <c r="EA233" s="264"/>
      <c r="EB233" s="264"/>
      <c r="EC233" s="264"/>
      <c r="ED233" s="264"/>
      <c r="EE233" s="264"/>
      <c r="EF233" s="264"/>
      <c r="EG233" s="264"/>
      <c r="EH233" s="264"/>
      <c r="EI233" s="264"/>
      <c r="EJ233" s="264"/>
      <c r="EK233" s="264"/>
      <c r="EL233" s="264"/>
      <c r="EM233" s="264"/>
      <c r="EN233" s="264"/>
      <c r="EO233" s="264"/>
      <c r="EP233" s="264"/>
      <c r="EQ233" s="264"/>
      <c r="ER233" s="264"/>
      <c r="ES233" s="264"/>
      <c r="ET233" s="264"/>
      <c r="EU233" s="264"/>
      <c r="EV233" s="264"/>
      <c r="EW233" s="264"/>
      <c r="EX233" s="264"/>
      <c r="EY233" s="264"/>
      <c r="EZ233" s="264"/>
      <c r="FA233" s="264"/>
      <c r="FB233" s="264"/>
      <c r="FC233" s="264"/>
      <c r="FD233" s="264"/>
      <c r="FE233" s="264"/>
      <c r="FF233" s="264"/>
      <c r="FG233" s="264"/>
      <c r="FH233" s="264"/>
      <c r="FI233" s="264"/>
      <c r="FJ233" s="264"/>
      <c r="FK233" s="264"/>
      <c r="FL233" s="264"/>
      <c r="FM233" s="264"/>
      <c r="FN233" s="264"/>
      <c r="FO233" s="264"/>
      <c r="FP233" s="264"/>
      <c r="FQ233" s="264"/>
      <c r="FR233" s="264"/>
      <c r="FS233" s="264"/>
      <c r="FT233" s="264"/>
      <c r="FU233" s="264"/>
      <c r="FV233" s="264"/>
      <c r="FW233" s="264"/>
      <c r="FX233" s="264"/>
      <c r="FY233" s="264"/>
      <c r="FZ233" s="264"/>
      <c r="GA233" s="264"/>
      <c r="GB233" s="264"/>
      <c r="GC233" s="264"/>
      <c r="GD233" s="264"/>
      <c r="GE233" s="264"/>
      <c r="GF233" s="264"/>
      <c r="GG233" s="264"/>
      <c r="GH233" s="264"/>
      <c r="GI233" s="264"/>
      <c r="GJ233" s="264"/>
      <c r="GK233" s="264"/>
      <c r="GL233" s="264"/>
      <c r="GM233" s="264"/>
      <c r="GN233" s="264"/>
      <c r="GO233" s="264"/>
      <c r="GP233" s="264"/>
      <c r="GQ233" s="264"/>
      <c r="GR233" s="264"/>
      <c r="GS233" s="264"/>
      <c r="GT233" s="264"/>
      <c r="GU233" s="264"/>
      <c r="GV233" s="264"/>
      <c r="GW233" s="264"/>
      <c r="GX233" s="264"/>
      <c r="GY233" s="264"/>
      <c r="GZ233" s="264"/>
      <c r="HA233" s="264"/>
      <c r="HB233" s="264"/>
      <c r="HC233" s="264"/>
      <c r="HD233" s="264"/>
      <c r="HE233" s="264"/>
      <c r="HF233" s="264"/>
      <c r="HG233" s="264"/>
      <c r="HH233" s="264"/>
      <c r="HI233" s="264"/>
      <c r="HJ233" s="264"/>
      <c r="HK233" s="264"/>
      <c r="HL233" s="264"/>
      <c r="HM233" s="264"/>
      <c r="HN233" s="264"/>
      <c r="HO233" s="264"/>
      <c r="HP233" s="264"/>
      <c r="HQ233" s="264"/>
      <c r="HR233" s="264"/>
      <c r="HS233" s="264"/>
      <c r="HT233" s="264"/>
      <c r="HU233" s="264"/>
      <c r="HV233" s="264"/>
      <c r="HW233" s="264"/>
      <c r="HX233" s="264"/>
      <c r="HY233" s="264"/>
      <c r="HZ233" s="264"/>
      <c r="IA233" s="264"/>
      <c r="IB233" s="264"/>
      <c r="IC233" s="264"/>
      <c r="ID233" s="264"/>
      <c r="IE233" s="264"/>
      <c r="IF233" s="264"/>
      <c r="IG233" s="264"/>
      <c r="IH233" s="264"/>
      <c r="II233" s="264"/>
      <c r="IJ233" s="264"/>
      <c r="IK233" s="264"/>
      <c r="IL233" s="264"/>
      <c r="IM233" s="264"/>
      <c r="IN233" s="264"/>
      <c r="IO233" s="264"/>
      <c r="IP233" s="264"/>
      <c r="IQ233" s="264"/>
    </row>
    <row r="234" spans="1:251" s="1435" customFormat="1" x14ac:dyDescent="0.3">
      <c r="A234" s="1402">
        <v>223</v>
      </c>
      <c r="B234" s="1424"/>
      <c r="C234" s="1425"/>
      <c r="D234" s="1426" t="s">
        <v>311</v>
      </c>
      <c r="E234" s="1427"/>
      <c r="F234" s="1428"/>
      <c r="G234" s="1429"/>
      <c r="H234" s="1430"/>
      <c r="I234" s="1431"/>
      <c r="J234" s="1432">
        <v>6096</v>
      </c>
      <c r="K234" s="1432"/>
      <c r="L234" s="1433">
        <f t="shared" si="0"/>
        <v>6096</v>
      </c>
      <c r="M234" s="1434"/>
    </row>
    <row r="235" spans="1:251" s="1435" customFormat="1" x14ac:dyDescent="0.3">
      <c r="A235" s="1402">
        <v>224</v>
      </c>
      <c r="B235" s="1424"/>
      <c r="C235" s="1425"/>
      <c r="D235" s="1436" t="s">
        <v>1064</v>
      </c>
      <c r="E235" s="1427"/>
      <c r="F235" s="1428"/>
      <c r="G235" s="1429"/>
      <c r="H235" s="1430"/>
      <c r="I235" s="1431"/>
      <c r="J235" s="1437">
        <v>6096</v>
      </c>
      <c r="K235" s="1432"/>
      <c r="L235" s="1438">
        <f t="shared" ref="L235" si="73">SUM(I235:K235)</f>
        <v>6096</v>
      </c>
      <c r="M235" s="1434"/>
    </row>
    <row r="236" spans="1:251" s="1450" customFormat="1" x14ac:dyDescent="0.3">
      <c r="A236" s="1423">
        <v>225</v>
      </c>
      <c r="B236" s="1439"/>
      <c r="C236" s="1440"/>
      <c r="D236" s="1441" t="s">
        <v>999</v>
      </c>
      <c r="E236" s="1442"/>
      <c r="F236" s="1443"/>
      <c r="G236" s="1444"/>
      <c r="H236" s="1445"/>
      <c r="I236" s="1446"/>
      <c r="J236" s="1447"/>
      <c r="K236" s="1447"/>
      <c r="L236" s="1448">
        <f t="shared" si="0"/>
        <v>0</v>
      </c>
      <c r="M236" s="1449"/>
    </row>
    <row r="237" spans="1:251" s="1459" customFormat="1" x14ac:dyDescent="0.3">
      <c r="A237" s="1402">
        <v>226</v>
      </c>
      <c r="B237" s="1451"/>
      <c r="C237" s="1452"/>
      <c r="D237" s="1436" t="s">
        <v>1116</v>
      </c>
      <c r="E237" s="1453"/>
      <c r="F237" s="1454"/>
      <c r="G237" s="1455"/>
      <c r="H237" s="1456"/>
      <c r="I237" s="1457"/>
      <c r="J237" s="1457">
        <f>SUM(J235:J236)</f>
        <v>6096</v>
      </c>
      <c r="K237" s="1457">
        <f>SUM(K235:K236)</f>
        <v>0</v>
      </c>
      <c r="L237" s="1438">
        <f t="shared" si="0"/>
        <v>6096</v>
      </c>
      <c r="M237" s="1458"/>
    </row>
    <row r="238" spans="1:251" ht="16.5" x14ac:dyDescent="0.3">
      <c r="A238" s="1402">
        <v>227</v>
      </c>
      <c r="B238" s="1412"/>
      <c r="C238" s="1460">
        <v>46</v>
      </c>
      <c r="D238" s="150" t="s">
        <v>783</v>
      </c>
      <c r="E238" s="1415">
        <f>F238+G238+L242+M239</f>
        <v>300</v>
      </c>
      <c r="F238" s="1416"/>
      <c r="G238" s="1417">
        <v>300</v>
      </c>
      <c r="H238" s="1418" t="s">
        <v>24</v>
      </c>
      <c r="I238" s="1461"/>
      <c r="J238" s="1415"/>
      <c r="K238" s="1415"/>
      <c r="L238" s="1462"/>
      <c r="M238" s="1422"/>
      <c r="N238" s="264"/>
      <c r="O238" s="264"/>
      <c r="P238" s="264"/>
      <c r="Q238" s="264"/>
      <c r="R238" s="264"/>
      <c r="S238" s="264"/>
      <c r="T238" s="264"/>
      <c r="U238" s="264"/>
      <c r="V238" s="264"/>
      <c r="W238" s="264"/>
      <c r="X238" s="264"/>
      <c r="Y238" s="264"/>
      <c r="Z238" s="264"/>
      <c r="AA238" s="264"/>
      <c r="AB238" s="264"/>
      <c r="AC238" s="264"/>
      <c r="AD238" s="264"/>
      <c r="AE238" s="264"/>
      <c r="AF238" s="264"/>
      <c r="AG238" s="264"/>
      <c r="AH238" s="264"/>
      <c r="AI238" s="264"/>
      <c r="AJ238" s="264"/>
      <c r="AK238" s="264"/>
      <c r="AL238" s="264"/>
      <c r="AM238" s="264"/>
      <c r="AN238" s="264"/>
      <c r="AO238" s="264"/>
      <c r="AP238" s="264"/>
      <c r="AQ238" s="264"/>
      <c r="AR238" s="264"/>
      <c r="AS238" s="264"/>
      <c r="AT238" s="264"/>
      <c r="AU238" s="264"/>
      <c r="AV238" s="264"/>
      <c r="AW238" s="264"/>
      <c r="AX238" s="264"/>
      <c r="AY238" s="264"/>
      <c r="AZ238" s="264"/>
      <c r="BA238" s="264"/>
      <c r="BB238" s="264"/>
      <c r="BC238" s="264"/>
      <c r="BD238" s="264"/>
      <c r="BE238" s="264"/>
      <c r="BF238" s="264"/>
      <c r="BG238" s="264"/>
      <c r="BH238" s="264"/>
      <c r="BI238" s="264"/>
      <c r="BJ238" s="264"/>
      <c r="BK238" s="264"/>
      <c r="BL238" s="264"/>
      <c r="BM238" s="264"/>
      <c r="BN238" s="264"/>
      <c r="BO238" s="264"/>
      <c r="BP238" s="264"/>
      <c r="BQ238" s="264"/>
      <c r="BR238" s="264"/>
      <c r="BS238" s="264"/>
      <c r="BT238" s="264"/>
      <c r="BU238" s="264"/>
      <c r="BV238" s="264"/>
      <c r="BW238" s="264"/>
      <c r="BX238" s="264"/>
      <c r="BY238" s="264"/>
      <c r="BZ238" s="264"/>
      <c r="CA238" s="264"/>
      <c r="CB238" s="264"/>
      <c r="CC238" s="264"/>
      <c r="CD238" s="264"/>
      <c r="CE238" s="264"/>
      <c r="CF238" s="264"/>
      <c r="CG238" s="264"/>
      <c r="CH238" s="264"/>
      <c r="CI238" s="264"/>
      <c r="CJ238" s="264"/>
      <c r="CK238" s="264"/>
      <c r="CL238" s="264"/>
      <c r="CM238" s="264"/>
      <c r="CN238" s="264"/>
      <c r="CO238" s="264"/>
      <c r="CP238" s="264"/>
      <c r="CQ238" s="264"/>
      <c r="CR238" s="264"/>
      <c r="CS238" s="264"/>
      <c r="CT238" s="264"/>
      <c r="CU238" s="264"/>
      <c r="CV238" s="264"/>
      <c r="CW238" s="264"/>
      <c r="CX238" s="264"/>
      <c r="CY238" s="264"/>
      <c r="CZ238" s="264"/>
      <c r="DA238" s="264"/>
      <c r="DB238" s="264"/>
      <c r="DC238" s="264"/>
      <c r="DD238" s="264"/>
      <c r="DE238" s="264"/>
      <c r="DF238" s="264"/>
      <c r="DG238" s="264"/>
      <c r="DH238" s="264"/>
      <c r="DI238" s="264"/>
      <c r="DJ238" s="264"/>
      <c r="DK238" s="264"/>
      <c r="DL238" s="264"/>
      <c r="DM238" s="264"/>
      <c r="DN238" s="264"/>
      <c r="DO238" s="264"/>
      <c r="DP238" s="264"/>
      <c r="DQ238" s="264"/>
      <c r="DR238" s="264"/>
      <c r="DS238" s="264"/>
      <c r="DT238" s="264"/>
      <c r="DU238" s="264"/>
      <c r="DV238" s="264"/>
      <c r="DW238" s="264"/>
      <c r="DX238" s="264"/>
      <c r="DY238" s="264"/>
      <c r="DZ238" s="264"/>
      <c r="EA238" s="264"/>
      <c r="EB238" s="264"/>
      <c r="EC238" s="264"/>
      <c r="ED238" s="264"/>
      <c r="EE238" s="264"/>
      <c r="EF238" s="264"/>
      <c r="EG238" s="264"/>
      <c r="EH238" s="264"/>
      <c r="EI238" s="264"/>
      <c r="EJ238" s="264"/>
      <c r="EK238" s="264"/>
      <c r="EL238" s="264"/>
      <c r="EM238" s="264"/>
      <c r="EN238" s="264"/>
      <c r="EO238" s="264"/>
      <c r="EP238" s="264"/>
      <c r="EQ238" s="264"/>
      <c r="ER238" s="264"/>
      <c r="ES238" s="264"/>
      <c r="ET238" s="264"/>
      <c r="EU238" s="264"/>
      <c r="EV238" s="264"/>
      <c r="EW238" s="264"/>
      <c r="EX238" s="264"/>
      <c r="EY238" s="264"/>
      <c r="EZ238" s="264"/>
      <c r="FA238" s="264"/>
      <c r="FB238" s="264"/>
      <c r="FC238" s="264"/>
      <c r="FD238" s="264"/>
      <c r="FE238" s="264"/>
      <c r="FF238" s="264"/>
      <c r="FG238" s="264"/>
      <c r="FH238" s="264"/>
      <c r="FI238" s="264"/>
      <c r="FJ238" s="264"/>
      <c r="FK238" s="264"/>
      <c r="FL238" s="264"/>
      <c r="FM238" s="264"/>
      <c r="FN238" s="264"/>
      <c r="FO238" s="264"/>
      <c r="FP238" s="264"/>
      <c r="FQ238" s="264"/>
      <c r="FR238" s="264"/>
      <c r="FS238" s="264"/>
      <c r="FT238" s="264"/>
      <c r="FU238" s="264"/>
      <c r="FV238" s="264"/>
      <c r="FW238" s="264"/>
      <c r="FX238" s="264"/>
      <c r="FY238" s="264"/>
      <c r="FZ238" s="264"/>
      <c r="GA238" s="264"/>
      <c r="GB238" s="264"/>
      <c r="GC238" s="264"/>
      <c r="GD238" s="264"/>
      <c r="GE238" s="264"/>
      <c r="GF238" s="264"/>
      <c r="GG238" s="264"/>
      <c r="GH238" s="264"/>
      <c r="GI238" s="264"/>
      <c r="GJ238" s="264"/>
      <c r="GK238" s="264"/>
      <c r="GL238" s="264"/>
      <c r="GM238" s="264"/>
      <c r="GN238" s="264"/>
      <c r="GO238" s="264"/>
      <c r="GP238" s="264"/>
      <c r="GQ238" s="264"/>
      <c r="GR238" s="264"/>
      <c r="GS238" s="264"/>
      <c r="GT238" s="264"/>
      <c r="GU238" s="264"/>
      <c r="GV238" s="264"/>
      <c r="GW238" s="264"/>
      <c r="GX238" s="264"/>
      <c r="GY238" s="264"/>
      <c r="GZ238" s="264"/>
      <c r="HA238" s="264"/>
      <c r="HB238" s="264"/>
      <c r="HC238" s="264"/>
      <c r="HD238" s="264"/>
      <c r="HE238" s="264"/>
      <c r="HF238" s="264"/>
      <c r="HG238" s="264"/>
      <c r="HH238" s="264"/>
      <c r="HI238" s="264"/>
      <c r="HJ238" s="264"/>
      <c r="HK238" s="264"/>
      <c r="HL238" s="264"/>
      <c r="HM238" s="264"/>
      <c r="HN238" s="264"/>
      <c r="HO238" s="264"/>
      <c r="HP238" s="264"/>
      <c r="HQ238" s="264"/>
      <c r="HR238" s="264"/>
      <c r="HS238" s="264"/>
      <c r="HT238" s="264"/>
      <c r="HU238" s="264"/>
      <c r="HV238" s="264"/>
      <c r="HW238" s="264"/>
      <c r="HX238" s="264"/>
      <c r="HY238" s="264"/>
      <c r="HZ238" s="264"/>
      <c r="IA238" s="264"/>
      <c r="IB238" s="264"/>
      <c r="IC238" s="264"/>
      <c r="ID238" s="264"/>
      <c r="IE238" s="264"/>
      <c r="IF238" s="264"/>
      <c r="IG238" s="264"/>
      <c r="IH238" s="264"/>
      <c r="II238" s="264"/>
      <c r="IJ238" s="264"/>
      <c r="IK238" s="264"/>
      <c r="IL238" s="264"/>
      <c r="IM238" s="264"/>
      <c r="IN238" s="264"/>
      <c r="IO238" s="264"/>
      <c r="IP238" s="264"/>
      <c r="IQ238" s="264"/>
    </row>
    <row r="239" spans="1:251" s="1435" customFormat="1" x14ac:dyDescent="0.3">
      <c r="A239" s="1423">
        <v>228</v>
      </c>
      <c r="B239" s="1424"/>
      <c r="C239" s="1425"/>
      <c r="D239" s="1426" t="s">
        <v>311</v>
      </c>
      <c r="E239" s="1427"/>
      <c r="F239" s="1428"/>
      <c r="G239" s="1429"/>
      <c r="H239" s="1430"/>
      <c r="I239" s="1431"/>
      <c r="J239" s="1432">
        <v>450</v>
      </c>
      <c r="K239" s="1432"/>
      <c r="L239" s="1433">
        <f t="shared" ref="L239:L242" si="74">SUM(I239:K239)</f>
        <v>450</v>
      </c>
      <c r="M239" s="1434"/>
    </row>
    <row r="240" spans="1:251" s="1435" customFormat="1" x14ac:dyDescent="0.3">
      <c r="A240" s="1402">
        <v>229</v>
      </c>
      <c r="B240" s="1424"/>
      <c r="C240" s="1425"/>
      <c r="D240" s="1436" t="s">
        <v>1064</v>
      </c>
      <c r="E240" s="1427"/>
      <c r="F240" s="1428"/>
      <c r="G240" s="1429"/>
      <c r="H240" s="1430"/>
      <c r="I240" s="1431"/>
      <c r="J240" s="1437">
        <v>0</v>
      </c>
      <c r="K240" s="1432"/>
      <c r="L240" s="1438">
        <f t="shared" ref="L240" si="75">SUM(I240:K240)</f>
        <v>0</v>
      </c>
      <c r="M240" s="1434"/>
    </row>
    <row r="241" spans="1:251" s="1450" customFormat="1" x14ac:dyDescent="0.3">
      <c r="A241" s="1402">
        <v>230</v>
      </c>
      <c r="B241" s="1439"/>
      <c r="C241" s="1440"/>
      <c r="D241" s="1441" t="s">
        <v>1012</v>
      </c>
      <c r="E241" s="1442"/>
      <c r="F241" s="1443"/>
      <c r="G241" s="1444"/>
      <c r="H241" s="1445"/>
      <c r="I241" s="1446"/>
      <c r="J241" s="1447"/>
      <c r="K241" s="1447"/>
      <c r="L241" s="1448">
        <f t="shared" si="74"/>
        <v>0</v>
      </c>
      <c r="M241" s="1449"/>
    </row>
    <row r="242" spans="1:251" s="1459" customFormat="1" x14ac:dyDescent="0.3">
      <c r="A242" s="1423">
        <v>231</v>
      </c>
      <c r="B242" s="1451"/>
      <c r="C242" s="1452"/>
      <c r="D242" s="1436" t="s">
        <v>1116</v>
      </c>
      <c r="E242" s="1453"/>
      <c r="F242" s="1454"/>
      <c r="G242" s="1455"/>
      <c r="H242" s="1456"/>
      <c r="I242" s="1457"/>
      <c r="J242" s="1457">
        <f>SUM(J240:J241)</f>
        <v>0</v>
      </c>
      <c r="K242" s="1457">
        <f>SUM(K240:K241)</f>
        <v>0</v>
      </c>
      <c r="L242" s="1438">
        <f t="shared" si="74"/>
        <v>0</v>
      </c>
      <c r="M242" s="1458"/>
    </row>
    <row r="243" spans="1:251" ht="16.5" x14ac:dyDescent="0.3">
      <c r="A243" s="1402">
        <v>232</v>
      </c>
      <c r="B243" s="1412"/>
      <c r="C243" s="1460">
        <v>47</v>
      </c>
      <c r="D243" s="150" t="s">
        <v>784</v>
      </c>
      <c r="E243" s="1415">
        <f>F243+G243+L247+M244</f>
        <v>30075</v>
      </c>
      <c r="F243" s="1416"/>
      <c r="G243" s="1417"/>
      <c r="H243" s="1418" t="s">
        <v>24</v>
      </c>
      <c r="I243" s="1461"/>
      <c r="J243" s="1415"/>
      <c r="K243" s="1415"/>
      <c r="L243" s="1462"/>
      <c r="M243" s="1422"/>
      <c r="N243" s="264"/>
      <c r="O243" s="264"/>
      <c r="P243" s="264"/>
      <c r="Q243" s="264"/>
      <c r="R243" s="264"/>
      <c r="S243" s="264"/>
      <c r="T243" s="264"/>
      <c r="U243" s="264"/>
      <c r="V243" s="264"/>
      <c r="W243" s="264"/>
      <c r="X243" s="264"/>
      <c r="Y243" s="264"/>
      <c r="Z243" s="264"/>
      <c r="AA243" s="264"/>
      <c r="AB243" s="264"/>
      <c r="AC243" s="264"/>
      <c r="AD243" s="264"/>
      <c r="AE243" s="264"/>
      <c r="AF243" s="264"/>
      <c r="AG243" s="264"/>
      <c r="AH243" s="264"/>
      <c r="AI243" s="264"/>
      <c r="AJ243" s="264"/>
      <c r="AK243" s="264"/>
      <c r="AL243" s="264"/>
      <c r="AM243" s="264"/>
      <c r="AN243" s="264"/>
      <c r="AO243" s="264"/>
      <c r="AP243" s="264"/>
      <c r="AQ243" s="264"/>
      <c r="AR243" s="264"/>
      <c r="AS243" s="264"/>
      <c r="AT243" s="264"/>
      <c r="AU243" s="264"/>
      <c r="AV243" s="264"/>
      <c r="AW243" s="264"/>
      <c r="AX243" s="264"/>
      <c r="AY243" s="264"/>
      <c r="AZ243" s="264"/>
      <c r="BA243" s="264"/>
      <c r="BB243" s="264"/>
      <c r="BC243" s="264"/>
      <c r="BD243" s="264"/>
      <c r="BE243" s="264"/>
      <c r="BF243" s="264"/>
      <c r="BG243" s="264"/>
      <c r="BH243" s="264"/>
      <c r="BI243" s="264"/>
      <c r="BJ243" s="264"/>
      <c r="BK243" s="264"/>
      <c r="BL243" s="264"/>
      <c r="BM243" s="264"/>
      <c r="BN243" s="264"/>
      <c r="BO243" s="264"/>
      <c r="BP243" s="264"/>
      <c r="BQ243" s="264"/>
      <c r="BR243" s="264"/>
      <c r="BS243" s="264"/>
      <c r="BT243" s="264"/>
      <c r="BU243" s="264"/>
      <c r="BV243" s="264"/>
      <c r="BW243" s="264"/>
      <c r="BX243" s="264"/>
      <c r="BY243" s="264"/>
      <c r="BZ243" s="264"/>
      <c r="CA243" s="264"/>
      <c r="CB243" s="264"/>
      <c r="CC243" s="264"/>
      <c r="CD243" s="264"/>
      <c r="CE243" s="264"/>
      <c r="CF243" s="264"/>
      <c r="CG243" s="264"/>
      <c r="CH243" s="264"/>
      <c r="CI243" s="264"/>
      <c r="CJ243" s="264"/>
      <c r="CK243" s="264"/>
      <c r="CL243" s="264"/>
      <c r="CM243" s="264"/>
      <c r="CN243" s="264"/>
      <c r="CO243" s="264"/>
      <c r="CP243" s="264"/>
      <c r="CQ243" s="264"/>
      <c r="CR243" s="264"/>
      <c r="CS243" s="264"/>
      <c r="CT243" s="264"/>
      <c r="CU243" s="264"/>
      <c r="CV243" s="264"/>
      <c r="CW243" s="264"/>
      <c r="CX243" s="264"/>
      <c r="CY243" s="264"/>
      <c r="CZ243" s="264"/>
      <c r="DA243" s="264"/>
      <c r="DB243" s="264"/>
      <c r="DC243" s="264"/>
      <c r="DD243" s="264"/>
      <c r="DE243" s="264"/>
      <c r="DF243" s="264"/>
      <c r="DG243" s="264"/>
      <c r="DH243" s="264"/>
      <c r="DI243" s="264"/>
      <c r="DJ243" s="264"/>
      <c r="DK243" s="264"/>
      <c r="DL243" s="264"/>
      <c r="DM243" s="264"/>
      <c r="DN243" s="264"/>
      <c r="DO243" s="264"/>
      <c r="DP243" s="264"/>
      <c r="DQ243" s="264"/>
      <c r="DR243" s="264"/>
      <c r="DS243" s="264"/>
      <c r="DT243" s="264"/>
      <c r="DU243" s="264"/>
      <c r="DV243" s="264"/>
      <c r="DW243" s="264"/>
      <c r="DX243" s="264"/>
      <c r="DY243" s="264"/>
      <c r="DZ243" s="264"/>
      <c r="EA243" s="264"/>
      <c r="EB243" s="264"/>
      <c r="EC243" s="264"/>
      <c r="ED243" s="264"/>
      <c r="EE243" s="264"/>
      <c r="EF243" s="264"/>
      <c r="EG243" s="264"/>
      <c r="EH243" s="264"/>
      <c r="EI243" s="264"/>
      <c r="EJ243" s="264"/>
      <c r="EK243" s="264"/>
      <c r="EL243" s="264"/>
      <c r="EM243" s="264"/>
      <c r="EN243" s="264"/>
      <c r="EO243" s="264"/>
      <c r="EP243" s="264"/>
      <c r="EQ243" s="264"/>
      <c r="ER243" s="264"/>
      <c r="ES243" s="264"/>
      <c r="ET243" s="264"/>
      <c r="EU243" s="264"/>
      <c r="EV243" s="264"/>
      <c r="EW243" s="264"/>
      <c r="EX243" s="264"/>
      <c r="EY243" s="264"/>
      <c r="EZ243" s="264"/>
      <c r="FA243" s="264"/>
      <c r="FB243" s="264"/>
      <c r="FC243" s="264"/>
      <c r="FD243" s="264"/>
      <c r="FE243" s="264"/>
      <c r="FF243" s="264"/>
      <c r="FG243" s="264"/>
      <c r="FH243" s="264"/>
      <c r="FI243" s="264"/>
      <c r="FJ243" s="264"/>
      <c r="FK243" s="264"/>
      <c r="FL243" s="264"/>
      <c r="FM243" s="264"/>
      <c r="FN243" s="264"/>
      <c r="FO243" s="264"/>
      <c r="FP243" s="264"/>
      <c r="FQ243" s="264"/>
      <c r="FR243" s="264"/>
      <c r="FS243" s="264"/>
      <c r="FT243" s="264"/>
      <c r="FU243" s="264"/>
      <c r="FV243" s="264"/>
      <c r="FW243" s="264"/>
      <c r="FX243" s="264"/>
      <c r="FY243" s="264"/>
      <c r="FZ243" s="264"/>
      <c r="GA243" s="264"/>
      <c r="GB243" s="264"/>
      <c r="GC243" s="264"/>
      <c r="GD243" s="264"/>
      <c r="GE243" s="264"/>
      <c r="GF243" s="264"/>
      <c r="GG243" s="264"/>
      <c r="GH243" s="264"/>
      <c r="GI243" s="264"/>
      <c r="GJ243" s="264"/>
      <c r="GK243" s="264"/>
      <c r="GL243" s="264"/>
      <c r="GM243" s="264"/>
      <c r="GN243" s="264"/>
      <c r="GO243" s="264"/>
      <c r="GP243" s="264"/>
      <c r="GQ243" s="264"/>
      <c r="GR243" s="264"/>
      <c r="GS243" s="264"/>
      <c r="GT243" s="264"/>
      <c r="GU243" s="264"/>
      <c r="GV243" s="264"/>
      <c r="GW243" s="264"/>
      <c r="GX243" s="264"/>
      <c r="GY243" s="264"/>
      <c r="GZ243" s="264"/>
      <c r="HA243" s="264"/>
      <c r="HB243" s="264"/>
      <c r="HC243" s="264"/>
      <c r="HD243" s="264"/>
      <c r="HE243" s="264"/>
      <c r="HF243" s="264"/>
      <c r="HG243" s="264"/>
      <c r="HH243" s="264"/>
      <c r="HI243" s="264"/>
      <c r="HJ243" s="264"/>
      <c r="HK243" s="264"/>
      <c r="HL243" s="264"/>
      <c r="HM243" s="264"/>
      <c r="HN243" s="264"/>
      <c r="HO243" s="264"/>
      <c r="HP243" s="264"/>
      <c r="HQ243" s="264"/>
      <c r="HR243" s="264"/>
      <c r="HS243" s="264"/>
      <c r="HT243" s="264"/>
      <c r="HU243" s="264"/>
      <c r="HV243" s="264"/>
      <c r="HW243" s="264"/>
      <c r="HX243" s="264"/>
      <c r="HY243" s="264"/>
      <c r="HZ243" s="264"/>
      <c r="IA243" s="264"/>
      <c r="IB243" s="264"/>
      <c r="IC243" s="264"/>
      <c r="ID243" s="264"/>
      <c r="IE243" s="264"/>
      <c r="IF243" s="264"/>
      <c r="IG243" s="264"/>
      <c r="IH243" s="264"/>
      <c r="II243" s="264"/>
      <c r="IJ243" s="264"/>
      <c r="IK243" s="264"/>
      <c r="IL243" s="264"/>
      <c r="IM243" s="264"/>
      <c r="IN243" s="264"/>
      <c r="IO243" s="264"/>
      <c r="IP243" s="264"/>
      <c r="IQ243" s="264"/>
    </row>
    <row r="244" spans="1:251" s="1435" customFormat="1" x14ac:dyDescent="0.3">
      <c r="A244" s="1402">
        <v>233</v>
      </c>
      <c r="B244" s="1424"/>
      <c r="C244" s="1425"/>
      <c r="D244" s="1426" t="s">
        <v>311</v>
      </c>
      <c r="E244" s="1427"/>
      <c r="F244" s="1428"/>
      <c r="G244" s="1429"/>
      <c r="H244" s="1430"/>
      <c r="I244" s="1431"/>
      <c r="J244" s="1432">
        <v>30075</v>
      </c>
      <c r="K244" s="1432"/>
      <c r="L244" s="1433">
        <f t="shared" si="0"/>
        <v>30075</v>
      </c>
      <c r="M244" s="1434"/>
    </row>
    <row r="245" spans="1:251" s="1435" customFormat="1" x14ac:dyDescent="0.3">
      <c r="A245" s="1423">
        <v>234</v>
      </c>
      <c r="B245" s="1424"/>
      <c r="C245" s="1425"/>
      <c r="D245" s="1436" t="s">
        <v>1064</v>
      </c>
      <c r="E245" s="1427"/>
      <c r="F245" s="1428"/>
      <c r="G245" s="1429"/>
      <c r="H245" s="1430"/>
      <c r="I245" s="1431"/>
      <c r="J245" s="1437">
        <v>30075</v>
      </c>
      <c r="K245" s="1432"/>
      <c r="L245" s="1438">
        <f t="shared" ref="L245" si="76">SUM(I245:K245)</f>
        <v>30075</v>
      </c>
      <c r="M245" s="1434"/>
    </row>
    <row r="246" spans="1:251" s="1450" customFormat="1" x14ac:dyDescent="0.3">
      <c r="A246" s="1402">
        <v>235</v>
      </c>
      <c r="B246" s="1439"/>
      <c r="C246" s="1440"/>
      <c r="D246" s="1441" t="s">
        <v>999</v>
      </c>
      <c r="E246" s="1442"/>
      <c r="F246" s="1443"/>
      <c r="G246" s="1444"/>
      <c r="H246" s="1445"/>
      <c r="I246" s="1446"/>
      <c r="J246" s="1447"/>
      <c r="K246" s="1447"/>
      <c r="L246" s="1448">
        <f t="shared" si="0"/>
        <v>0</v>
      </c>
      <c r="M246" s="1449"/>
    </row>
    <row r="247" spans="1:251" s="1459" customFormat="1" x14ac:dyDescent="0.3">
      <c r="A247" s="1402">
        <v>236</v>
      </c>
      <c r="B247" s="1451"/>
      <c r="C247" s="1452"/>
      <c r="D247" s="1436" t="s">
        <v>1116</v>
      </c>
      <c r="E247" s="1453"/>
      <c r="F247" s="1454"/>
      <c r="G247" s="1455"/>
      <c r="H247" s="1456"/>
      <c r="I247" s="1457"/>
      <c r="J247" s="1457">
        <f>SUM(J245:J246)</f>
        <v>30075</v>
      </c>
      <c r="K247" s="1457">
        <f>SUM(K245:K246)</f>
        <v>0</v>
      </c>
      <c r="L247" s="1438">
        <f t="shared" si="0"/>
        <v>30075</v>
      </c>
      <c r="M247" s="1458"/>
    </row>
    <row r="248" spans="1:251" ht="16.5" x14ac:dyDescent="0.3">
      <c r="A248" s="1423">
        <v>237</v>
      </c>
      <c r="B248" s="1412"/>
      <c r="C248" s="1460">
        <v>48</v>
      </c>
      <c r="D248" s="1466" t="s">
        <v>785</v>
      </c>
      <c r="E248" s="1415">
        <f>F248+G248+L252+M249</f>
        <v>7228</v>
      </c>
      <c r="F248" s="1416"/>
      <c r="G248" s="1417">
        <v>449</v>
      </c>
      <c r="H248" s="1418" t="s">
        <v>24</v>
      </c>
      <c r="I248" s="1461"/>
      <c r="J248" s="1415"/>
      <c r="K248" s="1415"/>
      <c r="L248" s="1462"/>
      <c r="M248" s="1422"/>
      <c r="N248" s="264"/>
      <c r="O248" s="264"/>
      <c r="P248" s="264"/>
      <c r="Q248" s="264"/>
      <c r="R248" s="264"/>
      <c r="S248" s="264"/>
      <c r="T248" s="264"/>
      <c r="U248" s="264"/>
      <c r="V248" s="264"/>
      <c r="W248" s="264"/>
      <c r="X248" s="264"/>
      <c r="Y248" s="264"/>
      <c r="Z248" s="264"/>
      <c r="AA248" s="264"/>
      <c r="AB248" s="264"/>
      <c r="AC248" s="264"/>
      <c r="AD248" s="264"/>
      <c r="AE248" s="264"/>
      <c r="AF248" s="264"/>
      <c r="AG248" s="264"/>
      <c r="AH248" s="264"/>
      <c r="AI248" s="264"/>
      <c r="AJ248" s="264"/>
      <c r="AK248" s="264"/>
      <c r="AL248" s="264"/>
      <c r="AM248" s="264"/>
      <c r="AN248" s="264"/>
      <c r="AO248" s="264"/>
      <c r="AP248" s="264"/>
      <c r="AQ248" s="264"/>
      <c r="AR248" s="264"/>
      <c r="AS248" s="264"/>
      <c r="AT248" s="264"/>
      <c r="AU248" s="264"/>
      <c r="AV248" s="264"/>
      <c r="AW248" s="264"/>
      <c r="AX248" s="264"/>
      <c r="AY248" s="264"/>
      <c r="AZ248" s="264"/>
      <c r="BA248" s="264"/>
      <c r="BB248" s="264"/>
      <c r="BC248" s="264"/>
      <c r="BD248" s="264"/>
      <c r="BE248" s="264"/>
      <c r="BF248" s="264"/>
      <c r="BG248" s="264"/>
      <c r="BH248" s="264"/>
      <c r="BI248" s="264"/>
      <c r="BJ248" s="264"/>
      <c r="BK248" s="264"/>
      <c r="BL248" s="264"/>
      <c r="BM248" s="264"/>
      <c r="BN248" s="264"/>
      <c r="BO248" s="264"/>
      <c r="BP248" s="264"/>
      <c r="BQ248" s="264"/>
      <c r="BR248" s="264"/>
      <c r="BS248" s="264"/>
      <c r="BT248" s="264"/>
      <c r="BU248" s="264"/>
      <c r="BV248" s="264"/>
      <c r="BW248" s="264"/>
      <c r="BX248" s="264"/>
      <c r="BY248" s="264"/>
      <c r="BZ248" s="264"/>
      <c r="CA248" s="264"/>
      <c r="CB248" s="264"/>
      <c r="CC248" s="264"/>
      <c r="CD248" s="264"/>
      <c r="CE248" s="264"/>
      <c r="CF248" s="264"/>
      <c r="CG248" s="264"/>
      <c r="CH248" s="264"/>
      <c r="CI248" s="264"/>
      <c r="CJ248" s="264"/>
      <c r="CK248" s="264"/>
      <c r="CL248" s="264"/>
      <c r="CM248" s="264"/>
      <c r="CN248" s="264"/>
      <c r="CO248" s="264"/>
      <c r="CP248" s="264"/>
      <c r="CQ248" s="264"/>
      <c r="CR248" s="264"/>
      <c r="CS248" s="264"/>
      <c r="CT248" s="264"/>
      <c r="CU248" s="264"/>
      <c r="CV248" s="264"/>
      <c r="CW248" s="264"/>
      <c r="CX248" s="264"/>
      <c r="CY248" s="264"/>
      <c r="CZ248" s="264"/>
      <c r="DA248" s="264"/>
      <c r="DB248" s="264"/>
      <c r="DC248" s="264"/>
      <c r="DD248" s="264"/>
      <c r="DE248" s="264"/>
      <c r="DF248" s="264"/>
      <c r="DG248" s="264"/>
      <c r="DH248" s="264"/>
      <c r="DI248" s="264"/>
      <c r="DJ248" s="264"/>
      <c r="DK248" s="264"/>
      <c r="DL248" s="264"/>
      <c r="DM248" s="264"/>
      <c r="DN248" s="264"/>
      <c r="DO248" s="264"/>
      <c r="DP248" s="264"/>
      <c r="DQ248" s="264"/>
      <c r="DR248" s="264"/>
      <c r="DS248" s="264"/>
      <c r="DT248" s="264"/>
      <c r="DU248" s="264"/>
      <c r="DV248" s="264"/>
      <c r="DW248" s="264"/>
      <c r="DX248" s="264"/>
      <c r="DY248" s="264"/>
      <c r="DZ248" s="264"/>
      <c r="EA248" s="264"/>
      <c r="EB248" s="264"/>
      <c r="EC248" s="264"/>
      <c r="ED248" s="264"/>
      <c r="EE248" s="264"/>
      <c r="EF248" s="264"/>
      <c r="EG248" s="264"/>
      <c r="EH248" s="264"/>
      <c r="EI248" s="264"/>
      <c r="EJ248" s="264"/>
      <c r="EK248" s="264"/>
      <c r="EL248" s="264"/>
      <c r="EM248" s="264"/>
      <c r="EN248" s="264"/>
      <c r="EO248" s="264"/>
      <c r="EP248" s="264"/>
      <c r="EQ248" s="264"/>
      <c r="ER248" s="264"/>
      <c r="ES248" s="264"/>
      <c r="ET248" s="264"/>
      <c r="EU248" s="264"/>
      <c r="EV248" s="264"/>
      <c r="EW248" s="264"/>
      <c r="EX248" s="264"/>
      <c r="EY248" s="264"/>
      <c r="EZ248" s="264"/>
      <c r="FA248" s="264"/>
      <c r="FB248" s="264"/>
      <c r="FC248" s="264"/>
      <c r="FD248" s="264"/>
      <c r="FE248" s="264"/>
      <c r="FF248" s="264"/>
      <c r="FG248" s="264"/>
      <c r="FH248" s="264"/>
      <c r="FI248" s="264"/>
      <c r="FJ248" s="264"/>
      <c r="FK248" s="264"/>
      <c r="FL248" s="264"/>
      <c r="FM248" s="264"/>
      <c r="FN248" s="264"/>
      <c r="FO248" s="264"/>
      <c r="FP248" s="264"/>
      <c r="FQ248" s="264"/>
      <c r="FR248" s="264"/>
      <c r="FS248" s="264"/>
      <c r="FT248" s="264"/>
      <c r="FU248" s="264"/>
      <c r="FV248" s="264"/>
      <c r="FW248" s="264"/>
      <c r="FX248" s="264"/>
      <c r="FY248" s="264"/>
      <c r="FZ248" s="264"/>
      <c r="GA248" s="264"/>
      <c r="GB248" s="264"/>
      <c r="GC248" s="264"/>
      <c r="GD248" s="264"/>
      <c r="GE248" s="264"/>
      <c r="GF248" s="264"/>
      <c r="GG248" s="264"/>
      <c r="GH248" s="264"/>
      <c r="GI248" s="264"/>
      <c r="GJ248" s="264"/>
      <c r="GK248" s="264"/>
      <c r="GL248" s="264"/>
      <c r="GM248" s="264"/>
      <c r="GN248" s="264"/>
      <c r="GO248" s="264"/>
      <c r="GP248" s="264"/>
      <c r="GQ248" s="264"/>
      <c r="GR248" s="264"/>
      <c r="GS248" s="264"/>
      <c r="GT248" s="264"/>
      <c r="GU248" s="264"/>
      <c r="GV248" s="264"/>
      <c r="GW248" s="264"/>
      <c r="GX248" s="264"/>
      <c r="GY248" s="264"/>
      <c r="GZ248" s="264"/>
      <c r="HA248" s="264"/>
      <c r="HB248" s="264"/>
      <c r="HC248" s="264"/>
      <c r="HD248" s="264"/>
      <c r="HE248" s="264"/>
      <c r="HF248" s="264"/>
      <c r="HG248" s="264"/>
      <c r="HH248" s="264"/>
      <c r="HI248" s="264"/>
      <c r="HJ248" s="264"/>
      <c r="HK248" s="264"/>
      <c r="HL248" s="264"/>
      <c r="HM248" s="264"/>
      <c r="HN248" s="264"/>
      <c r="HO248" s="264"/>
      <c r="HP248" s="264"/>
      <c r="HQ248" s="264"/>
      <c r="HR248" s="264"/>
      <c r="HS248" s="264"/>
      <c r="HT248" s="264"/>
      <c r="HU248" s="264"/>
      <c r="HV248" s="264"/>
      <c r="HW248" s="264"/>
      <c r="HX248" s="264"/>
      <c r="HY248" s="264"/>
      <c r="HZ248" s="264"/>
      <c r="IA248" s="264"/>
      <c r="IB248" s="264"/>
      <c r="IC248" s="264"/>
      <c r="ID248" s="264"/>
      <c r="IE248" s="264"/>
      <c r="IF248" s="264"/>
      <c r="IG248" s="264"/>
      <c r="IH248" s="264"/>
      <c r="II248" s="264"/>
      <c r="IJ248" s="264"/>
      <c r="IK248" s="264"/>
      <c r="IL248" s="264"/>
      <c r="IM248" s="264"/>
      <c r="IN248" s="264"/>
      <c r="IO248" s="264"/>
      <c r="IP248" s="264"/>
      <c r="IQ248" s="264"/>
    </row>
    <row r="249" spans="1:251" s="1435" customFormat="1" x14ac:dyDescent="0.3">
      <c r="A249" s="1402">
        <v>238</v>
      </c>
      <c r="B249" s="1424"/>
      <c r="C249" s="1425"/>
      <c r="D249" s="1426" t="s">
        <v>311</v>
      </c>
      <c r="E249" s="1427"/>
      <c r="F249" s="1428"/>
      <c r="G249" s="1429"/>
      <c r="H249" s="1430"/>
      <c r="I249" s="1431"/>
      <c r="J249" s="1432">
        <v>7051</v>
      </c>
      <c r="K249" s="1432"/>
      <c r="L249" s="1433">
        <f t="shared" ref="L249:L252" si="77">SUM(I249:K249)</f>
        <v>7051</v>
      </c>
      <c r="M249" s="1434"/>
    </row>
    <row r="250" spans="1:251" s="1435" customFormat="1" x14ac:dyDescent="0.3">
      <c r="A250" s="1402">
        <v>239</v>
      </c>
      <c r="B250" s="1424"/>
      <c r="C250" s="1425"/>
      <c r="D250" s="1436" t="s">
        <v>1064</v>
      </c>
      <c r="E250" s="1427"/>
      <c r="F250" s="1428"/>
      <c r="G250" s="1429"/>
      <c r="H250" s="1430"/>
      <c r="I250" s="1431"/>
      <c r="J250" s="1437">
        <v>6779</v>
      </c>
      <c r="K250" s="1432"/>
      <c r="L250" s="1438">
        <f t="shared" ref="L250" si="78">SUM(I250:K250)</f>
        <v>6779</v>
      </c>
      <c r="M250" s="1434"/>
    </row>
    <row r="251" spans="1:251" s="1450" customFormat="1" x14ac:dyDescent="0.3">
      <c r="A251" s="1423">
        <v>240</v>
      </c>
      <c r="B251" s="1439"/>
      <c r="C251" s="1440"/>
      <c r="D251" s="1441" t="s">
        <v>1012</v>
      </c>
      <c r="E251" s="1442"/>
      <c r="F251" s="1443"/>
      <c r="G251" s="1444"/>
      <c r="H251" s="1445"/>
      <c r="I251" s="1446"/>
      <c r="J251" s="1447"/>
      <c r="K251" s="1447"/>
      <c r="L251" s="1448">
        <f t="shared" si="77"/>
        <v>0</v>
      </c>
      <c r="M251" s="1449"/>
    </row>
    <row r="252" spans="1:251" s="1459" customFormat="1" x14ac:dyDescent="0.3">
      <c r="A252" s="1402">
        <v>241</v>
      </c>
      <c r="B252" s="1451"/>
      <c r="C252" s="1452"/>
      <c r="D252" s="1436" t="s">
        <v>1116</v>
      </c>
      <c r="E252" s="1453"/>
      <c r="F252" s="1454"/>
      <c r="G252" s="1455"/>
      <c r="H252" s="1456"/>
      <c r="I252" s="1457"/>
      <c r="J252" s="1457">
        <f>SUM(J250:J251)</f>
        <v>6779</v>
      </c>
      <c r="K252" s="1457">
        <f>SUM(K250:K251)</f>
        <v>0</v>
      </c>
      <c r="L252" s="1438">
        <f t="shared" si="77"/>
        <v>6779</v>
      </c>
      <c r="M252" s="1458"/>
    </row>
    <row r="253" spans="1:251" ht="16.5" x14ac:dyDescent="0.3">
      <c r="A253" s="1402">
        <v>242</v>
      </c>
      <c r="B253" s="1412"/>
      <c r="C253" s="1460">
        <v>49</v>
      </c>
      <c r="D253" s="150" t="s">
        <v>809</v>
      </c>
      <c r="E253" s="1415">
        <f>F253+G253+L257+M254</f>
        <v>0</v>
      </c>
      <c r="F253" s="1416"/>
      <c r="G253" s="1417"/>
      <c r="H253" s="1418" t="s">
        <v>24</v>
      </c>
      <c r="I253" s="1461"/>
      <c r="J253" s="1415"/>
      <c r="K253" s="1415"/>
      <c r="L253" s="1462"/>
      <c r="M253" s="1422"/>
      <c r="N253" s="264"/>
      <c r="O253" s="264"/>
      <c r="P253" s="264"/>
      <c r="Q253" s="264"/>
    </row>
    <row r="254" spans="1:251" s="1435" customFormat="1" x14ac:dyDescent="0.3">
      <c r="A254" s="1423">
        <v>243</v>
      </c>
      <c r="B254" s="1424"/>
      <c r="C254" s="1425"/>
      <c r="D254" s="1426" t="s">
        <v>311</v>
      </c>
      <c r="E254" s="1427"/>
      <c r="F254" s="1428"/>
      <c r="G254" s="1429"/>
      <c r="H254" s="1430"/>
      <c r="I254" s="1431"/>
      <c r="J254" s="1432"/>
      <c r="K254" s="1432">
        <v>24000</v>
      </c>
      <c r="L254" s="1433">
        <f t="shared" ref="L254:L257" si="79">SUM(I254:K254)</f>
        <v>24000</v>
      </c>
      <c r="M254" s="1434"/>
    </row>
    <row r="255" spans="1:251" s="1435" customFormat="1" x14ac:dyDescent="0.3">
      <c r="A255" s="1402">
        <v>244</v>
      </c>
      <c r="B255" s="1424"/>
      <c r="C255" s="1425"/>
      <c r="D255" s="1436" t="s">
        <v>1064</v>
      </c>
      <c r="E255" s="1427"/>
      <c r="F255" s="1428"/>
      <c r="G255" s="1429"/>
      <c r="H255" s="1430"/>
      <c r="I255" s="1431"/>
      <c r="J255" s="1432"/>
      <c r="K255" s="1437">
        <v>0</v>
      </c>
      <c r="L255" s="1438">
        <f t="shared" ref="L255" si="80">SUM(I255:K255)</f>
        <v>0</v>
      </c>
      <c r="M255" s="1434"/>
    </row>
    <row r="256" spans="1:251" s="1450" customFormat="1" x14ac:dyDescent="0.3">
      <c r="A256" s="1402">
        <v>245</v>
      </c>
      <c r="B256" s="1439"/>
      <c r="C256" s="1440"/>
      <c r="D256" s="1441" t="s">
        <v>1012</v>
      </c>
      <c r="E256" s="1442"/>
      <c r="F256" s="1443"/>
      <c r="G256" s="1444"/>
      <c r="H256" s="1445"/>
      <c r="I256" s="1446"/>
      <c r="J256" s="1447"/>
      <c r="K256" s="1447"/>
      <c r="L256" s="1448">
        <f t="shared" si="79"/>
        <v>0</v>
      </c>
      <c r="M256" s="1449"/>
    </row>
    <row r="257" spans="1:13" s="1459" customFormat="1" x14ac:dyDescent="0.3">
      <c r="A257" s="1423">
        <v>246</v>
      </c>
      <c r="B257" s="1451"/>
      <c r="C257" s="1452"/>
      <c r="D257" s="1436" t="s">
        <v>1116</v>
      </c>
      <c r="E257" s="1453"/>
      <c r="F257" s="1454"/>
      <c r="G257" s="1455"/>
      <c r="H257" s="1456"/>
      <c r="I257" s="1457"/>
      <c r="J257" s="1457"/>
      <c r="K257" s="1457">
        <f>SUM(K255:K256)</f>
        <v>0</v>
      </c>
      <c r="L257" s="1438">
        <f t="shared" si="79"/>
        <v>0</v>
      </c>
      <c r="M257" s="1458"/>
    </row>
    <row r="258" spans="1:13" ht="16.5" x14ac:dyDescent="0.3">
      <c r="A258" s="1402">
        <v>247</v>
      </c>
      <c r="B258" s="1412"/>
      <c r="C258" s="1460">
        <v>50</v>
      </c>
      <c r="D258" s="150" t="s">
        <v>810</v>
      </c>
      <c r="E258" s="1415">
        <f>F258+G258+L262+M259</f>
        <v>480000</v>
      </c>
      <c r="F258" s="1416"/>
      <c r="G258" s="1417"/>
      <c r="H258" s="1418" t="s">
        <v>23</v>
      </c>
      <c r="I258" s="1461"/>
      <c r="J258" s="1415"/>
      <c r="K258" s="1415"/>
      <c r="L258" s="1462"/>
      <c r="M258" s="1422"/>
    </row>
    <row r="259" spans="1:13" s="1435" customFormat="1" x14ac:dyDescent="0.3">
      <c r="A259" s="1402">
        <v>248</v>
      </c>
      <c r="B259" s="1424"/>
      <c r="C259" s="1425"/>
      <c r="D259" s="1426" t="s">
        <v>311</v>
      </c>
      <c r="E259" s="1427"/>
      <c r="F259" s="1428"/>
      <c r="G259" s="1429"/>
      <c r="H259" s="1430"/>
      <c r="I259" s="1431"/>
      <c r="J259" s="1432"/>
      <c r="K259" s="1432">
        <v>480000</v>
      </c>
      <c r="L259" s="1433">
        <f t="shared" ref="L259:L262" si="81">SUM(I259:K259)</f>
        <v>480000</v>
      </c>
      <c r="M259" s="1434"/>
    </row>
    <row r="260" spans="1:13" s="1435" customFormat="1" x14ac:dyDescent="0.3">
      <c r="A260" s="1423">
        <v>249</v>
      </c>
      <c r="B260" s="1424"/>
      <c r="C260" s="1425"/>
      <c r="D260" s="1436" t="s">
        <v>1064</v>
      </c>
      <c r="E260" s="1427"/>
      <c r="F260" s="1428"/>
      <c r="G260" s="1429"/>
      <c r="H260" s="1430"/>
      <c r="I260" s="1431"/>
      <c r="J260" s="1432"/>
      <c r="K260" s="1437">
        <v>480000</v>
      </c>
      <c r="L260" s="1438">
        <f t="shared" ref="L260" si="82">SUM(I260:K260)</f>
        <v>480000</v>
      </c>
      <c r="M260" s="1434"/>
    </row>
    <row r="261" spans="1:13" s="1450" customFormat="1" x14ac:dyDescent="0.3">
      <c r="A261" s="1402">
        <v>250</v>
      </c>
      <c r="B261" s="1439"/>
      <c r="C261" s="1440"/>
      <c r="D261" s="1441" t="s">
        <v>999</v>
      </c>
      <c r="E261" s="1442"/>
      <c r="F261" s="1443"/>
      <c r="G261" s="1444"/>
      <c r="H261" s="1445"/>
      <c r="I261" s="1446"/>
      <c r="J261" s="1447"/>
      <c r="K261" s="1447"/>
      <c r="L261" s="1448">
        <f>SUM(I261:K261)</f>
        <v>0</v>
      </c>
      <c r="M261" s="1449"/>
    </row>
    <row r="262" spans="1:13" s="1459" customFormat="1" x14ac:dyDescent="0.3">
      <c r="A262" s="1402">
        <v>251</v>
      </c>
      <c r="B262" s="1451"/>
      <c r="C262" s="1452"/>
      <c r="D262" s="1436" t="s">
        <v>1116</v>
      </c>
      <c r="E262" s="1415"/>
      <c r="F262" s="1454"/>
      <c r="G262" s="1455"/>
      <c r="H262" s="1456"/>
      <c r="I262" s="1457"/>
      <c r="J262" s="1457"/>
      <c r="K262" s="1457">
        <f>SUM(K260:K261)</f>
        <v>480000</v>
      </c>
      <c r="L262" s="1438">
        <f t="shared" si="81"/>
        <v>480000</v>
      </c>
      <c r="M262" s="1458"/>
    </row>
    <row r="263" spans="1:13" s="1459" customFormat="1" ht="33" x14ac:dyDescent="0.3">
      <c r="A263" s="1423">
        <v>252</v>
      </c>
      <c r="B263" s="1451"/>
      <c r="C263" s="1413">
        <v>51</v>
      </c>
      <c r="D263" s="150" t="s">
        <v>1081</v>
      </c>
      <c r="E263" s="1415">
        <f>F263+G263+L266+M264</f>
        <v>10000</v>
      </c>
      <c r="F263" s="1454"/>
      <c r="G263" s="1467"/>
      <c r="H263" s="1468" t="s">
        <v>24</v>
      </c>
      <c r="I263" s="1457"/>
      <c r="J263" s="1457"/>
      <c r="K263" s="1457"/>
      <c r="L263" s="1438"/>
      <c r="M263" s="1469"/>
    </row>
    <row r="264" spans="1:13" s="1459" customFormat="1" x14ac:dyDescent="0.3">
      <c r="A264" s="1402">
        <v>253</v>
      </c>
      <c r="B264" s="1451"/>
      <c r="C264" s="1460"/>
      <c r="D264" s="1436" t="s">
        <v>1064</v>
      </c>
      <c r="E264" s="1415"/>
      <c r="F264" s="1454"/>
      <c r="G264" s="1467"/>
      <c r="H264" s="1470"/>
      <c r="I264" s="1457"/>
      <c r="J264" s="1457"/>
      <c r="K264" s="1457">
        <v>10000</v>
      </c>
      <c r="L264" s="1438">
        <f t="shared" ref="L264" si="83">SUM(I264:K264)</f>
        <v>10000</v>
      </c>
      <c r="M264" s="1469"/>
    </row>
    <row r="265" spans="1:13" s="1459" customFormat="1" x14ac:dyDescent="0.3">
      <c r="A265" s="1402">
        <v>254</v>
      </c>
      <c r="B265" s="1451"/>
      <c r="C265" s="1452"/>
      <c r="D265" s="1441" t="s">
        <v>1012</v>
      </c>
      <c r="E265" s="1415"/>
      <c r="F265" s="1454"/>
      <c r="G265" s="1467"/>
      <c r="H265" s="1470"/>
      <c r="I265" s="1457"/>
      <c r="J265" s="1457"/>
      <c r="K265" s="1446"/>
      <c r="L265" s="1448">
        <f>SUM(I265:K265)</f>
        <v>0</v>
      </c>
      <c r="M265" s="1469"/>
    </row>
    <row r="266" spans="1:13" s="1459" customFormat="1" x14ac:dyDescent="0.3">
      <c r="A266" s="1423">
        <v>255</v>
      </c>
      <c r="B266" s="1451"/>
      <c r="C266" s="1452"/>
      <c r="D266" s="1436" t="s">
        <v>1116</v>
      </c>
      <c r="E266" s="1415"/>
      <c r="F266" s="1454"/>
      <c r="G266" s="1467"/>
      <c r="H266" s="1470"/>
      <c r="I266" s="1457"/>
      <c r="J266" s="1457"/>
      <c r="K266" s="1457">
        <f>SUM(K264:K265)</f>
        <v>10000</v>
      </c>
      <c r="L266" s="1438">
        <f t="shared" ref="L266" si="84">SUM(I266:K266)</f>
        <v>10000</v>
      </c>
      <c r="M266" s="1469"/>
    </row>
    <row r="267" spans="1:13" s="1459" customFormat="1" ht="32.25" x14ac:dyDescent="0.3">
      <c r="A267" s="1402">
        <v>256</v>
      </c>
      <c r="B267" s="1451"/>
      <c r="C267" s="1413">
        <v>52</v>
      </c>
      <c r="D267" s="150" t="s">
        <v>1212</v>
      </c>
      <c r="E267" s="1415">
        <f>F267+G267+L270+M268</f>
        <v>160</v>
      </c>
      <c r="F267" s="1454"/>
      <c r="G267" s="1467"/>
      <c r="H267" s="1468" t="s">
        <v>24</v>
      </c>
      <c r="I267" s="1457"/>
      <c r="J267" s="1457"/>
      <c r="K267" s="1457"/>
      <c r="L267" s="1438"/>
      <c r="M267" s="1469"/>
    </row>
    <row r="268" spans="1:13" s="1459" customFormat="1" x14ac:dyDescent="0.3">
      <c r="A268" s="1402">
        <v>257</v>
      </c>
      <c r="B268" s="1451"/>
      <c r="C268" s="1413"/>
      <c r="D268" s="1436" t="s">
        <v>1064</v>
      </c>
      <c r="E268" s="1415"/>
      <c r="F268" s="1454"/>
      <c r="G268" s="1467"/>
      <c r="H268" s="1470"/>
      <c r="I268" s="1457"/>
      <c r="J268" s="1457"/>
      <c r="K268" s="1457">
        <v>160</v>
      </c>
      <c r="L268" s="1438">
        <f t="shared" ref="L268" si="85">SUM(I268:K268)</f>
        <v>160</v>
      </c>
      <c r="M268" s="1469"/>
    </row>
    <row r="269" spans="1:13" s="1459" customFormat="1" x14ac:dyDescent="0.3">
      <c r="A269" s="1423">
        <v>258</v>
      </c>
      <c r="B269" s="1451"/>
      <c r="C269" s="1452"/>
      <c r="D269" s="1441" t="s">
        <v>990</v>
      </c>
      <c r="E269" s="1453"/>
      <c r="F269" s="1454"/>
      <c r="G269" s="1467"/>
      <c r="H269" s="1470"/>
      <c r="I269" s="1457"/>
      <c r="J269" s="1457"/>
      <c r="K269" s="1446"/>
      <c r="L269" s="1448">
        <f>SUM(I269:K269)</f>
        <v>0</v>
      </c>
      <c r="M269" s="1469"/>
    </row>
    <row r="270" spans="1:13" s="1459" customFormat="1" x14ac:dyDescent="0.3">
      <c r="A270" s="1402">
        <v>259</v>
      </c>
      <c r="B270" s="1451"/>
      <c r="C270" s="1452"/>
      <c r="D270" s="1436" t="s">
        <v>1116</v>
      </c>
      <c r="E270" s="1453"/>
      <c r="F270" s="1454"/>
      <c r="G270" s="1467"/>
      <c r="H270" s="1470"/>
      <c r="I270" s="1457"/>
      <c r="J270" s="1457"/>
      <c r="K270" s="1457">
        <f>SUM(K268:K269)</f>
        <v>160</v>
      </c>
      <c r="L270" s="1438">
        <f>SUM(I270:K270)</f>
        <v>160</v>
      </c>
      <c r="M270" s="1469"/>
    </row>
    <row r="271" spans="1:13" s="1459" customFormat="1" ht="16.5" x14ac:dyDescent="0.3">
      <c r="A271" s="1402">
        <v>260</v>
      </c>
      <c r="B271" s="1451"/>
      <c r="C271" s="1460">
        <v>53</v>
      </c>
      <c r="D271" s="150" t="s">
        <v>1005</v>
      </c>
      <c r="E271" s="1415">
        <f>F271+G271+L274+M272</f>
        <v>50</v>
      </c>
      <c r="F271" s="1454"/>
      <c r="G271" s="1467"/>
      <c r="H271" s="1468" t="s">
        <v>24</v>
      </c>
      <c r="I271" s="1437"/>
      <c r="J271" s="1437"/>
      <c r="K271" s="1437"/>
      <c r="L271" s="1438"/>
      <c r="M271" s="1469"/>
    </row>
    <row r="272" spans="1:13" s="1459" customFormat="1" x14ac:dyDescent="0.3">
      <c r="A272" s="1423">
        <v>261</v>
      </c>
      <c r="B272" s="1451"/>
      <c r="C272" s="1413"/>
      <c r="D272" s="1436" t="s">
        <v>1064</v>
      </c>
      <c r="E272" s="1415"/>
      <c r="F272" s="1454"/>
      <c r="G272" s="1467"/>
      <c r="H272" s="1470"/>
      <c r="I272" s="1437"/>
      <c r="J272" s="1437">
        <v>50</v>
      </c>
      <c r="K272" s="1437"/>
      <c r="L272" s="1438">
        <f t="shared" ref="L272" si="86">SUM(I272:K272)</f>
        <v>50</v>
      </c>
      <c r="M272" s="1469"/>
    </row>
    <row r="273" spans="1:13" s="1459" customFormat="1" x14ac:dyDescent="0.3">
      <c r="A273" s="1402">
        <v>262</v>
      </c>
      <c r="B273" s="1451"/>
      <c r="C273" s="1413"/>
      <c r="D273" s="1441" t="s">
        <v>999</v>
      </c>
      <c r="E273" s="1453"/>
      <c r="F273" s="1454"/>
      <c r="G273" s="1467"/>
      <c r="H273" s="1470"/>
      <c r="I273" s="1437"/>
      <c r="J273" s="1447"/>
      <c r="K273" s="1437"/>
      <c r="L273" s="1438">
        <f>SUM(I273:K273)</f>
        <v>0</v>
      </c>
      <c r="M273" s="1469"/>
    </row>
    <row r="274" spans="1:13" s="1459" customFormat="1" x14ac:dyDescent="0.3">
      <c r="A274" s="1402">
        <v>263</v>
      </c>
      <c r="B274" s="1451"/>
      <c r="C274" s="1413"/>
      <c r="D274" s="1436" t="s">
        <v>1116</v>
      </c>
      <c r="E274" s="1453"/>
      <c r="F274" s="1454"/>
      <c r="G274" s="1467"/>
      <c r="H274" s="1470"/>
      <c r="I274" s="1457"/>
      <c r="J274" s="1457">
        <f>SUM(J272:J273)</f>
        <v>50</v>
      </c>
      <c r="K274" s="1457"/>
      <c r="L274" s="1438">
        <f>SUM(I274:K274)</f>
        <v>50</v>
      </c>
      <c r="M274" s="1469"/>
    </row>
    <row r="275" spans="1:13" s="1459" customFormat="1" ht="16.5" x14ac:dyDescent="0.3">
      <c r="A275" s="1423">
        <v>264</v>
      </c>
      <c r="B275" s="1451"/>
      <c r="C275" s="1460">
        <v>54</v>
      </c>
      <c r="D275" s="150" t="s">
        <v>1006</v>
      </c>
      <c r="E275" s="1415">
        <f>F275+G275+L278+M276</f>
        <v>15</v>
      </c>
      <c r="F275" s="1454"/>
      <c r="G275" s="1467"/>
      <c r="H275" s="1468" t="s">
        <v>24</v>
      </c>
      <c r="I275" s="1437"/>
      <c r="J275" s="1437"/>
      <c r="K275" s="1437"/>
      <c r="L275" s="1438"/>
      <c r="M275" s="1469"/>
    </row>
    <row r="276" spans="1:13" s="1459" customFormat="1" x14ac:dyDescent="0.3">
      <c r="A276" s="1402">
        <v>265</v>
      </c>
      <c r="B276" s="1451"/>
      <c r="C276" s="1413"/>
      <c r="D276" s="1436" t="s">
        <v>1064</v>
      </c>
      <c r="E276" s="1415"/>
      <c r="F276" s="1454"/>
      <c r="G276" s="1467"/>
      <c r="H276" s="1470"/>
      <c r="I276" s="1471"/>
      <c r="J276" s="1437">
        <v>15</v>
      </c>
      <c r="K276" s="1437"/>
      <c r="L276" s="1438">
        <f t="shared" ref="L276" si="87">SUM(I276:K276)</f>
        <v>15</v>
      </c>
      <c r="M276" s="1469"/>
    </row>
    <row r="277" spans="1:13" s="1459" customFormat="1" x14ac:dyDescent="0.3">
      <c r="A277" s="1402">
        <v>266</v>
      </c>
      <c r="B277" s="1451"/>
      <c r="C277" s="1452"/>
      <c r="D277" s="1441" t="s">
        <v>999</v>
      </c>
      <c r="E277" s="1453"/>
      <c r="F277" s="1454"/>
      <c r="G277" s="1467"/>
      <c r="H277" s="1470"/>
      <c r="I277" s="1437"/>
      <c r="J277" s="1447"/>
      <c r="K277" s="1437"/>
      <c r="L277" s="1438">
        <f>SUM(I277:K277)</f>
        <v>0</v>
      </c>
      <c r="M277" s="1469"/>
    </row>
    <row r="278" spans="1:13" s="1459" customFormat="1" x14ac:dyDescent="0.3">
      <c r="A278" s="1423">
        <v>267</v>
      </c>
      <c r="B278" s="1472"/>
      <c r="C278" s="1473"/>
      <c r="D278" s="1474" t="s">
        <v>1116</v>
      </c>
      <c r="E278" s="1475"/>
      <c r="F278" s="1476"/>
      <c r="G278" s="1477"/>
      <c r="H278" s="1478"/>
      <c r="I278" s="1479"/>
      <c r="J278" s="1479">
        <f>SUM(J276:J277)</f>
        <v>15</v>
      </c>
      <c r="K278" s="1479"/>
      <c r="L278" s="1438">
        <f>SUM(I278:K278)</f>
        <v>15</v>
      </c>
      <c r="M278" s="1480"/>
    </row>
    <row r="279" spans="1:13" s="1459" customFormat="1" ht="33" x14ac:dyDescent="0.3">
      <c r="A279" s="1402">
        <v>268</v>
      </c>
      <c r="B279" s="1472"/>
      <c r="C279" s="1922">
        <v>55</v>
      </c>
      <c r="D279" s="150" t="s">
        <v>1213</v>
      </c>
      <c r="E279" s="1415">
        <f>F279+G279+L282+M280</f>
        <v>528</v>
      </c>
      <c r="F279" s="1476"/>
      <c r="G279" s="1477"/>
      <c r="H279" s="1418" t="s">
        <v>23</v>
      </c>
      <c r="I279" s="1479"/>
      <c r="J279" s="1479"/>
      <c r="K279" s="1479"/>
      <c r="L279" s="1438"/>
      <c r="M279" s="1480"/>
    </row>
    <row r="280" spans="1:13" s="1459" customFormat="1" x14ac:dyDescent="0.3">
      <c r="A280" s="1402">
        <v>269</v>
      </c>
      <c r="B280" s="1472"/>
      <c r="C280" s="1481"/>
      <c r="D280" s="1436" t="s">
        <v>1064</v>
      </c>
      <c r="E280" s="1475"/>
      <c r="F280" s="1476"/>
      <c r="G280" s="1477"/>
      <c r="H280" s="1483"/>
      <c r="I280" s="1479"/>
      <c r="J280" s="1479">
        <v>528</v>
      </c>
      <c r="K280" s="1479"/>
      <c r="L280" s="1438">
        <f t="shared" ref="L280" si="88">SUM(I280:K280)</f>
        <v>528</v>
      </c>
      <c r="M280" s="1480"/>
    </row>
    <row r="281" spans="1:13" s="1459" customFormat="1" x14ac:dyDescent="0.3">
      <c r="A281" s="1423">
        <v>270</v>
      </c>
      <c r="B281" s="1472"/>
      <c r="C281" s="1473"/>
      <c r="D281" s="1441" t="s">
        <v>999</v>
      </c>
      <c r="E281" s="1475"/>
      <c r="F281" s="1476"/>
      <c r="G281" s="1477"/>
      <c r="H281" s="1478"/>
      <c r="I281" s="1479"/>
      <c r="J281" s="1482"/>
      <c r="K281" s="1482"/>
      <c r="L281" s="1438">
        <f>SUM(I281:K281)</f>
        <v>0</v>
      </c>
      <c r="M281" s="1480"/>
    </row>
    <row r="282" spans="1:13" s="1459" customFormat="1" x14ac:dyDescent="0.3">
      <c r="A282" s="1402">
        <v>271</v>
      </c>
      <c r="B282" s="1472"/>
      <c r="C282" s="1473"/>
      <c r="D282" s="1474" t="s">
        <v>1116</v>
      </c>
      <c r="E282" s="1475"/>
      <c r="F282" s="1476"/>
      <c r="G282" s="1477"/>
      <c r="H282" s="1478"/>
      <c r="I282" s="1479"/>
      <c r="J282" s="1479">
        <f>SUM(J280:J281)</f>
        <v>528</v>
      </c>
      <c r="K282" s="1479"/>
      <c r="L282" s="1438">
        <f>SUM(I282:K282)</f>
        <v>528</v>
      </c>
      <c r="M282" s="1480"/>
    </row>
    <row r="283" spans="1:13" s="1459" customFormat="1" ht="16.5" x14ac:dyDescent="0.3">
      <c r="A283" s="1402">
        <v>272</v>
      </c>
      <c r="B283" s="1472"/>
      <c r="C283" s="1481">
        <v>56</v>
      </c>
      <c r="D283" s="150" t="s">
        <v>1087</v>
      </c>
      <c r="E283" s="1415">
        <f>F283+G283+L286+M284</f>
        <v>300</v>
      </c>
      <c r="F283" s="1476"/>
      <c r="G283" s="1477"/>
      <c r="H283" s="1468" t="s">
        <v>24</v>
      </c>
      <c r="I283" s="1479"/>
      <c r="J283" s="1479"/>
      <c r="K283" s="1479"/>
      <c r="L283" s="1438"/>
      <c r="M283" s="1480"/>
    </row>
    <row r="284" spans="1:13" s="1459" customFormat="1" x14ac:dyDescent="0.3">
      <c r="A284" s="1423">
        <v>273</v>
      </c>
      <c r="B284" s="1472"/>
      <c r="C284" s="1481"/>
      <c r="D284" s="1436" t="s">
        <v>1064</v>
      </c>
      <c r="E284" s="1475"/>
      <c r="F284" s="1476"/>
      <c r="G284" s="1477"/>
      <c r="H284" s="1483"/>
      <c r="I284" s="1479"/>
      <c r="J284" s="1479">
        <v>300</v>
      </c>
      <c r="K284" s="1479"/>
      <c r="L284" s="1438">
        <f t="shared" ref="L284" si="89">SUM(I284:K284)</f>
        <v>300</v>
      </c>
      <c r="M284" s="1480"/>
    </row>
    <row r="285" spans="1:13" s="1459" customFormat="1" x14ac:dyDescent="0.3">
      <c r="A285" s="1402">
        <v>274</v>
      </c>
      <c r="B285" s="1472"/>
      <c r="C285" s="1473"/>
      <c r="D285" s="1441" t="s">
        <v>999</v>
      </c>
      <c r="E285" s="1475"/>
      <c r="F285" s="1476"/>
      <c r="G285" s="1477"/>
      <c r="H285" s="1478"/>
      <c r="I285" s="1479"/>
      <c r="J285" s="1482"/>
      <c r="K285" s="1479"/>
      <c r="L285" s="1438">
        <f>SUM(I285:K285)</f>
        <v>0</v>
      </c>
      <c r="M285" s="1480"/>
    </row>
    <row r="286" spans="1:13" s="1459" customFormat="1" x14ac:dyDescent="0.3">
      <c r="A286" s="1402">
        <v>275</v>
      </c>
      <c r="B286" s="1472"/>
      <c r="C286" s="1473"/>
      <c r="D286" s="1474" t="s">
        <v>1116</v>
      </c>
      <c r="E286" s="1475"/>
      <c r="F286" s="1476"/>
      <c r="G286" s="1477"/>
      <c r="H286" s="1478"/>
      <c r="I286" s="1479"/>
      <c r="J286" s="1479">
        <f>SUM(J284:J285)</f>
        <v>300</v>
      </c>
      <c r="K286" s="1479"/>
      <c r="L286" s="1438">
        <f>SUM(I286:K286)</f>
        <v>300</v>
      </c>
      <c r="M286" s="1480"/>
    </row>
    <row r="287" spans="1:13" s="1459" customFormat="1" ht="33" x14ac:dyDescent="0.3">
      <c r="A287" s="1423">
        <v>276</v>
      </c>
      <c r="B287" s="1472"/>
      <c r="C287" s="1922">
        <v>57</v>
      </c>
      <c r="D287" s="150" t="s">
        <v>1088</v>
      </c>
      <c r="E287" s="1415">
        <f>F287+G287+L290+M288</f>
        <v>100</v>
      </c>
      <c r="F287" s="1476"/>
      <c r="G287" s="1477"/>
      <c r="H287" s="1468" t="s">
        <v>24</v>
      </c>
      <c r="I287" s="1479"/>
      <c r="J287" s="1479"/>
      <c r="K287" s="1479"/>
      <c r="L287" s="1438"/>
      <c r="M287" s="1480"/>
    </row>
    <row r="288" spans="1:13" s="1459" customFormat="1" x14ac:dyDescent="0.3">
      <c r="A288" s="1402">
        <v>277</v>
      </c>
      <c r="B288" s="1472"/>
      <c r="C288" s="1481"/>
      <c r="D288" s="1436" t="s">
        <v>1064</v>
      </c>
      <c r="E288" s="1475"/>
      <c r="F288" s="1476"/>
      <c r="G288" s="1477"/>
      <c r="H288" s="1483"/>
      <c r="I288" s="1479"/>
      <c r="J288" s="1479">
        <v>100</v>
      </c>
      <c r="K288" s="1479"/>
      <c r="L288" s="1438">
        <f t="shared" ref="L288" si="90">SUM(I288:K288)</f>
        <v>100</v>
      </c>
      <c r="M288" s="1480"/>
    </row>
    <row r="289" spans="1:13" s="1459" customFormat="1" x14ac:dyDescent="0.3">
      <c r="A289" s="1402">
        <v>278</v>
      </c>
      <c r="B289" s="1472"/>
      <c r="C289" s="1473"/>
      <c r="D289" s="1441" t="s">
        <v>999</v>
      </c>
      <c r="E289" s="1475"/>
      <c r="F289" s="1476"/>
      <c r="G289" s="1477"/>
      <c r="H289" s="1478"/>
      <c r="I289" s="1479"/>
      <c r="J289" s="1482"/>
      <c r="K289" s="1479"/>
      <c r="L289" s="1438">
        <f>SUM(I289:K289)</f>
        <v>0</v>
      </c>
      <c r="M289" s="1480"/>
    </row>
    <row r="290" spans="1:13" s="1459" customFormat="1" x14ac:dyDescent="0.3">
      <c r="A290" s="1423">
        <v>279</v>
      </c>
      <c r="B290" s="1472"/>
      <c r="C290" s="1473"/>
      <c r="D290" s="1474" t="s">
        <v>1116</v>
      </c>
      <c r="E290" s="1475"/>
      <c r="F290" s="1476"/>
      <c r="G290" s="1477"/>
      <c r="H290" s="1478"/>
      <c r="I290" s="1479"/>
      <c r="J290" s="1479">
        <f>SUM(J288:J289)</f>
        <v>100</v>
      </c>
      <c r="K290" s="1479"/>
      <c r="L290" s="1438">
        <f>SUM(I290:K290)</f>
        <v>100</v>
      </c>
      <c r="M290" s="1480"/>
    </row>
    <row r="291" spans="1:13" s="1459" customFormat="1" ht="33" x14ac:dyDescent="0.3">
      <c r="A291" s="1402">
        <v>280</v>
      </c>
      <c r="B291" s="1472"/>
      <c r="C291" s="1922">
        <v>58</v>
      </c>
      <c r="D291" s="150" t="s">
        <v>1089</v>
      </c>
      <c r="E291" s="1415">
        <f>F291+G291+L294+M292</f>
        <v>11000</v>
      </c>
      <c r="F291" s="1476"/>
      <c r="G291" s="1477"/>
      <c r="H291" s="1483" t="s">
        <v>24</v>
      </c>
      <c r="I291" s="1479"/>
      <c r="J291" s="1479"/>
      <c r="K291" s="1479"/>
      <c r="L291" s="1438"/>
      <c r="M291" s="1480"/>
    </row>
    <row r="292" spans="1:13" s="1459" customFormat="1" x14ac:dyDescent="0.3">
      <c r="A292" s="1402">
        <v>281</v>
      </c>
      <c r="B292" s="1472"/>
      <c r="C292" s="1481"/>
      <c r="D292" s="1436" t="s">
        <v>1064</v>
      </c>
      <c r="E292" s="1475"/>
      <c r="F292" s="1476"/>
      <c r="G292" s="1477"/>
      <c r="H292" s="1483"/>
      <c r="I292" s="1479"/>
      <c r="J292" s="1479">
        <v>20000</v>
      </c>
      <c r="K292" s="1479"/>
      <c r="L292" s="1438">
        <f>SUM(I292:K292)</f>
        <v>20000</v>
      </c>
      <c r="M292" s="1480"/>
    </row>
    <row r="293" spans="1:13" s="1459" customFormat="1" x14ac:dyDescent="0.3">
      <c r="A293" s="1423">
        <v>282</v>
      </c>
      <c r="B293" s="1472"/>
      <c r="C293" s="1473"/>
      <c r="D293" s="1441" t="s">
        <v>990</v>
      </c>
      <c r="E293" s="1475"/>
      <c r="F293" s="1476"/>
      <c r="G293" s="1477"/>
      <c r="H293" s="1478"/>
      <c r="I293" s="1479"/>
      <c r="J293" s="1482">
        <f>-2000-7000</f>
        <v>-9000</v>
      </c>
      <c r="K293" s="1479"/>
      <c r="L293" s="1438">
        <f>SUM(I293:K293)</f>
        <v>-9000</v>
      </c>
      <c r="M293" s="1480"/>
    </row>
    <row r="294" spans="1:13" s="1459" customFormat="1" x14ac:dyDescent="0.3">
      <c r="A294" s="1402">
        <v>283</v>
      </c>
      <c r="B294" s="1472"/>
      <c r="C294" s="1473"/>
      <c r="D294" s="1474" t="s">
        <v>1116</v>
      </c>
      <c r="E294" s="1475"/>
      <c r="F294" s="1476"/>
      <c r="G294" s="1477"/>
      <c r="H294" s="1478"/>
      <c r="I294" s="1479"/>
      <c r="J294" s="1479">
        <f>SUM(J292:J293)</f>
        <v>11000</v>
      </c>
      <c r="K294" s="1479"/>
      <c r="L294" s="1438">
        <f>SUM(I294:K294)</f>
        <v>11000</v>
      </c>
      <c r="M294" s="1480"/>
    </row>
    <row r="295" spans="1:13" s="1459" customFormat="1" ht="16.5" x14ac:dyDescent="0.3">
      <c r="A295" s="1402">
        <v>284</v>
      </c>
      <c r="B295" s="1472"/>
      <c r="C295" s="1481">
        <v>59</v>
      </c>
      <c r="D295" s="150" t="s">
        <v>1090</v>
      </c>
      <c r="E295" s="1415">
        <f>F295+G295+L298+M296</f>
        <v>7000</v>
      </c>
      <c r="F295" s="1476"/>
      <c r="G295" s="1477"/>
      <c r="H295" s="1483" t="s">
        <v>24</v>
      </c>
      <c r="I295" s="1479"/>
      <c r="J295" s="1479"/>
      <c r="K295" s="1479"/>
      <c r="L295" s="1438"/>
      <c r="M295" s="1480"/>
    </row>
    <row r="296" spans="1:13" s="1459" customFormat="1" x14ac:dyDescent="0.3">
      <c r="A296" s="1423">
        <v>285</v>
      </c>
      <c r="B296" s="1472"/>
      <c r="C296" s="1481"/>
      <c r="D296" s="1436" t="s">
        <v>1064</v>
      </c>
      <c r="E296" s="1475"/>
      <c r="F296" s="1476"/>
      <c r="G296" s="1477"/>
      <c r="H296" s="1483"/>
      <c r="I296" s="1479"/>
      <c r="J296" s="1479">
        <v>5000</v>
      </c>
      <c r="K296" s="1479"/>
      <c r="L296" s="1438">
        <f>SUM(I296:K296)</f>
        <v>5000</v>
      </c>
      <c r="M296" s="1480"/>
    </row>
    <row r="297" spans="1:13" s="1459" customFormat="1" x14ac:dyDescent="0.3">
      <c r="A297" s="1402">
        <v>286</v>
      </c>
      <c r="B297" s="1472"/>
      <c r="C297" s="1473"/>
      <c r="D297" s="1441" t="s">
        <v>990</v>
      </c>
      <c r="E297" s="1475"/>
      <c r="F297" s="1476"/>
      <c r="G297" s="1477"/>
      <c r="H297" s="1478"/>
      <c r="I297" s="1479"/>
      <c r="J297" s="1482">
        <v>2000</v>
      </c>
      <c r="K297" s="1479"/>
      <c r="L297" s="1438">
        <f>SUM(I297:K297)</f>
        <v>2000</v>
      </c>
      <c r="M297" s="1480"/>
    </row>
    <row r="298" spans="1:13" s="1459" customFormat="1" x14ac:dyDescent="0.3">
      <c r="A298" s="1402">
        <v>287</v>
      </c>
      <c r="B298" s="1472"/>
      <c r="C298" s="1473"/>
      <c r="D298" s="1474" t="s">
        <v>1116</v>
      </c>
      <c r="E298" s="1475"/>
      <c r="F298" s="1476"/>
      <c r="G298" s="1477"/>
      <c r="H298" s="1478"/>
      <c r="I298" s="1479"/>
      <c r="J298" s="1479">
        <f>SUM(J296:J297)</f>
        <v>7000</v>
      </c>
      <c r="K298" s="1479"/>
      <c r="L298" s="1438">
        <f>SUM(I298:K298)</f>
        <v>7000</v>
      </c>
      <c r="M298" s="1480"/>
    </row>
    <row r="299" spans="1:13" s="1459" customFormat="1" ht="16.5" x14ac:dyDescent="0.3">
      <c r="A299" s="1423">
        <v>288</v>
      </c>
      <c r="B299" s="1472"/>
      <c r="C299" s="1481">
        <v>60</v>
      </c>
      <c r="D299" s="150" t="s">
        <v>1091</v>
      </c>
      <c r="E299" s="1415">
        <f>F299+G299+L302+M300</f>
        <v>495</v>
      </c>
      <c r="F299" s="1476"/>
      <c r="G299" s="1477"/>
      <c r="H299" s="1478"/>
      <c r="I299" s="1479"/>
      <c r="J299" s="1479"/>
      <c r="K299" s="1479"/>
      <c r="L299" s="1438"/>
      <c r="M299" s="1480"/>
    </row>
    <row r="300" spans="1:13" x14ac:dyDescent="0.3">
      <c r="A300" s="1402">
        <v>289</v>
      </c>
      <c r="B300" s="1472"/>
      <c r="C300" s="1481"/>
      <c r="D300" s="1436" t="s">
        <v>1064</v>
      </c>
      <c r="E300" s="1475"/>
      <c r="F300" s="1476"/>
      <c r="G300" s="1477"/>
      <c r="H300" s="1478"/>
      <c r="I300" s="1479"/>
      <c r="J300" s="1479">
        <v>495</v>
      </c>
      <c r="K300" s="1479"/>
      <c r="L300" s="1438">
        <f>SUM(I300:K300)</f>
        <v>495</v>
      </c>
      <c r="M300" s="1480"/>
    </row>
    <row r="301" spans="1:13" s="1435" customFormat="1" x14ac:dyDescent="0.3">
      <c r="A301" s="1402">
        <v>290</v>
      </c>
      <c r="B301" s="1472"/>
      <c r="C301" s="1473"/>
      <c r="D301" s="1441" t="s">
        <v>999</v>
      </c>
      <c r="E301" s="1475"/>
      <c r="F301" s="1476"/>
      <c r="G301" s="1477"/>
      <c r="H301" s="1478"/>
      <c r="I301" s="1479"/>
      <c r="J301" s="1482"/>
      <c r="K301" s="1479"/>
      <c r="L301" s="1438">
        <f>SUM(I301:K301)</f>
        <v>0</v>
      </c>
      <c r="M301" s="1480"/>
    </row>
    <row r="302" spans="1:13" s="1435" customFormat="1" x14ac:dyDescent="0.3">
      <c r="A302" s="1423">
        <v>291</v>
      </c>
      <c r="B302" s="1472"/>
      <c r="C302" s="1473"/>
      <c r="D302" s="1474" t="s">
        <v>1116</v>
      </c>
      <c r="E302" s="1475"/>
      <c r="F302" s="1476"/>
      <c r="G302" s="1477"/>
      <c r="H302" s="1478"/>
      <c r="I302" s="1479"/>
      <c r="J302" s="1479">
        <f>SUM(J300:J301)</f>
        <v>495</v>
      </c>
      <c r="K302" s="1479"/>
      <c r="L302" s="1438">
        <f>SUM(I302:K302)</f>
        <v>495</v>
      </c>
      <c r="M302" s="1480"/>
    </row>
    <row r="303" spans="1:13" s="1450" customFormat="1" ht="16.5" x14ac:dyDescent="0.3">
      <c r="A303" s="1402">
        <v>292</v>
      </c>
      <c r="B303" s="1451"/>
      <c r="C303" s="1413">
        <v>61</v>
      </c>
      <c r="D303" s="1466" t="s">
        <v>1092</v>
      </c>
      <c r="E303" s="1415">
        <f>F303+G303+L306+M304</f>
        <v>5000</v>
      </c>
      <c r="F303" s="1454"/>
      <c r="G303" s="1467"/>
      <c r="H303" s="1468" t="s">
        <v>24</v>
      </c>
      <c r="I303" s="1437"/>
      <c r="J303" s="1437"/>
      <c r="K303" s="1437"/>
      <c r="L303" s="1438"/>
      <c r="M303" s="1469"/>
    </row>
    <row r="304" spans="1:13" s="1459" customFormat="1" x14ac:dyDescent="0.3">
      <c r="A304" s="1402">
        <v>293</v>
      </c>
      <c r="B304" s="1451"/>
      <c r="C304" s="1460"/>
      <c r="D304" s="1436" t="s">
        <v>1064</v>
      </c>
      <c r="E304" s="1453"/>
      <c r="F304" s="1454"/>
      <c r="G304" s="1467"/>
      <c r="H304" s="1468"/>
      <c r="I304" s="1437"/>
      <c r="J304" s="1437"/>
      <c r="K304" s="1437">
        <v>5000</v>
      </c>
      <c r="L304" s="1438">
        <f>SUM(I304:K304)</f>
        <v>5000</v>
      </c>
      <c r="M304" s="1469"/>
    </row>
    <row r="305" spans="1:13" x14ac:dyDescent="0.3">
      <c r="A305" s="1423">
        <v>294</v>
      </c>
      <c r="B305" s="1451"/>
      <c r="C305" s="1452"/>
      <c r="D305" s="1441" t="s">
        <v>999</v>
      </c>
      <c r="E305" s="1453"/>
      <c r="F305" s="1454"/>
      <c r="G305" s="1467"/>
      <c r="H305" s="1470"/>
      <c r="I305" s="1437"/>
      <c r="J305" s="1437"/>
      <c r="K305" s="1447"/>
      <c r="L305" s="1438">
        <f t="shared" ref="L305" si="91">SUM(I305:K305)</f>
        <v>0</v>
      </c>
      <c r="M305" s="1469"/>
    </row>
    <row r="306" spans="1:13" x14ac:dyDescent="0.3">
      <c r="A306" s="1402">
        <v>295</v>
      </c>
      <c r="B306" s="1451"/>
      <c r="C306" s="1452"/>
      <c r="D306" s="1436" t="s">
        <v>1116</v>
      </c>
      <c r="E306" s="1453"/>
      <c r="F306" s="1454"/>
      <c r="G306" s="1467"/>
      <c r="H306" s="1470"/>
      <c r="I306" s="1437"/>
      <c r="J306" s="1437"/>
      <c r="K306" s="1437">
        <f>SUM(K304:K305)</f>
        <v>5000</v>
      </c>
      <c r="L306" s="1438">
        <f>SUM(I306:K306)</f>
        <v>5000</v>
      </c>
      <c r="M306" s="1469"/>
    </row>
    <row r="307" spans="1:13" ht="16.5" x14ac:dyDescent="0.3">
      <c r="A307" s="1402">
        <v>296</v>
      </c>
      <c r="B307" s="1451"/>
      <c r="C307" s="1460">
        <v>62</v>
      </c>
      <c r="D307" s="150" t="s">
        <v>1214</v>
      </c>
      <c r="E307" s="1415">
        <f>F307+G307+L309+M308</f>
        <v>800</v>
      </c>
      <c r="F307" s="1454"/>
      <c r="G307" s="1467"/>
      <c r="H307" s="1470"/>
      <c r="I307" s="1437"/>
      <c r="J307" s="1437"/>
      <c r="K307" s="1437"/>
      <c r="L307" s="1438"/>
      <c r="M307" s="1469"/>
    </row>
    <row r="308" spans="1:13" x14ac:dyDescent="0.3">
      <c r="A308" s="1423">
        <v>297</v>
      </c>
      <c r="B308" s="1451"/>
      <c r="C308" s="1452"/>
      <c r="D308" s="1441" t="s">
        <v>990</v>
      </c>
      <c r="E308" s="1453"/>
      <c r="F308" s="1454"/>
      <c r="G308" s="1467"/>
      <c r="H308" s="1470"/>
      <c r="I308" s="1437"/>
      <c r="J308" s="1447">
        <v>800</v>
      </c>
      <c r="K308" s="1437"/>
      <c r="L308" s="1923">
        <f>SUM(J308:K308)</f>
        <v>800</v>
      </c>
      <c r="M308" s="1469"/>
    </row>
    <row r="309" spans="1:13" x14ac:dyDescent="0.3">
      <c r="A309" s="1402">
        <v>298</v>
      </c>
      <c r="B309" s="1451"/>
      <c r="C309" s="1452"/>
      <c r="D309" s="1436" t="s">
        <v>1116</v>
      </c>
      <c r="E309" s="1453"/>
      <c r="F309" s="1454"/>
      <c r="G309" s="1467"/>
      <c r="H309" s="1470"/>
      <c r="I309" s="1437"/>
      <c r="J309" s="1437">
        <f>SUM(J308)</f>
        <v>800</v>
      </c>
      <c r="K309" s="1437"/>
      <c r="L309" s="1438">
        <f>SUM(J309:K309)</f>
        <v>800</v>
      </c>
      <c r="M309" s="1469"/>
    </row>
    <row r="310" spans="1:13" ht="16.5" x14ac:dyDescent="0.3">
      <c r="A310" s="1402">
        <v>299</v>
      </c>
      <c r="B310" s="1451"/>
      <c r="C310" s="1413">
        <v>63</v>
      </c>
      <c r="D310" s="150" t="s">
        <v>1215</v>
      </c>
      <c r="E310" s="1415">
        <f>F310+G310+L312+M311</f>
        <v>1900</v>
      </c>
      <c r="F310" s="1454"/>
      <c r="G310" s="1467"/>
      <c r="H310" s="1470"/>
      <c r="I310" s="1437"/>
      <c r="J310" s="1437"/>
      <c r="K310" s="1437"/>
      <c r="L310" s="1438"/>
      <c r="M310" s="1469"/>
    </row>
    <row r="311" spans="1:13" x14ac:dyDescent="0.3">
      <c r="A311" s="1423">
        <v>300</v>
      </c>
      <c r="B311" s="1451"/>
      <c r="C311" s="1452"/>
      <c r="D311" s="1441" t="s">
        <v>990</v>
      </c>
      <c r="E311" s="1453"/>
      <c r="F311" s="1454"/>
      <c r="G311" s="1467"/>
      <c r="H311" s="1470"/>
      <c r="I311" s="1437"/>
      <c r="J311" s="1447">
        <v>1900</v>
      </c>
      <c r="K311" s="1437"/>
      <c r="L311" s="1923">
        <f>SUM(J311:K311)</f>
        <v>1900</v>
      </c>
      <c r="M311" s="1469"/>
    </row>
    <row r="312" spans="1:13" x14ac:dyDescent="0.3">
      <c r="A312" s="1402">
        <v>301</v>
      </c>
      <c r="B312" s="1451"/>
      <c r="C312" s="1452"/>
      <c r="D312" s="1436" t="s">
        <v>1116</v>
      </c>
      <c r="E312" s="1453"/>
      <c r="F312" s="1454"/>
      <c r="G312" s="1467"/>
      <c r="H312" s="1470"/>
      <c r="I312" s="1437"/>
      <c r="J312" s="1437">
        <f>SUM(J311)</f>
        <v>1900</v>
      </c>
      <c r="K312" s="1437"/>
      <c r="L312" s="1438">
        <f>SUM(J312:K312)</f>
        <v>1900</v>
      </c>
      <c r="M312" s="1469"/>
    </row>
    <row r="313" spans="1:13" ht="16.5" x14ac:dyDescent="0.3">
      <c r="A313" s="1402">
        <v>302</v>
      </c>
      <c r="B313" s="1451"/>
      <c r="C313" s="1413">
        <v>64</v>
      </c>
      <c r="D313" s="150" t="s">
        <v>1216</v>
      </c>
      <c r="E313" s="1415">
        <f>F313+G313+L315+M314</f>
        <v>10</v>
      </c>
      <c r="F313" s="1454"/>
      <c r="G313" s="1467"/>
      <c r="H313" s="1470"/>
      <c r="I313" s="1437"/>
      <c r="J313" s="1437"/>
      <c r="K313" s="1437"/>
      <c r="L313" s="1438"/>
      <c r="M313" s="1469"/>
    </row>
    <row r="314" spans="1:13" x14ac:dyDescent="0.3">
      <c r="A314" s="1423">
        <v>303</v>
      </c>
      <c r="B314" s="1451"/>
      <c r="C314" s="1452"/>
      <c r="D314" s="1441" t="s">
        <v>990</v>
      </c>
      <c r="E314" s="1453"/>
      <c r="F314" s="1454"/>
      <c r="G314" s="1467"/>
      <c r="H314" s="1470"/>
      <c r="I314" s="1437"/>
      <c r="J314" s="1447">
        <v>10</v>
      </c>
      <c r="K314" s="1437"/>
      <c r="L314" s="1923">
        <f>SUM(I314:K314)</f>
        <v>10</v>
      </c>
      <c r="M314" s="1469"/>
    </row>
    <row r="315" spans="1:13" x14ac:dyDescent="0.3">
      <c r="A315" s="1402">
        <v>304</v>
      </c>
      <c r="B315" s="1451"/>
      <c r="C315" s="1452"/>
      <c r="D315" s="1436" t="s">
        <v>1116</v>
      </c>
      <c r="E315" s="1453"/>
      <c r="F315" s="1454"/>
      <c r="G315" s="1467"/>
      <c r="H315" s="1470"/>
      <c r="I315" s="1437"/>
      <c r="J315" s="1437">
        <f>SUM(J314)</f>
        <v>10</v>
      </c>
      <c r="K315" s="1437"/>
      <c r="L315" s="1438">
        <f>SUM(I315:K315)</f>
        <v>10</v>
      </c>
      <c r="M315" s="1469"/>
    </row>
    <row r="316" spans="1:13" ht="16.5" x14ac:dyDescent="0.3">
      <c r="A316" s="1402">
        <v>305</v>
      </c>
      <c r="B316" s="1451"/>
      <c r="C316" s="1413">
        <v>65</v>
      </c>
      <c r="D316" s="150" t="s">
        <v>1217</v>
      </c>
      <c r="E316" s="1415">
        <f>F316+G316+L318+M317</f>
        <v>6990</v>
      </c>
      <c r="F316" s="1454"/>
      <c r="G316" s="1467"/>
      <c r="H316" s="1470"/>
      <c r="I316" s="1437"/>
      <c r="J316" s="1437"/>
      <c r="K316" s="1437"/>
      <c r="L316" s="1438"/>
      <c r="M316" s="1469"/>
    </row>
    <row r="317" spans="1:13" x14ac:dyDescent="0.3">
      <c r="A317" s="1423">
        <v>306</v>
      </c>
      <c r="B317" s="1451"/>
      <c r="C317" s="1452"/>
      <c r="D317" s="1441" t="s">
        <v>990</v>
      </c>
      <c r="E317" s="1453"/>
      <c r="F317" s="1454"/>
      <c r="G317" s="1467"/>
      <c r="H317" s="1470"/>
      <c r="I317" s="1437"/>
      <c r="J317" s="1447">
        <v>6990</v>
      </c>
      <c r="K317" s="1447"/>
      <c r="L317" s="1923">
        <f>SUM(I317:K317)</f>
        <v>6990</v>
      </c>
      <c r="M317" s="1469"/>
    </row>
    <row r="318" spans="1:13" ht="15.75" thickBot="1" x14ac:dyDescent="0.35">
      <c r="A318" s="1402">
        <v>307</v>
      </c>
      <c r="B318" s="1484"/>
      <c r="C318" s="1485"/>
      <c r="D318" s="1436" t="s">
        <v>1116</v>
      </c>
      <c r="E318" s="1486"/>
      <c r="F318" s="1487"/>
      <c r="G318" s="1488"/>
      <c r="H318" s="1489"/>
      <c r="I318" s="1490"/>
      <c r="J318" s="1490">
        <f>SUM(J317)</f>
        <v>6990</v>
      </c>
      <c r="K318" s="1490">
        <f>SUM(K317)</f>
        <v>0</v>
      </c>
      <c r="L318" s="1498">
        <f>SUM(L317)</f>
        <v>6990</v>
      </c>
      <c r="M318" s="1924"/>
    </row>
    <row r="319" spans="1:13" x14ac:dyDescent="0.3">
      <c r="A319" s="1402">
        <v>308</v>
      </c>
      <c r="B319" s="2112" t="s">
        <v>13</v>
      </c>
      <c r="C319" s="2113"/>
      <c r="D319" s="2113"/>
      <c r="E319" s="2113"/>
      <c r="F319" s="2113"/>
      <c r="G319" s="2114"/>
      <c r="H319" s="1491"/>
      <c r="I319" s="1492"/>
      <c r="J319" s="1492"/>
      <c r="K319" s="1492"/>
      <c r="L319" s="1492"/>
      <c r="M319" s="1493"/>
    </row>
    <row r="320" spans="1:13" x14ac:dyDescent="0.3">
      <c r="A320" s="1423">
        <v>309</v>
      </c>
      <c r="B320" s="1424"/>
      <c r="C320" s="1425"/>
      <c r="D320" s="1426" t="s">
        <v>311</v>
      </c>
      <c r="E320" s="1427"/>
      <c r="F320" s="1428"/>
      <c r="G320" s="1429"/>
      <c r="H320" s="1430"/>
      <c r="I320" s="1431">
        <f>SUM(I259,I254,I249,I244,I239,I234,I229,I224,I219,I214,I209,I204,I199,I194,I189,I184,I179,I174,I169,I164,I159,I154,I149,I144,I139,I134,I129,I124,I119,I114,I109,I104,I99,I94,I89,I84,I79,I74,I69,I64,I59,I54,I49,I44,I39,I34,I29,I24,I19,I14,)</f>
        <v>10468</v>
      </c>
      <c r="J320" s="1432">
        <f>SUM(J259,J254,J249,J244,J239,J234,J229,J224,J219,J214,J209,J204,J199,J194,J189,J184,J179,J174,J169,J164,J159,J154,J149,J144,J139,J134,J129,J124,J119,J114,J109,J104,J99,J94,J89,J84,J79,J74,J69,J64,J59,J54,J49,J44,J39,J34,J29,J24,J19,J14,)</f>
        <v>765891</v>
      </c>
      <c r="K320" s="1432">
        <f>SUM(K259,K254,K249,K244,K239,K234,K229,K224,K219,K214,K209,K204,K199,K194,K189,K184,K179,K174,K169,K164,K159,K154,K149,K144,K139,K134,K129,K124,K119,K114,K109,K104,K99,K94,K89,K84,K79,K74,K69,K64,K59,K54,K49,K44,K39,K34,K29,K24,K19,K14,)</f>
        <v>504000</v>
      </c>
      <c r="L320" s="1433">
        <f t="shared" ref="L320" si="92">SUM(I320:K320)</f>
        <v>1280359</v>
      </c>
      <c r="M320" s="1434"/>
    </row>
    <row r="321" spans="1:13" x14ac:dyDescent="0.3">
      <c r="A321" s="1402">
        <v>310</v>
      </c>
      <c r="B321" s="1424"/>
      <c r="C321" s="1425"/>
      <c r="D321" s="1436" t="s">
        <v>1064</v>
      </c>
      <c r="E321" s="1427"/>
      <c r="F321" s="1428"/>
      <c r="G321" s="1429"/>
      <c r="H321" s="1430"/>
      <c r="I321" s="1457">
        <f>SUM(I260,I255,I250,I245,I240,I235,I230,I225,I220,I215,I210,I205,I200,I195,I190,I185,I180,I175,I170,I165,I160,I155,I150,I145,I140,I135,I130,I125,I120,I115,I110,I105,I100,I95,I90,I85,I80,I75,I70,I65,I60,I55,I50,I45,I40,I35,I30,I25,I20,I15,)+I264+I268+I272+I276+I304+I300+I296+I292+I288+I284+I280</f>
        <v>10468</v>
      </c>
      <c r="J321" s="1457">
        <f t="shared" ref="J321:K321" si="93">SUM(J260,J255,J250,J245,J240,J235,J230,J225,J220,J215,J210,J205,J200,J195,J190,J185,J180,J175,J170,J165,J160,J155,J150,J145,J140,J135,J130,J125,J120,J115,J110,J105,J100,J95,J90,J85,J80,J75,J70,J65,J60,J55,J50,J45,J40,J35,J30,J25,J20,J15,)+J264+J268+J272+J276+J304+J300+J296+J292+J288+J284+J280</f>
        <v>744418</v>
      </c>
      <c r="K321" s="1457">
        <f t="shared" si="93"/>
        <v>495160</v>
      </c>
      <c r="L321" s="1438">
        <f>SUM(I321:K321)</f>
        <v>1250046</v>
      </c>
      <c r="M321" s="1434"/>
    </row>
    <row r="322" spans="1:13" x14ac:dyDescent="0.3">
      <c r="A322" s="1402">
        <v>311</v>
      </c>
      <c r="B322" s="1439"/>
      <c r="C322" s="1440"/>
      <c r="D322" s="1441" t="s">
        <v>999</v>
      </c>
      <c r="E322" s="1442"/>
      <c r="F322" s="1443"/>
      <c r="G322" s="1444"/>
      <c r="H322" s="1445"/>
      <c r="I322" s="1447">
        <f>SUM(I261,I256,I251,I246,I241,I236,I231,I226,I221,I216,I211,I206,I201,I196,I191,I186,I181,I176,I171,I166,I161,I156,I151,I146,I141,I136,I131,I126,I121,I116,I111,I106,I101,I96,I91,I86,I81,I76,I71,I66,I61,I56,I51,I46,I41,I36,I31,I26,I21,I16,)+I273+I277+I305+I281+I285+I289+I297+I293+I301+I317+I314+I308+I311</f>
        <v>0</v>
      </c>
      <c r="J322" s="1447">
        <f>SUM(J261,J256,J251,J246,J241,J236,J231,J226,J221,J216,J211,J206,J201,J196,J191,J186,J181,J176,J171,J166,J161,J156,J151,J146,J141,J136,J131,J126,J121,J116,J111,J106,J101,J96,J91,J86,J81,J76,J71,J66,J61,J56,J51,J46,J41,J36,J31,J26,J21,J16,)+J273+J277+J305+J281+J285+J289+J297+J293+J301+J317+J314+J308+J311</f>
        <v>-900</v>
      </c>
      <c r="K322" s="1447">
        <f t="shared" ref="K322:L322" si="94">SUM(K261,K256,K251,K246,K241,K236,K231,K226,K221,K216,K211,K206,K201,K196,K191,K186,K181,K176,K171,K166,K161,K156,K151,K146,K141,K136,K131,K126,K121,K116,K111,K106,K101,K96,K91,K86,K81,K76,K71,K66,K61,K56,K51,K46,K41,K36,K31,K26,K21,K16,)+K273+K277+K305+K281+K285+K289+K297+K293+K301+K317+K314+K308+K311</f>
        <v>0</v>
      </c>
      <c r="L322" s="1447">
        <f t="shared" si="94"/>
        <v>-900</v>
      </c>
      <c r="M322" s="1449"/>
    </row>
    <row r="323" spans="1:13" ht="15.75" thickBot="1" x14ac:dyDescent="0.35">
      <c r="A323" s="1423">
        <v>312</v>
      </c>
      <c r="B323" s="1484"/>
      <c r="C323" s="1485"/>
      <c r="D323" s="1494" t="s">
        <v>1116</v>
      </c>
      <c r="E323" s="1486"/>
      <c r="F323" s="1487"/>
      <c r="G323" s="1495"/>
      <c r="H323" s="1496"/>
      <c r="I323" s="1497">
        <f>SUM(I321:I322)</f>
        <v>10468</v>
      </c>
      <c r="J323" s="1497">
        <f t="shared" ref="J323:K323" si="95">SUM(J321:J322)</f>
        <v>743518</v>
      </c>
      <c r="K323" s="1497">
        <f t="shared" si="95"/>
        <v>495160</v>
      </c>
      <c r="L323" s="1498">
        <f>SUM(I323:K323)</f>
        <v>1249146</v>
      </c>
      <c r="M323" s="1499"/>
    </row>
    <row r="324" spans="1:13" x14ac:dyDescent="0.3">
      <c r="B324" s="1500" t="s">
        <v>27</v>
      </c>
      <c r="C324" s="1500"/>
      <c r="D324" s="1500"/>
      <c r="E324" s="1501"/>
      <c r="F324" s="1502"/>
      <c r="G324" s="1501"/>
      <c r="H324" s="1503"/>
      <c r="I324" s="1501"/>
      <c r="J324" s="1501"/>
      <c r="K324" s="1501"/>
      <c r="L324" s="1501"/>
    </row>
    <row r="325" spans="1:13" x14ac:dyDescent="0.3">
      <c r="B325" s="1500" t="s">
        <v>28</v>
      </c>
      <c r="C325" s="1500"/>
      <c r="D325" s="1500"/>
      <c r="E325" s="1504"/>
      <c r="F325" s="1502"/>
      <c r="G325" s="1501"/>
      <c r="H325" s="1503"/>
      <c r="I325" s="1501"/>
      <c r="J325" s="1501"/>
      <c r="K325" s="1501"/>
      <c r="L325" s="1501"/>
    </row>
    <row r="326" spans="1:13" x14ac:dyDescent="0.3">
      <c r="B326" s="1500" t="s">
        <v>29</v>
      </c>
      <c r="C326" s="1500"/>
      <c r="D326" s="1500"/>
      <c r="E326" s="1504"/>
      <c r="F326" s="1502"/>
      <c r="G326" s="1501"/>
      <c r="H326" s="1503"/>
      <c r="I326" s="1501"/>
      <c r="J326" s="1501"/>
      <c r="K326" s="1501"/>
      <c r="L326" s="1501"/>
    </row>
  </sheetData>
  <mergeCells count="16">
    <mergeCell ref="B319:G319"/>
    <mergeCell ref="G9:G11"/>
    <mergeCell ref="F9:F11"/>
    <mergeCell ref="B1:D1"/>
    <mergeCell ref="I1:M1"/>
    <mergeCell ref="B5:M5"/>
    <mergeCell ref="B6:M6"/>
    <mergeCell ref="I9:L9"/>
    <mergeCell ref="M9:M11"/>
    <mergeCell ref="E9:E11"/>
    <mergeCell ref="B9:B11"/>
    <mergeCell ref="C9:C11"/>
    <mergeCell ref="D9:D11"/>
    <mergeCell ref="J10:K10"/>
    <mergeCell ref="L10:L11"/>
    <mergeCell ref="H9:H11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53" fitToHeight="0" orientation="portrait" r:id="rId1"/>
  <headerFooter>
    <oddFooter>&amp;C- &amp;P -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P143"/>
  <sheetViews>
    <sheetView view="pageBreakPreview" topLeftCell="A112" zoomScaleNormal="100" zoomScaleSheetLayoutView="100" workbookViewId="0">
      <selection activeCell="D133" sqref="D133"/>
    </sheetView>
  </sheetViews>
  <sheetFormatPr defaultColWidth="9.140625" defaultRowHeight="15" x14ac:dyDescent="0.3"/>
  <cols>
    <col min="1" max="1" width="3.5703125" style="263" customWidth="1"/>
    <col min="2" max="2" width="5.7109375" style="256" customWidth="1"/>
    <col min="3" max="3" width="5.7109375" style="257" customWidth="1"/>
    <col min="4" max="4" width="59.7109375" style="258" customWidth="1"/>
    <col min="5" max="7" width="10.7109375" style="254" customWidth="1"/>
    <col min="8" max="8" width="6.7109375" style="259" customWidth="1"/>
    <col min="9" max="10" width="14.85546875" style="254" customWidth="1"/>
    <col min="11" max="11" width="15.7109375" style="254" customWidth="1"/>
    <col min="12" max="12" width="13.7109375" style="261" customWidth="1"/>
    <col min="13" max="16384" width="9.140625" style="255"/>
  </cols>
  <sheetData>
    <row r="1" spans="1:250" s="146" customFormat="1" ht="18" customHeight="1" x14ac:dyDescent="0.3">
      <c r="A1" s="262"/>
      <c r="B1" s="2121" t="s">
        <v>976</v>
      </c>
      <c r="C1" s="2121"/>
      <c r="D1" s="2121"/>
      <c r="E1" s="217"/>
      <c r="F1" s="217"/>
      <c r="G1" s="217"/>
      <c r="H1" s="216"/>
      <c r="I1" s="2122"/>
      <c r="J1" s="2122"/>
      <c r="K1" s="2122"/>
      <c r="L1" s="2122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  <c r="AJ1" s="218"/>
      <c r="AK1" s="218"/>
      <c r="AL1" s="218"/>
      <c r="AM1" s="218"/>
      <c r="AN1" s="218"/>
      <c r="AO1" s="218"/>
      <c r="AP1" s="218"/>
      <c r="AQ1" s="218"/>
      <c r="AR1" s="218"/>
      <c r="AS1" s="218"/>
      <c r="AT1" s="218"/>
      <c r="AU1" s="218"/>
      <c r="AV1" s="218"/>
      <c r="AW1" s="218"/>
      <c r="AX1" s="218"/>
      <c r="AY1" s="218"/>
      <c r="AZ1" s="218"/>
      <c r="BA1" s="218"/>
      <c r="BB1" s="218"/>
      <c r="BC1" s="218"/>
      <c r="BD1" s="218"/>
      <c r="BE1" s="218"/>
      <c r="BF1" s="218"/>
      <c r="BG1" s="218"/>
      <c r="BH1" s="218"/>
      <c r="BI1" s="218"/>
      <c r="BJ1" s="218"/>
      <c r="BK1" s="218"/>
      <c r="BL1" s="218"/>
      <c r="BM1" s="218"/>
      <c r="BN1" s="218"/>
      <c r="BO1" s="218"/>
      <c r="BP1" s="218"/>
      <c r="BQ1" s="218"/>
      <c r="BR1" s="218"/>
      <c r="BS1" s="218"/>
      <c r="BT1" s="218"/>
      <c r="BU1" s="218"/>
      <c r="BV1" s="218"/>
      <c r="BW1" s="218"/>
      <c r="BX1" s="218"/>
      <c r="BY1" s="218"/>
      <c r="BZ1" s="218"/>
      <c r="CA1" s="218"/>
      <c r="CB1" s="218"/>
      <c r="CC1" s="218"/>
      <c r="CD1" s="218"/>
      <c r="CE1" s="218"/>
      <c r="CF1" s="218"/>
      <c r="CG1" s="218"/>
      <c r="CH1" s="218"/>
      <c r="CI1" s="218"/>
      <c r="CJ1" s="218"/>
      <c r="CK1" s="218"/>
      <c r="CL1" s="218"/>
      <c r="CM1" s="218"/>
      <c r="CN1" s="218"/>
      <c r="CO1" s="218"/>
      <c r="CP1" s="218"/>
      <c r="CQ1" s="218"/>
      <c r="CR1" s="218"/>
      <c r="CS1" s="218"/>
      <c r="CT1" s="218"/>
      <c r="CU1" s="218"/>
      <c r="CV1" s="218"/>
      <c r="CW1" s="218"/>
      <c r="CX1" s="218"/>
      <c r="CY1" s="218"/>
      <c r="CZ1" s="218"/>
      <c r="DA1" s="218"/>
      <c r="DB1" s="218"/>
      <c r="DC1" s="218"/>
      <c r="DD1" s="218"/>
      <c r="DE1" s="218"/>
      <c r="DF1" s="218"/>
      <c r="DG1" s="218"/>
      <c r="DH1" s="218"/>
      <c r="DI1" s="218"/>
      <c r="DJ1" s="218"/>
      <c r="DK1" s="218"/>
      <c r="DL1" s="218"/>
      <c r="DM1" s="218"/>
      <c r="DN1" s="218"/>
      <c r="DO1" s="218"/>
      <c r="DP1" s="218"/>
      <c r="DQ1" s="218"/>
      <c r="DR1" s="218"/>
      <c r="DS1" s="218"/>
      <c r="DT1" s="218"/>
      <c r="DU1" s="218"/>
      <c r="DV1" s="218"/>
      <c r="DW1" s="218"/>
      <c r="DX1" s="218"/>
      <c r="DY1" s="218"/>
      <c r="DZ1" s="218"/>
      <c r="EA1" s="218"/>
      <c r="EB1" s="218"/>
      <c r="EC1" s="218"/>
      <c r="ED1" s="218"/>
      <c r="EE1" s="218"/>
      <c r="EF1" s="218"/>
      <c r="EG1" s="218"/>
      <c r="EH1" s="218"/>
      <c r="EI1" s="218"/>
      <c r="EJ1" s="218"/>
      <c r="EK1" s="218"/>
      <c r="EL1" s="218"/>
      <c r="EM1" s="218"/>
      <c r="EN1" s="218"/>
      <c r="EO1" s="218"/>
      <c r="EP1" s="218"/>
      <c r="EQ1" s="218"/>
      <c r="ER1" s="218"/>
      <c r="ES1" s="218"/>
      <c r="ET1" s="218"/>
      <c r="EU1" s="218"/>
      <c r="EV1" s="218"/>
      <c r="EW1" s="218"/>
      <c r="EX1" s="218"/>
      <c r="EY1" s="218"/>
      <c r="EZ1" s="218"/>
      <c r="FA1" s="218"/>
      <c r="FB1" s="218"/>
      <c r="FC1" s="218"/>
      <c r="FD1" s="218"/>
      <c r="FE1" s="218"/>
      <c r="FF1" s="218"/>
      <c r="FG1" s="218"/>
      <c r="FH1" s="218"/>
      <c r="FI1" s="218"/>
      <c r="FJ1" s="218"/>
      <c r="FK1" s="218"/>
      <c r="FL1" s="218"/>
      <c r="FM1" s="218"/>
      <c r="FN1" s="218"/>
      <c r="FO1" s="218"/>
      <c r="FP1" s="218"/>
      <c r="FQ1" s="218"/>
      <c r="FR1" s="218"/>
      <c r="FS1" s="218"/>
      <c r="FT1" s="218"/>
      <c r="FU1" s="218"/>
      <c r="FV1" s="218"/>
      <c r="FW1" s="218"/>
      <c r="FX1" s="218"/>
      <c r="FY1" s="218"/>
      <c r="FZ1" s="218"/>
      <c r="GA1" s="218"/>
      <c r="GB1" s="218"/>
      <c r="GC1" s="218"/>
      <c r="GD1" s="218"/>
      <c r="GE1" s="218"/>
      <c r="GF1" s="218"/>
      <c r="GG1" s="218"/>
      <c r="GH1" s="218"/>
      <c r="GI1" s="218"/>
      <c r="GJ1" s="218"/>
      <c r="GK1" s="218"/>
      <c r="GL1" s="218"/>
      <c r="GM1" s="218"/>
      <c r="GN1" s="218"/>
      <c r="GO1" s="218"/>
      <c r="GP1" s="218"/>
      <c r="GQ1" s="218"/>
      <c r="GR1" s="218"/>
      <c r="GS1" s="218"/>
      <c r="GT1" s="218"/>
      <c r="GU1" s="218"/>
      <c r="GV1" s="218"/>
      <c r="GW1" s="218"/>
      <c r="GX1" s="218"/>
      <c r="GY1" s="218"/>
      <c r="GZ1" s="218"/>
      <c r="HA1" s="218"/>
      <c r="HB1" s="218"/>
      <c r="HC1" s="218"/>
      <c r="HD1" s="218"/>
      <c r="HE1" s="218"/>
      <c r="HF1" s="218"/>
      <c r="HG1" s="218"/>
      <c r="HH1" s="218"/>
      <c r="HI1" s="218"/>
      <c r="HJ1" s="218"/>
      <c r="HK1" s="218"/>
      <c r="HL1" s="218"/>
      <c r="HM1" s="218"/>
      <c r="HN1" s="218"/>
      <c r="HO1" s="218"/>
      <c r="HP1" s="218"/>
      <c r="HQ1" s="218"/>
      <c r="HR1" s="218"/>
      <c r="HS1" s="218"/>
      <c r="HT1" s="218"/>
      <c r="HU1" s="218"/>
      <c r="HV1" s="218"/>
      <c r="HW1" s="218"/>
      <c r="HX1" s="218"/>
      <c r="HY1" s="218"/>
      <c r="HZ1" s="218"/>
      <c r="IA1" s="218"/>
      <c r="IB1" s="218"/>
      <c r="IC1" s="218"/>
      <c r="ID1" s="218"/>
      <c r="IE1" s="218"/>
      <c r="IF1" s="218"/>
      <c r="IG1" s="218"/>
      <c r="IH1" s="218"/>
      <c r="II1" s="218"/>
      <c r="IJ1" s="218"/>
      <c r="IK1" s="218"/>
      <c r="IL1" s="218"/>
      <c r="IM1" s="218"/>
      <c r="IN1" s="218"/>
      <c r="IO1" s="218"/>
      <c r="IP1" s="218"/>
    </row>
    <row r="2" spans="1:250" s="146" customFormat="1" ht="18" customHeight="1" x14ac:dyDescent="0.3">
      <c r="A2" s="262"/>
      <c r="B2" s="468" t="s">
        <v>1048</v>
      </c>
      <c r="C2" s="468"/>
      <c r="D2" s="468"/>
      <c r="E2" s="217"/>
      <c r="F2" s="217"/>
      <c r="G2" s="217"/>
      <c r="H2" s="216"/>
      <c r="I2" s="469"/>
      <c r="J2" s="469"/>
      <c r="K2" s="469"/>
      <c r="L2" s="469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8"/>
      <c r="AZ2" s="218"/>
      <c r="BA2" s="218"/>
      <c r="BB2" s="218"/>
      <c r="BC2" s="218"/>
      <c r="BD2" s="218"/>
      <c r="BE2" s="218"/>
      <c r="BF2" s="218"/>
      <c r="BG2" s="218"/>
      <c r="BH2" s="218"/>
      <c r="BI2" s="218"/>
      <c r="BJ2" s="218"/>
      <c r="BK2" s="218"/>
      <c r="BL2" s="218"/>
      <c r="BM2" s="218"/>
      <c r="BN2" s="218"/>
      <c r="BO2" s="218"/>
      <c r="BP2" s="218"/>
      <c r="BQ2" s="218"/>
      <c r="BR2" s="218"/>
      <c r="BS2" s="218"/>
      <c r="BT2" s="218"/>
      <c r="BU2" s="218"/>
      <c r="BV2" s="218"/>
      <c r="BW2" s="218"/>
      <c r="BX2" s="218"/>
      <c r="BY2" s="218"/>
      <c r="BZ2" s="218"/>
      <c r="CA2" s="218"/>
      <c r="CB2" s="218"/>
      <c r="CC2" s="218"/>
      <c r="CD2" s="218"/>
      <c r="CE2" s="218"/>
      <c r="CF2" s="218"/>
      <c r="CG2" s="218"/>
      <c r="CH2" s="218"/>
      <c r="CI2" s="218"/>
      <c r="CJ2" s="218"/>
      <c r="CK2" s="218"/>
      <c r="CL2" s="218"/>
      <c r="CM2" s="218"/>
      <c r="CN2" s="218"/>
      <c r="CO2" s="218"/>
      <c r="CP2" s="218"/>
      <c r="CQ2" s="218"/>
      <c r="CR2" s="218"/>
      <c r="CS2" s="218"/>
      <c r="CT2" s="218"/>
      <c r="CU2" s="218"/>
      <c r="CV2" s="218"/>
      <c r="CW2" s="218"/>
      <c r="CX2" s="218"/>
      <c r="CY2" s="218"/>
      <c r="CZ2" s="218"/>
      <c r="DA2" s="218"/>
      <c r="DB2" s="218"/>
      <c r="DC2" s="218"/>
      <c r="DD2" s="218"/>
      <c r="DE2" s="218"/>
      <c r="DF2" s="218"/>
      <c r="DG2" s="218"/>
      <c r="DH2" s="218"/>
      <c r="DI2" s="218"/>
      <c r="DJ2" s="218"/>
      <c r="DK2" s="218"/>
      <c r="DL2" s="218"/>
      <c r="DM2" s="218"/>
      <c r="DN2" s="218"/>
      <c r="DO2" s="218"/>
      <c r="DP2" s="218"/>
      <c r="DQ2" s="218"/>
      <c r="DR2" s="218"/>
      <c r="DS2" s="218"/>
      <c r="DT2" s="218"/>
      <c r="DU2" s="218"/>
      <c r="DV2" s="218"/>
      <c r="DW2" s="218"/>
      <c r="DX2" s="218"/>
      <c r="DY2" s="218"/>
      <c r="DZ2" s="218"/>
      <c r="EA2" s="218"/>
      <c r="EB2" s="218"/>
      <c r="EC2" s="218"/>
      <c r="ED2" s="218"/>
      <c r="EE2" s="218"/>
      <c r="EF2" s="218"/>
      <c r="EG2" s="218"/>
      <c r="EH2" s="218"/>
      <c r="EI2" s="218"/>
      <c r="EJ2" s="218"/>
      <c r="EK2" s="218"/>
      <c r="EL2" s="218"/>
      <c r="EM2" s="218"/>
      <c r="EN2" s="218"/>
      <c r="EO2" s="218"/>
      <c r="EP2" s="218"/>
      <c r="EQ2" s="218"/>
      <c r="ER2" s="218"/>
      <c r="ES2" s="218"/>
      <c r="ET2" s="218"/>
      <c r="EU2" s="218"/>
      <c r="EV2" s="218"/>
      <c r="EW2" s="218"/>
      <c r="EX2" s="218"/>
      <c r="EY2" s="218"/>
      <c r="EZ2" s="218"/>
      <c r="FA2" s="218"/>
      <c r="FB2" s="218"/>
      <c r="FC2" s="218"/>
      <c r="FD2" s="218"/>
      <c r="FE2" s="218"/>
      <c r="FF2" s="218"/>
      <c r="FG2" s="218"/>
      <c r="FH2" s="218"/>
      <c r="FI2" s="218"/>
      <c r="FJ2" s="218"/>
      <c r="FK2" s="218"/>
      <c r="FL2" s="218"/>
      <c r="FM2" s="218"/>
      <c r="FN2" s="218"/>
      <c r="FO2" s="218"/>
      <c r="FP2" s="218"/>
      <c r="FQ2" s="218"/>
      <c r="FR2" s="218"/>
      <c r="FS2" s="218"/>
      <c r="FT2" s="218"/>
      <c r="FU2" s="218"/>
      <c r="FV2" s="218"/>
      <c r="FW2" s="218"/>
      <c r="FX2" s="218"/>
      <c r="FY2" s="218"/>
      <c r="FZ2" s="218"/>
      <c r="GA2" s="218"/>
      <c r="GB2" s="218"/>
      <c r="GC2" s="218"/>
      <c r="GD2" s="218"/>
      <c r="GE2" s="218"/>
      <c r="GF2" s="218"/>
      <c r="GG2" s="218"/>
      <c r="GH2" s="218"/>
      <c r="GI2" s="218"/>
      <c r="GJ2" s="218"/>
      <c r="GK2" s="218"/>
      <c r="GL2" s="218"/>
      <c r="GM2" s="218"/>
      <c r="GN2" s="218"/>
      <c r="GO2" s="218"/>
      <c r="GP2" s="218"/>
      <c r="GQ2" s="218"/>
      <c r="GR2" s="218"/>
      <c r="GS2" s="218"/>
      <c r="GT2" s="218"/>
      <c r="GU2" s="218"/>
      <c r="GV2" s="218"/>
      <c r="GW2" s="218"/>
      <c r="GX2" s="218"/>
      <c r="GY2" s="218"/>
      <c r="GZ2" s="218"/>
      <c r="HA2" s="218"/>
      <c r="HB2" s="218"/>
      <c r="HC2" s="218"/>
      <c r="HD2" s="218"/>
      <c r="HE2" s="218"/>
      <c r="HF2" s="218"/>
      <c r="HG2" s="218"/>
      <c r="HH2" s="218"/>
      <c r="HI2" s="218"/>
      <c r="HJ2" s="218"/>
      <c r="HK2" s="218"/>
      <c r="HL2" s="218"/>
      <c r="HM2" s="218"/>
      <c r="HN2" s="218"/>
      <c r="HO2" s="218"/>
      <c r="HP2" s="218"/>
      <c r="HQ2" s="218"/>
      <c r="HR2" s="218"/>
      <c r="HS2" s="218"/>
      <c r="HT2" s="218"/>
      <c r="HU2" s="218"/>
      <c r="HV2" s="218"/>
      <c r="HW2" s="218"/>
      <c r="HX2" s="218"/>
      <c r="HY2" s="218"/>
      <c r="HZ2" s="218"/>
      <c r="IA2" s="218"/>
      <c r="IB2" s="218"/>
      <c r="IC2" s="218"/>
      <c r="ID2" s="218"/>
      <c r="IE2" s="218"/>
      <c r="IF2" s="218"/>
      <c r="IG2" s="218"/>
      <c r="IH2" s="218"/>
      <c r="II2" s="218"/>
      <c r="IJ2" s="218"/>
      <c r="IK2" s="218"/>
      <c r="IL2" s="218"/>
      <c r="IM2" s="218"/>
      <c r="IN2" s="218"/>
      <c r="IO2" s="218"/>
      <c r="IP2" s="218"/>
    </row>
    <row r="3" spans="1:250" s="146" customFormat="1" ht="18" customHeight="1" x14ac:dyDescent="0.3">
      <c r="A3" s="262"/>
      <c r="B3" s="508" t="s">
        <v>1093</v>
      </c>
      <c r="C3" s="508"/>
      <c r="D3" s="508"/>
      <c r="E3" s="217"/>
      <c r="F3" s="217"/>
      <c r="G3" s="217"/>
      <c r="H3" s="216"/>
      <c r="I3" s="509"/>
      <c r="J3" s="509"/>
      <c r="K3" s="509"/>
      <c r="L3" s="509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8"/>
      <c r="AW3" s="218"/>
      <c r="AX3" s="218"/>
      <c r="AY3" s="218"/>
      <c r="AZ3" s="218"/>
      <c r="BA3" s="218"/>
      <c r="BB3" s="218"/>
      <c r="BC3" s="218"/>
      <c r="BD3" s="218"/>
      <c r="BE3" s="218"/>
      <c r="BF3" s="218"/>
      <c r="BG3" s="218"/>
      <c r="BH3" s="218"/>
      <c r="BI3" s="218"/>
      <c r="BJ3" s="218"/>
      <c r="BK3" s="218"/>
      <c r="BL3" s="218"/>
      <c r="BM3" s="218"/>
      <c r="BN3" s="218"/>
      <c r="BO3" s="218"/>
      <c r="BP3" s="218"/>
      <c r="BQ3" s="218"/>
      <c r="BR3" s="218"/>
      <c r="BS3" s="218"/>
      <c r="BT3" s="218"/>
      <c r="BU3" s="218"/>
      <c r="BV3" s="218"/>
      <c r="BW3" s="218"/>
      <c r="BX3" s="218"/>
      <c r="BY3" s="218"/>
      <c r="BZ3" s="218"/>
      <c r="CA3" s="218"/>
      <c r="CB3" s="218"/>
      <c r="CC3" s="218"/>
      <c r="CD3" s="218"/>
      <c r="CE3" s="218"/>
      <c r="CF3" s="218"/>
      <c r="CG3" s="218"/>
      <c r="CH3" s="218"/>
      <c r="CI3" s="218"/>
      <c r="CJ3" s="218"/>
      <c r="CK3" s="218"/>
      <c r="CL3" s="218"/>
      <c r="CM3" s="218"/>
      <c r="CN3" s="218"/>
      <c r="CO3" s="218"/>
      <c r="CP3" s="218"/>
      <c r="CQ3" s="218"/>
      <c r="CR3" s="218"/>
      <c r="CS3" s="218"/>
      <c r="CT3" s="218"/>
      <c r="CU3" s="218"/>
      <c r="CV3" s="218"/>
      <c r="CW3" s="218"/>
      <c r="CX3" s="218"/>
      <c r="CY3" s="218"/>
      <c r="CZ3" s="218"/>
      <c r="DA3" s="218"/>
      <c r="DB3" s="218"/>
      <c r="DC3" s="218"/>
      <c r="DD3" s="218"/>
      <c r="DE3" s="218"/>
      <c r="DF3" s="218"/>
      <c r="DG3" s="218"/>
      <c r="DH3" s="218"/>
      <c r="DI3" s="218"/>
      <c r="DJ3" s="218"/>
      <c r="DK3" s="218"/>
      <c r="DL3" s="218"/>
      <c r="DM3" s="218"/>
      <c r="DN3" s="218"/>
      <c r="DO3" s="218"/>
      <c r="DP3" s="218"/>
      <c r="DQ3" s="218"/>
      <c r="DR3" s="218"/>
      <c r="DS3" s="218"/>
      <c r="DT3" s="218"/>
      <c r="DU3" s="218"/>
      <c r="DV3" s="218"/>
      <c r="DW3" s="218"/>
      <c r="DX3" s="218"/>
      <c r="DY3" s="218"/>
      <c r="DZ3" s="218"/>
      <c r="EA3" s="218"/>
      <c r="EB3" s="218"/>
      <c r="EC3" s="218"/>
      <c r="ED3" s="218"/>
      <c r="EE3" s="218"/>
      <c r="EF3" s="218"/>
      <c r="EG3" s="218"/>
      <c r="EH3" s="218"/>
      <c r="EI3" s="218"/>
      <c r="EJ3" s="218"/>
      <c r="EK3" s="218"/>
      <c r="EL3" s="218"/>
      <c r="EM3" s="218"/>
      <c r="EN3" s="218"/>
      <c r="EO3" s="218"/>
      <c r="EP3" s="218"/>
      <c r="EQ3" s="218"/>
      <c r="ER3" s="218"/>
      <c r="ES3" s="218"/>
      <c r="ET3" s="218"/>
      <c r="EU3" s="218"/>
      <c r="EV3" s="218"/>
      <c r="EW3" s="218"/>
      <c r="EX3" s="218"/>
      <c r="EY3" s="218"/>
      <c r="EZ3" s="218"/>
      <c r="FA3" s="218"/>
      <c r="FB3" s="218"/>
      <c r="FC3" s="218"/>
      <c r="FD3" s="218"/>
      <c r="FE3" s="218"/>
      <c r="FF3" s="218"/>
      <c r="FG3" s="218"/>
      <c r="FH3" s="218"/>
      <c r="FI3" s="218"/>
      <c r="FJ3" s="218"/>
      <c r="FK3" s="218"/>
      <c r="FL3" s="218"/>
      <c r="FM3" s="218"/>
      <c r="FN3" s="218"/>
      <c r="FO3" s="218"/>
      <c r="FP3" s="218"/>
      <c r="FQ3" s="218"/>
      <c r="FR3" s="218"/>
      <c r="FS3" s="218"/>
      <c r="FT3" s="218"/>
      <c r="FU3" s="218"/>
      <c r="FV3" s="218"/>
      <c r="FW3" s="218"/>
      <c r="FX3" s="218"/>
      <c r="FY3" s="218"/>
      <c r="FZ3" s="218"/>
      <c r="GA3" s="218"/>
      <c r="GB3" s="218"/>
      <c r="GC3" s="218"/>
      <c r="GD3" s="218"/>
      <c r="GE3" s="218"/>
      <c r="GF3" s="218"/>
      <c r="GG3" s="218"/>
      <c r="GH3" s="218"/>
      <c r="GI3" s="218"/>
      <c r="GJ3" s="218"/>
      <c r="GK3" s="218"/>
      <c r="GL3" s="218"/>
      <c r="GM3" s="218"/>
      <c r="GN3" s="218"/>
      <c r="GO3" s="218"/>
      <c r="GP3" s="218"/>
      <c r="GQ3" s="218"/>
      <c r="GR3" s="218"/>
      <c r="GS3" s="218"/>
      <c r="GT3" s="218"/>
      <c r="GU3" s="218"/>
      <c r="GV3" s="218"/>
      <c r="GW3" s="218"/>
      <c r="GX3" s="218"/>
      <c r="GY3" s="218"/>
      <c r="GZ3" s="218"/>
      <c r="HA3" s="218"/>
      <c r="HB3" s="218"/>
      <c r="HC3" s="218"/>
      <c r="HD3" s="218"/>
      <c r="HE3" s="218"/>
      <c r="HF3" s="218"/>
      <c r="HG3" s="218"/>
      <c r="HH3" s="218"/>
      <c r="HI3" s="218"/>
      <c r="HJ3" s="218"/>
      <c r="HK3" s="218"/>
      <c r="HL3" s="218"/>
      <c r="HM3" s="218"/>
      <c r="HN3" s="218"/>
      <c r="HO3" s="218"/>
      <c r="HP3" s="218"/>
      <c r="HQ3" s="218"/>
      <c r="HR3" s="218"/>
      <c r="HS3" s="218"/>
      <c r="HT3" s="218"/>
      <c r="HU3" s="218"/>
      <c r="HV3" s="218"/>
      <c r="HW3" s="218"/>
      <c r="HX3" s="218"/>
      <c r="HY3" s="218"/>
      <c r="HZ3" s="218"/>
      <c r="IA3" s="218"/>
      <c r="IB3" s="218"/>
      <c r="IC3" s="218"/>
      <c r="ID3" s="218"/>
      <c r="IE3" s="218"/>
      <c r="IF3" s="218"/>
      <c r="IG3" s="218"/>
      <c r="IH3" s="218"/>
      <c r="II3" s="218"/>
      <c r="IJ3" s="218"/>
      <c r="IK3" s="218"/>
      <c r="IL3" s="218"/>
      <c r="IM3" s="218"/>
      <c r="IN3" s="218"/>
      <c r="IO3" s="218"/>
      <c r="IP3" s="218"/>
    </row>
    <row r="4" spans="1:250" s="146" customFormat="1" ht="18" customHeight="1" x14ac:dyDescent="0.3">
      <c r="A4" s="262"/>
      <c r="B4" s="1905" t="s">
        <v>1238</v>
      </c>
      <c r="C4" s="1899"/>
      <c r="D4" s="1899"/>
      <c r="E4" s="217"/>
      <c r="F4" s="217"/>
      <c r="G4" s="217"/>
      <c r="H4" s="216"/>
      <c r="I4" s="1900"/>
      <c r="J4" s="1900"/>
      <c r="K4" s="1900"/>
      <c r="L4" s="1900"/>
      <c r="M4" s="218"/>
      <c r="N4" s="218"/>
      <c r="O4" s="218"/>
      <c r="P4" s="218"/>
      <c r="Q4" s="218"/>
      <c r="R4" s="218"/>
      <c r="S4" s="218"/>
      <c r="T4" s="218"/>
      <c r="U4" s="218"/>
      <c r="V4" s="218"/>
      <c r="W4" s="218"/>
      <c r="X4" s="218"/>
      <c r="Y4" s="218"/>
      <c r="Z4" s="218"/>
      <c r="AA4" s="218"/>
      <c r="AB4" s="218"/>
      <c r="AC4" s="218"/>
      <c r="AD4" s="218"/>
      <c r="AE4" s="218"/>
      <c r="AF4" s="218"/>
      <c r="AG4" s="218"/>
      <c r="AH4" s="218"/>
      <c r="AI4" s="218"/>
      <c r="AJ4" s="218"/>
      <c r="AK4" s="218"/>
      <c r="AL4" s="218"/>
      <c r="AM4" s="218"/>
      <c r="AN4" s="218"/>
      <c r="AO4" s="218"/>
      <c r="AP4" s="218"/>
      <c r="AQ4" s="218"/>
      <c r="AR4" s="218"/>
      <c r="AS4" s="218"/>
      <c r="AT4" s="218"/>
      <c r="AU4" s="218"/>
      <c r="AV4" s="218"/>
      <c r="AW4" s="218"/>
      <c r="AX4" s="218"/>
      <c r="AY4" s="218"/>
      <c r="AZ4" s="218"/>
      <c r="BA4" s="218"/>
      <c r="BB4" s="218"/>
      <c r="BC4" s="218"/>
      <c r="BD4" s="218"/>
      <c r="BE4" s="218"/>
      <c r="BF4" s="218"/>
      <c r="BG4" s="218"/>
      <c r="BH4" s="218"/>
      <c r="BI4" s="218"/>
      <c r="BJ4" s="218"/>
      <c r="BK4" s="218"/>
      <c r="BL4" s="218"/>
      <c r="BM4" s="218"/>
      <c r="BN4" s="218"/>
      <c r="BO4" s="218"/>
      <c r="BP4" s="218"/>
      <c r="BQ4" s="218"/>
      <c r="BR4" s="218"/>
      <c r="BS4" s="218"/>
      <c r="BT4" s="218"/>
      <c r="BU4" s="218"/>
      <c r="BV4" s="218"/>
      <c r="BW4" s="218"/>
      <c r="BX4" s="218"/>
      <c r="BY4" s="218"/>
      <c r="BZ4" s="218"/>
      <c r="CA4" s="218"/>
      <c r="CB4" s="218"/>
      <c r="CC4" s="218"/>
      <c r="CD4" s="218"/>
      <c r="CE4" s="218"/>
      <c r="CF4" s="218"/>
      <c r="CG4" s="218"/>
      <c r="CH4" s="218"/>
      <c r="CI4" s="218"/>
      <c r="CJ4" s="218"/>
      <c r="CK4" s="218"/>
      <c r="CL4" s="218"/>
      <c r="CM4" s="218"/>
      <c r="CN4" s="218"/>
      <c r="CO4" s="218"/>
      <c r="CP4" s="218"/>
      <c r="CQ4" s="218"/>
      <c r="CR4" s="218"/>
      <c r="CS4" s="218"/>
      <c r="CT4" s="218"/>
      <c r="CU4" s="218"/>
      <c r="CV4" s="218"/>
      <c r="CW4" s="218"/>
      <c r="CX4" s="218"/>
      <c r="CY4" s="218"/>
      <c r="CZ4" s="218"/>
      <c r="DA4" s="218"/>
      <c r="DB4" s="218"/>
      <c r="DC4" s="218"/>
      <c r="DD4" s="218"/>
      <c r="DE4" s="218"/>
      <c r="DF4" s="218"/>
      <c r="DG4" s="218"/>
      <c r="DH4" s="218"/>
      <c r="DI4" s="218"/>
      <c r="DJ4" s="218"/>
      <c r="DK4" s="218"/>
      <c r="DL4" s="218"/>
      <c r="DM4" s="218"/>
      <c r="DN4" s="218"/>
      <c r="DO4" s="218"/>
      <c r="DP4" s="218"/>
      <c r="DQ4" s="218"/>
      <c r="DR4" s="218"/>
      <c r="DS4" s="218"/>
      <c r="DT4" s="218"/>
      <c r="DU4" s="218"/>
      <c r="DV4" s="218"/>
      <c r="DW4" s="218"/>
      <c r="DX4" s="218"/>
      <c r="DY4" s="218"/>
      <c r="DZ4" s="218"/>
      <c r="EA4" s="218"/>
      <c r="EB4" s="218"/>
      <c r="EC4" s="218"/>
      <c r="ED4" s="218"/>
      <c r="EE4" s="218"/>
      <c r="EF4" s="218"/>
      <c r="EG4" s="218"/>
      <c r="EH4" s="218"/>
      <c r="EI4" s="218"/>
      <c r="EJ4" s="218"/>
      <c r="EK4" s="218"/>
      <c r="EL4" s="218"/>
      <c r="EM4" s="218"/>
      <c r="EN4" s="218"/>
      <c r="EO4" s="218"/>
      <c r="EP4" s="218"/>
      <c r="EQ4" s="218"/>
      <c r="ER4" s="218"/>
      <c r="ES4" s="218"/>
      <c r="ET4" s="218"/>
      <c r="EU4" s="218"/>
      <c r="EV4" s="218"/>
      <c r="EW4" s="218"/>
      <c r="EX4" s="218"/>
      <c r="EY4" s="218"/>
      <c r="EZ4" s="218"/>
      <c r="FA4" s="218"/>
      <c r="FB4" s="218"/>
      <c r="FC4" s="218"/>
      <c r="FD4" s="218"/>
      <c r="FE4" s="218"/>
      <c r="FF4" s="218"/>
      <c r="FG4" s="218"/>
      <c r="FH4" s="218"/>
      <c r="FI4" s="218"/>
      <c r="FJ4" s="218"/>
      <c r="FK4" s="218"/>
      <c r="FL4" s="218"/>
      <c r="FM4" s="218"/>
      <c r="FN4" s="218"/>
      <c r="FO4" s="218"/>
      <c r="FP4" s="218"/>
      <c r="FQ4" s="218"/>
      <c r="FR4" s="218"/>
      <c r="FS4" s="218"/>
      <c r="FT4" s="218"/>
      <c r="FU4" s="218"/>
      <c r="FV4" s="218"/>
      <c r="FW4" s="218"/>
      <c r="FX4" s="218"/>
      <c r="FY4" s="218"/>
      <c r="FZ4" s="218"/>
      <c r="GA4" s="218"/>
      <c r="GB4" s="218"/>
      <c r="GC4" s="218"/>
      <c r="GD4" s="218"/>
      <c r="GE4" s="218"/>
      <c r="GF4" s="218"/>
      <c r="GG4" s="218"/>
      <c r="GH4" s="218"/>
      <c r="GI4" s="218"/>
      <c r="GJ4" s="218"/>
      <c r="GK4" s="218"/>
      <c r="GL4" s="218"/>
      <c r="GM4" s="218"/>
      <c r="GN4" s="218"/>
      <c r="GO4" s="218"/>
      <c r="GP4" s="218"/>
      <c r="GQ4" s="218"/>
      <c r="GR4" s="218"/>
      <c r="GS4" s="218"/>
      <c r="GT4" s="218"/>
      <c r="GU4" s="218"/>
      <c r="GV4" s="218"/>
      <c r="GW4" s="218"/>
      <c r="GX4" s="218"/>
      <c r="GY4" s="218"/>
      <c r="GZ4" s="218"/>
      <c r="HA4" s="218"/>
      <c r="HB4" s="218"/>
      <c r="HC4" s="218"/>
      <c r="HD4" s="218"/>
      <c r="HE4" s="218"/>
      <c r="HF4" s="218"/>
      <c r="HG4" s="218"/>
      <c r="HH4" s="218"/>
      <c r="HI4" s="218"/>
      <c r="HJ4" s="218"/>
      <c r="HK4" s="218"/>
      <c r="HL4" s="218"/>
      <c r="HM4" s="218"/>
      <c r="HN4" s="218"/>
      <c r="HO4" s="218"/>
      <c r="HP4" s="218"/>
      <c r="HQ4" s="218"/>
      <c r="HR4" s="218"/>
      <c r="HS4" s="218"/>
      <c r="HT4" s="218"/>
      <c r="HU4" s="218"/>
      <c r="HV4" s="218"/>
      <c r="HW4" s="218"/>
      <c r="HX4" s="218"/>
      <c r="HY4" s="218"/>
      <c r="HZ4" s="218"/>
      <c r="IA4" s="218"/>
      <c r="IB4" s="218"/>
      <c r="IC4" s="218"/>
      <c r="ID4" s="218"/>
      <c r="IE4" s="218"/>
      <c r="IF4" s="218"/>
      <c r="IG4" s="218"/>
      <c r="IH4" s="218"/>
      <c r="II4" s="218"/>
      <c r="IJ4" s="218"/>
      <c r="IK4" s="218"/>
      <c r="IL4" s="218"/>
      <c r="IM4" s="218"/>
      <c r="IN4" s="218"/>
      <c r="IO4" s="218"/>
      <c r="IP4" s="218"/>
    </row>
    <row r="5" spans="1:250" s="146" customFormat="1" ht="18" customHeight="1" x14ac:dyDescent="0.35">
      <c r="A5" s="263"/>
      <c r="B5" s="2123" t="s">
        <v>14</v>
      </c>
      <c r="C5" s="2123"/>
      <c r="D5" s="2123"/>
      <c r="E5" s="2123"/>
      <c r="F5" s="2123"/>
      <c r="G5" s="2123"/>
      <c r="H5" s="2123"/>
      <c r="I5" s="2123"/>
      <c r="J5" s="2123"/>
      <c r="K5" s="2123"/>
      <c r="L5" s="2123"/>
    </row>
    <row r="6" spans="1:250" s="146" customFormat="1" ht="18" customHeight="1" x14ac:dyDescent="0.3">
      <c r="A6" s="263"/>
      <c r="B6" s="2124" t="s">
        <v>675</v>
      </c>
      <c r="C6" s="2124"/>
      <c r="D6" s="2124"/>
      <c r="E6" s="2124"/>
      <c r="F6" s="2124"/>
      <c r="G6" s="2124"/>
      <c r="H6" s="2124"/>
      <c r="I6" s="2124"/>
      <c r="J6" s="2124"/>
      <c r="K6" s="2124"/>
      <c r="L6" s="2124"/>
    </row>
    <row r="7" spans="1:250" ht="18" customHeight="1" x14ac:dyDescent="0.3">
      <c r="L7" s="260" t="s">
        <v>0</v>
      </c>
    </row>
    <row r="8" spans="1:250" s="68" customFormat="1" ht="18" customHeight="1" thickBot="1" x14ac:dyDescent="0.25">
      <c r="A8" s="263"/>
      <c r="B8" s="1398" t="s">
        <v>1</v>
      </c>
      <c r="C8" s="1399" t="s">
        <v>3</v>
      </c>
      <c r="D8" s="1399" t="s">
        <v>2</v>
      </c>
      <c r="E8" s="1399" t="s">
        <v>4</v>
      </c>
      <c r="F8" s="1399" t="s">
        <v>5</v>
      </c>
      <c r="G8" s="1399" t="s">
        <v>15</v>
      </c>
      <c r="H8" s="1399" t="s">
        <v>16</v>
      </c>
      <c r="I8" s="1399" t="s">
        <v>17</v>
      </c>
      <c r="J8" s="1399" t="s">
        <v>36</v>
      </c>
      <c r="K8" s="1399" t="s">
        <v>30</v>
      </c>
      <c r="L8" s="1399" t="s">
        <v>23</v>
      </c>
      <c r="M8" s="263"/>
      <c r="N8" s="263"/>
      <c r="O8" s="263"/>
      <c r="P8" s="263"/>
      <c r="Q8" s="263"/>
      <c r="R8" s="263"/>
      <c r="S8" s="263"/>
      <c r="T8" s="263"/>
      <c r="U8" s="263"/>
      <c r="V8" s="263"/>
      <c r="W8" s="263"/>
      <c r="X8" s="263"/>
      <c r="Y8" s="263"/>
      <c r="Z8" s="263"/>
      <c r="AA8" s="263"/>
      <c r="AB8" s="263"/>
      <c r="AC8" s="263"/>
      <c r="AD8" s="263"/>
      <c r="AE8" s="263"/>
      <c r="AF8" s="263"/>
      <c r="AG8" s="263"/>
      <c r="AH8" s="263"/>
      <c r="AI8" s="263"/>
      <c r="AJ8" s="263"/>
      <c r="AK8" s="263"/>
      <c r="AL8" s="263"/>
      <c r="AM8" s="263"/>
      <c r="AN8" s="263"/>
      <c r="AO8" s="263"/>
      <c r="AP8" s="263"/>
      <c r="AQ8" s="263"/>
      <c r="AR8" s="263"/>
      <c r="AS8" s="263"/>
      <c r="AT8" s="263"/>
      <c r="AU8" s="263"/>
      <c r="AV8" s="263"/>
      <c r="AW8" s="263"/>
      <c r="AX8" s="263"/>
      <c r="AY8" s="263"/>
      <c r="AZ8" s="263"/>
      <c r="BA8" s="263"/>
      <c r="BB8" s="263"/>
      <c r="BC8" s="263"/>
      <c r="BD8" s="263"/>
      <c r="BE8" s="263"/>
      <c r="BF8" s="263"/>
      <c r="BG8" s="263"/>
      <c r="BH8" s="263"/>
      <c r="BI8" s="263"/>
      <c r="BJ8" s="263"/>
      <c r="BK8" s="263"/>
      <c r="BL8" s="263"/>
      <c r="BM8" s="263"/>
      <c r="BN8" s="263"/>
      <c r="BO8" s="263"/>
      <c r="BP8" s="263"/>
      <c r="BQ8" s="263"/>
      <c r="BR8" s="263"/>
      <c r="BS8" s="263"/>
      <c r="BT8" s="263"/>
      <c r="BU8" s="263"/>
      <c r="BV8" s="263"/>
      <c r="BW8" s="263"/>
      <c r="BX8" s="263"/>
      <c r="BY8" s="263"/>
      <c r="BZ8" s="263"/>
      <c r="CA8" s="263"/>
      <c r="CB8" s="263"/>
      <c r="CC8" s="263"/>
      <c r="CD8" s="263"/>
      <c r="CE8" s="263"/>
      <c r="CF8" s="263"/>
      <c r="CG8" s="263"/>
      <c r="CH8" s="263"/>
      <c r="CI8" s="263"/>
      <c r="CJ8" s="263"/>
      <c r="CK8" s="263"/>
      <c r="CL8" s="263"/>
      <c r="CM8" s="263"/>
      <c r="CN8" s="263"/>
      <c r="CO8" s="263"/>
      <c r="CP8" s="263"/>
      <c r="CQ8" s="263"/>
      <c r="CR8" s="263"/>
      <c r="CS8" s="263"/>
      <c r="CT8" s="263"/>
      <c r="CU8" s="263"/>
      <c r="CV8" s="263"/>
      <c r="CW8" s="263"/>
      <c r="CX8" s="263"/>
      <c r="CY8" s="263"/>
      <c r="CZ8" s="263"/>
      <c r="DA8" s="263"/>
      <c r="DB8" s="263"/>
      <c r="DC8" s="263"/>
      <c r="DD8" s="263"/>
      <c r="DE8" s="263"/>
      <c r="DF8" s="263"/>
      <c r="DG8" s="263"/>
      <c r="DH8" s="263"/>
      <c r="DI8" s="263"/>
      <c r="DJ8" s="263"/>
      <c r="DK8" s="263"/>
      <c r="DL8" s="263"/>
      <c r="DM8" s="263"/>
      <c r="DN8" s="263"/>
      <c r="DO8" s="263"/>
      <c r="DP8" s="263"/>
      <c r="DQ8" s="263"/>
      <c r="DR8" s="263"/>
      <c r="DS8" s="263"/>
      <c r="DT8" s="263"/>
      <c r="DU8" s="263"/>
      <c r="DV8" s="263"/>
      <c r="DW8" s="263"/>
      <c r="DX8" s="263"/>
      <c r="DY8" s="263"/>
      <c r="DZ8" s="263"/>
      <c r="EA8" s="263"/>
      <c r="EB8" s="263"/>
      <c r="EC8" s="263"/>
      <c r="ED8" s="263"/>
      <c r="EE8" s="263"/>
      <c r="EF8" s="263"/>
      <c r="EG8" s="263"/>
      <c r="EH8" s="263"/>
      <c r="EI8" s="263"/>
      <c r="EJ8" s="263"/>
      <c r="EK8" s="263"/>
      <c r="EL8" s="263"/>
      <c r="EM8" s="263"/>
      <c r="EN8" s="263"/>
      <c r="EO8" s="263"/>
      <c r="EP8" s="263"/>
      <c r="EQ8" s="263"/>
      <c r="ER8" s="263"/>
      <c r="ES8" s="263"/>
      <c r="ET8" s="263"/>
      <c r="EU8" s="263"/>
      <c r="EV8" s="263"/>
      <c r="EW8" s="263"/>
      <c r="EX8" s="263"/>
      <c r="EY8" s="263"/>
      <c r="EZ8" s="263"/>
      <c r="FA8" s="263"/>
      <c r="FB8" s="263"/>
      <c r="FC8" s="263"/>
      <c r="FD8" s="263"/>
      <c r="FE8" s="263"/>
      <c r="FF8" s="263"/>
      <c r="FG8" s="263"/>
      <c r="FH8" s="263"/>
      <c r="FI8" s="263"/>
      <c r="FJ8" s="263"/>
      <c r="FK8" s="263"/>
      <c r="FL8" s="263"/>
      <c r="FM8" s="263"/>
      <c r="FN8" s="263"/>
      <c r="FO8" s="263"/>
      <c r="FP8" s="263"/>
      <c r="FQ8" s="263"/>
      <c r="FR8" s="263"/>
      <c r="FS8" s="263"/>
      <c r="FT8" s="263"/>
      <c r="FU8" s="263"/>
      <c r="FV8" s="263"/>
      <c r="FW8" s="263"/>
      <c r="FX8" s="263"/>
      <c r="FY8" s="263"/>
      <c r="FZ8" s="263"/>
      <c r="GA8" s="263"/>
      <c r="GB8" s="263"/>
      <c r="GC8" s="263"/>
      <c r="GD8" s="263"/>
      <c r="GE8" s="263"/>
      <c r="GF8" s="263"/>
      <c r="GG8" s="263"/>
      <c r="GH8" s="263"/>
      <c r="GI8" s="263"/>
      <c r="GJ8" s="263"/>
      <c r="GK8" s="263"/>
      <c r="GL8" s="263"/>
      <c r="GM8" s="263"/>
      <c r="GN8" s="263"/>
      <c r="GO8" s="263"/>
      <c r="GP8" s="263"/>
      <c r="GQ8" s="263"/>
      <c r="GR8" s="263"/>
      <c r="GS8" s="263"/>
      <c r="GT8" s="263"/>
      <c r="GU8" s="263"/>
      <c r="GV8" s="263"/>
      <c r="GW8" s="263"/>
      <c r="GX8" s="263"/>
      <c r="GY8" s="263"/>
      <c r="GZ8" s="263"/>
      <c r="HA8" s="263"/>
      <c r="HB8" s="263"/>
      <c r="HC8" s="263"/>
      <c r="HD8" s="263"/>
      <c r="HE8" s="263"/>
      <c r="HF8" s="263"/>
      <c r="HG8" s="263"/>
      <c r="HH8" s="263"/>
      <c r="HI8" s="263"/>
      <c r="HJ8" s="263"/>
      <c r="HK8" s="263"/>
      <c r="HL8" s="263"/>
      <c r="HM8" s="263"/>
      <c r="HN8" s="263"/>
      <c r="HO8" s="263"/>
      <c r="HP8" s="263"/>
      <c r="HQ8" s="263"/>
      <c r="HR8" s="263"/>
      <c r="HS8" s="263"/>
      <c r="HT8" s="263"/>
      <c r="HU8" s="263"/>
      <c r="HV8" s="263"/>
      <c r="HW8" s="263"/>
      <c r="HX8" s="263"/>
      <c r="HY8" s="263"/>
      <c r="HZ8" s="263"/>
      <c r="IA8" s="263"/>
      <c r="IB8" s="263"/>
      <c r="IC8" s="263"/>
      <c r="ID8" s="263"/>
      <c r="IE8" s="263"/>
      <c r="IF8" s="263"/>
      <c r="IG8" s="263"/>
      <c r="IH8" s="263"/>
      <c r="II8" s="263"/>
      <c r="IJ8" s="263"/>
      <c r="IK8" s="263"/>
      <c r="IL8" s="263"/>
      <c r="IM8" s="263"/>
      <c r="IN8" s="263"/>
      <c r="IO8" s="263"/>
      <c r="IP8" s="263"/>
    </row>
    <row r="9" spans="1:250" ht="30" customHeight="1" x14ac:dyDescent="0.3">
      <c r="B9" s="2131" t="s">
        <v>18</v>
      </c>
      <c r="C9" s="2134" t="s">
        <v>19</v>
      </c>
      <c r="D9" s="2137" t="s">
        <v>6</v>
      </c>
      <c r="E9" s="2118" t="s">
        <v>21</v>
      </c>
      <c r="F9" s="2118" t="s">
        <v>636</v>
      </c>
      <c r="G9" s="2115" t="s">
        <v>900</v>
      </c>
      <c r="H9" s="2143" t="s">
        <v>302</v>
      </c>
      <c r="I9" s="2152" t="s">
        <v>637</v>
      </c>
      <c r="J9" s="2152"/>
      <c r="K9" s="2153"/>
      <c r="L9" s="2128" t="s">
        <v>648</v>
      </c>
    </row>
    <row r="10" spans="1:250" ht="45" customHeight="1" x14ac:dyDescent="0.3">
      <c r="B10" s="2132"/>
      <c r="C10" s="2135"/>
      <c r="D10" s="2138"/>
      <c r="E10" s="2119"/>
      <c r="F10" s="2119"/>
      <c r="G10" s="2116"/>
      <c r="H10" s="2144"/>
      <c r="I10" s="259" t="s">
        <v>39</v>
      </c>
      <c r="J10" s="1901" t="s">
        <v>163</v>
      </c>
      <c r="K10" s="2141" t="s">
        <v>129</v>
      </c>
      <c r="L10" s="2129"/>
    </row>
    <row r="11" spans="1:250" ht="53.25" customHeight="1" thickBot="1" x14ac:dyDescent="0.35">
      <c r="B11" s="2133"/>
      <c r="C11" s="2136"/>
      <c r="D11" s="2139"/>
      <c r="E11" s="2120"/>
      <c r="F11" s="2120"/>
      <c r="G11" s="2117"/>
      <c r="H11" s="2145"/>
      <c r="I11" s="1400" t="s">
        <v>42</v>
      </c>
      <c r="J11" s="1401" t="s">
        <v>232</v>
      </c>
      <c r="K11" s="2142"/>
      <c r="L11" s="2130"/>
    </row>
    <row r="12" spans="1:250" x14ac:dyDescent="0.3">
      <c r="A12" s="1402">
        <v>1</v>
      </c>
      <c r="B12" s="1403">
        <v>18</v>
      </c>
      <c r="C12" s="1153" t="s">
        <v>22</v>
      </c>
      <c r="D12" s="1505"/>
      <c r="E12" s="1404"/>
      <c r="F12" s="1405"/>
      <c r="G12" s="1406"/>
      <c r="H12" s="1407"/>
      <c r="I12" s="1408"/>
      <c r="J12" s="1409"/>
      <c r="K12" s="1410"/>
      <c r="L12" s="1411"/>
    </row>
    <row r="13" spans="1:250" ht="16.5" x14ac:dyDescent="0.3">
      <c r="A13" s="1402">
        <v>2</v>
      </c>
      <c r="B13" s="1412"/>
      <c r="C13" s="1460">
        <v>1</v>
      </c>
      <c r="D13" s="1506" t="s">
        <v>793</v>
      </c>
      <c r="E13" s="1415">
        <f>F13+G13+K17+L14</f>
        <v>21500</v>
      </c>
      <c r="F13" s="1416">
        <v>10000</v>
      </c>
      <c r="G13" s="1417">
        <v>9000</v>
      </c>
      <c r="H13" s="1418" t="s">
        <v>23</v>
      </c>
      <c r="I13" s="1419"/>
      <c r="J13" s="1507"/>
      <c r="K13" s="1421"/>
      <c r="L13" s="1422"/>
    </row>
    <row r="14" spans="1:250" s="1435" customFormat="1" x14ac:dyDescent="0.3">
      <c r="A14" s="1402">
        <v>3</v>
      </c>
      <c r="B14" s="1424"/>
      <c r="C14" s="1508"/>
      <c r="D14" s="1509" t="s">
        <v>311</v>
      </c>
      <c r="E14" s="1427"/>
      <c r="F14" s="1428"/>
      <c r="G14" s="1429"/>
      <c r="H14" s="1430"/>
      <c r="I14" s="1431"/>
      <c r="J14" s="1510">
        <v>5000</v>
      </c>
      <c r="K14" s="1433">
        <f t="shared" ref="K14:K107" si="0">SUM(I14:J14)</f>
        <v>5000</v>
      </c>
      <c r="L14" s="1434"/>
    </row>
    <row r="15" spans="1:250" s="1435" customFormat="1" x14ac:dyDescent="0.3">
      <c r="A15" s="1402">
        <v>4</v>
      </c>
      <c r="B15" s="1424"/>
      <c r="C15" s="1508"/>
      <c r="D15" s="1511" t="s">
        <v>1064</v>
      </c>
      <c r="E15" s="1427"/>
      <c r="F15" s="1428"/>
      <c r="G15" s="1429"/>
      <c r="H15" s="1430"/>
      <c r="I15" s="1431"/>
      <c r="J15" s="1512">
        <v>2500</v>
      </c>
      <c r="K15" s="1438">
        <f t="shared" si="0"/>
        <v>2500</v>
      </c>
      <c r="L15" s="1434"/>
    </row>
    <row r="16" spans="1:250" s="1450" customFormat="1" x14ac:dyDescent="0.3">
      <c r="A16" s="1402">
        <v>5</v>
      </c>
      <c r="B16" s="1439"/>
      <c r="C16" s="1513"/>
      <c r="D16" s="1514" t="s">
        <v>1012</v>
      </c>
      <c r="E16" s="1442"/>
      <c r="F16" s="1443"/>
      <c r="G16" s="1444"/>
      <c r="H16" s="1445"/>
      <c r="I16" s="1446"/>
      <c r="J16" s="1515"/>
      <c r="K16" s="1448">
        <f t="shared" si="0"/>
        <v>0</v>
      </c>
      <c r="L16" s="1449"/>
    </row>
    <row r="17" spans="1:16" s="1459" customFormat="1" x14ac:dyDescent="0.3">
      <c r="A17" s="1402">
        <v>6</v>
      </c>
      <c r="B17" s="1451"/>
      <c r="C17" s="1516"/>
      <c r="D17" s="1517" t="s">
        <v>1116</v>
      </c>
      <c r="E17" s="1453"/>
      <c r="F17" s="1454"/>
      <c r="G17" s="1455"/>
      <c r="H17" s="1456"/>
      <c r="I17" s="1457"/>
      <c r="J17" s="1512">
        <f>SUM(J15:J16)</f>
        <v>2500</v>
      </c>
      <c r="K17" s="1438">
        <f t="shared" si="0"/>
        <v>2500</v>
      </c>
      <c r="L17" s="1458"/>
    </row>
    <row r="18" spans="1:16" ht="16.5" x14ac:dyDescent="0.3">
      <c r="A18" s="1402">
        <v>7</v>
      </c>
      <c r="B18" s="1412"/>
      <c r="C18" s="1460">
        <v>2</v>
      </c>
      <c r="D18" s="1463" t="s">
        <v>734</v>
      </c>
      <c r="E18" s="1415">
        <f>F18+G18+K22+L19</f>
        <v>310601</v>
      </c>
      <c r="F18" s="1416">
        <v>127108</v>
      </c>
      <c r="G18" s="1417">
        <v>129978</v>
      </c>
      <c r="H18" s="1418" t="s">
        <v>24</v>
      </c>
      <c r="I18" s="1419"/>
      <c r="J18" s="1420"/>
      <c r="K18" s="1421"/>
      <c r="L18" s="1422"/>
    </row>
    <row r="19" spans="1:16" s="1435" customFormat="1" x14ac:dyDescent="0.3">
      <c r="A19" s="1402">
        <v>8</v>
      </c>
      <c r="B19" s="1424"/>
      <c r="C19" s="1508"/>
      <c r="D19" s="1509" t="s">
        <v>311</v>
      </c>
      <c r="E19" s="1427"/>
      <c r="F19" s="1428"/>
      <c r="G19" s="1429"/>
      <c r="H19" s="1430"/>
      <c r="I19" s="1431"/>
      <c r="J19" s="1518">
        <v>158122</v>
      </c>
      <c r="K19" s="1433">
        <f t="shared" ref="K19:K21" si="1">SUM(I19:J19)</f>
        <v>158122</v>
      </c>
      <c r="L19" s="1434"/>
    </row>
    <row r="20" spans="1:16" s="1435" customFormat="1" x14ac:dyDescent="0.3">
      <c r="A20" s="1402">
        <v>9</v>
      </c>
      <c r="B20" s="1424"/>
      <c r="C20" s="1508"/>
      <c r="D20" s="1511" t="s">
        <v>1064</v>
      </c>
      <c r="E20" s="1427"/>
      <c r="F20" s="1428"/>
      <c r="G20" s="1429"/>
      <c r="H20" s="1430"/>
      <c r="I20" s="1431"/>
      <c r="J20" s="1519">
        <v>53515</v>
      </c>
      <c r="K20" s="1438">
        <f t="shared" si="1"/>
        <v>53515</v>
      </c>
      <c r="L20" s="1434"/>
    </row>
    <row r="21" spans="1:16" s="1450" customFormat="1" x14ac:dyDescent="0.3">
      <c r="A21" s="1402">
        <v>10</v>
      </c>
      <c r="B21" s="1439"/>
      <c r="C21" s="1513"/>
      <c r="D21" s="1514" t="s">
        <v>1012</v>
      </c>
      <c r="E21" s="1442"/>
      <c r="F21" s="1443"/>
      <c r="G21" s="1444"/>
      <c r="H21" s="1445"/>
      <c r="I21" s="1446"/>
      <c r="J21" s="1520"/>
      <c r="K21" s="1448">
        <f t="shared" si="1"/>
        <v>0</v>
      </c>
      <c r="L21" s="1449"/>
    </row>
    <row r="22" spans="1:16" s="1459" customFormat="1" x14ac:dyDescent="0.3">
      <c r="A22" s="1402">
        <v>11</v>
      </c>
      <c r="B22" s="1451"/>
      <c r="C22" s="1516"/>
      <c r="D22" s="1517" t="s">
        <v>1116</v>
      </c>
      <c r="E22" s="1453"/>
      <c r="F22" s="1454"/>
      <c r="G22" s="1455"/>
      <c r="H22" s="1456"/>
      <c r="I22" s="1457"/>
      <c r="J22" s="1519">
        <f>SUM(J20:J21)</f>
        <v>53515</v>
      </c>
      <c r="K22" s="1438">
        <f>SUM(I22:J22)</f>
        <v>53515</v>
      </c>
      <c r="L22" s="1458"/>
    </row>
    <row r="23" spans="1:16" ht="16.5" x14ac:dyDescent="0.3">
      <c r="A23" s="1402">
        <v>12</v>
      </c>
      <c r="B23" s="1412"/>
      <c r="C23" s="1460">
        <v>3</v>
      </c>
      <c r="D23" s="1463" t="s">
        <v>735</v>
      </c>
      <c r="E23" s="1415">
        <f>F23+G23+K27+L24</f>
        <v>50000</v>
      </c>
      <c r="F23" s="1416"/>
      <c r="G23" s="1417">
        <v>450</v>
      </c>
      <c r="H23" s="1418" t="s">
        <v>23</v>
      </c>
      <c r="I23" s="1419"/>
      <c r="J23" s="1420"/>
      <c r="K23" s="1421"/>
      <c r="L23" s="1422"/>
      <c r="M23" s="264"/>
      <c r="N23" s="264"/>
      <c r="O23" s="264"/>
      <c r="P23" s="264"/>
    </row>
    <row r="24" spans="1:16" s="1435" customFormat="1" x14ac:dyDescent="0.3">
      <c r="A24" s="1402">
        <v>13</v>
      </c>
      <c r="B24" s="1424"/>
      <c r="C24" s="1508"/>
      <c r="D24" s="1509" t="s">
        <v>311</v>
      </c>
      <c r="E24" s="1427"/>
      <c r="F24" s="1428"/>
      <c r="G24" s="1429"/>
      <c r="H24" s="1430"/>
      <c r="I24" s="1431"/>
      <c r="J24" s="1510">
        <v>49550</v>
      </c>
      <c r="K24" s="1433">
        <f t="shared" si="0"/>
        <v>49550</v>
      </c>
      <c r="L24" s="1434"/>
    </row>
    <row r="25" spans="1:16" s="1435" customFormat="1" x14ac:dyDescent="0.3">
      <c r="A25" s="1402">
        <v>14</v>
      </c>
      <c r="B25" s="1424"/>
      <c r="C25" s="1508"/>
      <c r="D25" s="1511" t="s">
        <v>1064</v>
      </c>
      <c r="E25" s="1427"/>
      <c r="F25" s="1428"/>
      <c r="G25" s="1429"/>
      <c r="H25" s="1430"/>
      <c r="I25" s="1431"/>
      <c r="J25" s="1512">
        <v>49550</v>
      </c>
      <c r="K25" s="1438">
        <v>49550</v>
      </c>
      <c r="L25" s="1434"/>
    </row>
    <row r="26" spans="1:16" s="1450" customFormat="1" x14ac:dyDescent="0.3">
      <c r="A26" s="1402">
        <v>15</v>
      </c>
      <c r="B26" s="1439"/>
      <c r="C26" s="1513"/>
      <c r="D26" s="1514" t="s">
        <v>999</v>
      </c>
      <c r="E26" s="1442"/>
      <c r="F26" s="1443"/>
      <c r="G26" s="1444"/>
      <c r="H26" s="1445"/>
      <c r="I26" s="1446"/>
      <c r="J26" s="1515"/>
      <c r="K26" s="1448">
        <f t="shared" si="0"/>
        <v>0</v>
      </c>
      <c r="L26" s="1449"/>
    </row>
    <row r="27" spans="1:16" s="1459" customFormat="1" x14ac:dyDescent="0.3">
      <c r="A27" s="1402">
        <v>16</v>
      </c>
      <c r="B27" s="1451"/>
      <c r="C27" s="1516"/>
      <c r="D27" s="1517" t="s">
        <v>1116</v>
      </c>
      <c r="E27" s="1453"/>
      <c r="F27" s="1454"/>
      <c r="G27" s="1455"/>
      <c r="H27" s="1456"/>
      <c r="I27" s="1457"/>
      <c r="J27" s="1512">
        <f>SUM(J25:J26)</f>
        <v>49550</v>
      </c>
      <c r="K27" s="1438">
        <f t="shared" si="0"/>
        <v>49550</v>
      </c>
      <c r="L27" s="1458"/>
    </row>
    <row r="28" spans="1:16" ht="16.5" x14ac:dyDescent="0.3">
      <c r="A28" s="1402">
        <v>17</v>
      </c>
      <c r="B28" s="1412"/>
      <c r="C28" s="1460">
        <v>4</v>
      </c>
      <c r="D28" s="1463" t="s">
        <v>591</v>
      </c>
      <c r="E28" s="1415">
        <f>F28+G28+K32+L29</f>
        <v>11252</v>
      </c>
      <c r="F28" s="1416">
        <v>9999</v>
      </c>
      <c r="G28" s="1417"/>
      <c r="H28" s="1418" t="s">
        <v>24</v>
      </c>
      <c r="I28" s="1419"/>
      <c r="J28" s="1420"/>
      <c r="K28" s="1421"/>
      <c r="L28" s="1422"/>
    </row>
    <row r="29" spans="1:16" s="1435" customFormat="1" x14ac:dyDescent="0.3">
      <c r="A29" s="1402">
        <v>18</v>
      </c>
      <c r="B29" s="1424"/>
      <c r="C29" s="1508"/>
      <c r="D29" s="1509" t="s">
        <v>311</v>
      </c>
      <c r="E29" s="1427"/>
      <c r="F29" s="1428"/>
      <c r="G29" s="1429"/>
      <c r="H29" s="1430"/>
      <c r="I29" s="1431"/>
      <c r="J29" s="1510">
        <v>1235</v>
      </c>
      <c r="K29" s="1433">
        <f t="shared" ref="K29:K32" si="2">SUM(I29:J29)</f>
        <v>1235</v>
      </c>
      <c r="L29" s="1434"/>
    </row>
    <row r="30" spans="1:16" s="1435" customFormat="1" x14ac:dyDescent="0.3">
      <c r="A30" s="1402">
        <v>19</v>
      </c>
      <c r="B30" s="1424"/>
      <c r="C30" s="1508"/>
      <c r="D30" s="1511" t="s">
        <v>1064</v>
      </c>
      <c r="E30" s="1427"/>
      <c r="F30" s="1428"/>
      <c r="G30" s="1429"/>
      <c r="H30" s="1430"/>
      <c r="I30" s="1457">
        <v>18</v>
      </c>
      <c r="J30" s="1512">
        <v>1235</v>
      </c>
      <c r="K30" s="1438">
        <f t="shared" si="2"/>
        <v>1253</v>
      </c>
      <c r="L30" s="1434"/>
    </row>
    <row r="31" spans="1:16" s="1450" customFormat="1" x14ac:dyDescent="0.3">
      <c r="A31" s="1402">
        <v>20</v>
      </c>
      <c r="B31" s="1439"/>
      <c r="C31" s="1513"/>
      <c r="D31" s="1514" t="s">
        <v>1012</v>
      </c>
      <c r="E31" s="1442"/>
      <c r="F31" s="1443"/>
      <c r="G31" s="1444"/>
      <c r="H31" s="1445"/>
      <c r="I31" s="1446"/>
      <c r="J31" s="1515"/>
      <c r="K31" s="1448">
        <f t="shared" si="2"/>
        <v>0</v>
      </c>
      <c r="L31" s="1449"/>
    </row>
    <row r="32" spans="1:16" s="1459" customFormat="1" x14ac:dyDescent="0.3">
      <c r="A32" s="1402">
        <v>21</v>
      </c>
      <c r="B32" s="1451"/>
      <c r="C32" s="1516"/>
      <c r="D32" s="1517" t="s">
        <v>1116</v>
      </c>
      <c r="E32" s="1453"/>
      <c r="F32" s="1454"/>
      <c r="G32" s="1455"/>
      <c r="H32" s="1456"/>
      <c r="I32" s="1457">
        <f>SUM(I30:I31)</f>
        <v>18</v>
      </c>
      <c r="J32" s="1512">
        <f>SUM(J30:J31)</f>
        <v>1235</v>
      </c>
      <c r="K32" s="1438">
        <f t="shared" si="2"/>
        <v>1253</v>
      </c>
      <c r="L32" s="1458"/>
    </row>
    <row r="33" spans="1:12" ht="16.5" x14ac:dyDescent="0.3">
      <c r="A33" s="1402">
        <v>22</v>
      </c>
      <c r="B33" s="1412"/>
      <c r="C33" s="1460">
        <v>5</v>
      </c>
      <c r="D33" s="1463" t="s">
        <v>589</v>
      </c>
      <c r="E33" s="1415">
        <f>F33+G33+K37+L34</f>
        <v>3085</v>
      </c>
      <c r="F33" s="1416">
        <v>2350</v>
      </c>
      <c r="G33" s="1417">
        <v>735</v>
      </c>
      <c r="H33" s="1418" t="s">
        <v>24</v>
      </c>
      <c r="I33" s="1419"/>
      <c r="J33" s="1420"/>
      <c r="K33" s="1421"/>
      <c r="L33" s="1422"/>
    </row>
    <row r="34" spans="1:12" s="1435" customFormat="1" x14ac:dyDescent="0.3">
      <c r="A34" s="1402">
        <v>23</v>
      </c>
      <c r="B34" s="1424"/>
      <c r="C34" s="1508"/>
      <c r="D34" s="1509" t="s">
        <v>311</v>
      </c>
      <c r="E34" s="1427"/>
      <c r="F34" s="1428"/>
      <c r="G34" s="1429"/>
      <c r="H34" s="1430"/>
      <c r="I34" s="1431"/>
      <c r="J34" s="1510">
        <v>95</v>
      </c>
      <c r="K34" s="1433">
        <f t="shared" si="0"/>
        <v>95</v>
      </c>
      <c r="L34" s="1434"/>
    </row>
    <row r="35" spans="1:12" s="1435" customFormat="1" x14ac:dyDescent="0.3">
      <c r="A35" s="1402">
        <v>24</v>
      </c>
      <c r="B35" s="1424"/>
      <c r="C35" s="1508"/>
      <c r="D35" s="1511" t="s">
        <v>1064</v>
      </c>
      <c r="E35" s="1427"/>
      <c r="F35" s="1428"/>
      <c r="G35" s="1429"/>
      <c r="H35" s="1430"/>
      <c r="I35" s="1431"/>
      <c r="J35" s="1512">
        <v>0</v>
      </c>
      <c r="K35" s="1438">
        <f t="shared" si="0"/>
        <v>0</v>
      </c>
      <c r="L35" s="1434"/>
    </row>
    <row r="36" spans="1:12" s="1450" customFormat="1" x14ac:dyDescent="0.3">
      <c r="A36" s="1402">
        <v>25</v>
      </c>
      <c r="B36" s="1439"/>
      <c r="C36" s="1513"/>
      <c r="D36" s="1514" t="s">
        <v>1012</v>
      </c>
      <c r="E36" s="1442"/>
      <c r="F36" s="1443"/>
      <c r="G36" s="1444"/>
      <c r="H36" s="1445"/>
      <c r="I36" s="1446"/>
      <c r="J36" s="1515"/>
      <c r="K36" s="1448"/>
      <c r="L36" s="1449"/>
    </row>
    <row r="37" spans="1:12" s="1459" customFormat="1" x14ac:dyDescent="0.3">
      <c r="A37" s="1402">
        <v>26</v>
      </c>
      <c r="B37" s="1451"/>
      <c r="C37" s="1516"/>
      <c r="D37" s="1517" t="s">
        <v>1116</v>
      </c>
      <c r="E37" s="1453"/>
      <c r="F37" s="1454"/>
      <c r="G37" s="1455"/>
      <c r="H37" s="1456"/>
      <c r="I37" s="1457"/>
      <c r="J37" s="1512">
        <f>SUM(J35:J36)</f>
        <v>0</v>
      </c>
      <c r="K37" s="1438">
        <f t="shared" si="0"/>
        <v>0</v>
      </c>
      <c r="L37" s="1458"/>
    </row>
    <row r="38" spans="1:12" ht="16.5" x14ac:dyDescent="0.3">
      <c r="A38" s="1402">
        <v>27</v>
      </c>
      <c r="B38" s="1412"/>
      <c r="C38" s="1460">
        <v>6</v>
      </c>
      <c r="D38" s="1463" t="s">
        <v>716</v>
      </c>
      <c r="E38" s="1415">
        <f>F38+G38+K42+L39</f>
        <v>28500</v>
      </c>
      <c r="F38" s="1415"/>
      <c r="G38" s="1417">
        <v>20000</v>
      </c>
      <c r="H38" s="1418" t="s">
        <v>24</v>
      </c>
      <c r="I38" s="1461"/>
      <c r="J38" s="1415"/>
      <c r="K38" s="1462"/>
      <c r="L38" s="1422"/>
    </row>
    <row r="39" spans="1:12" s="1435" customFormat="1" x14ac:dyDescent="0.3">
      <c r="A39" s="1402">
        <v>28</v>
      </c>
      <c r="B39" s="1424"/>
      <c r="C39" s="1508"/>
      <c r="D39" s="1509" t="s">
        <v>311</v>
      </c>
      <c r="E39" s="1427"/>
      <c r="F39" s="1428"/>
      <c r="G39" s="1429"/>
      <c r="H39" s="1430"/>
      <c r="I39" s="1431"/>
      <c r="J39" s="1510">
        <v>8500</v>
      </c>
      <c r="K39" s="1433">
        <f t="shared" ref="K39:K42" si="3">SUM(I39:J39)</f>
        <v>8500</v>
      </c>
      <c r="L39" s="1434"/>
    </row>
    <row r="40" spans="1:12" s="1435" customFormat="1" x14ac:dyDescent="0.3">
      <c r="A40" s="1402">
        <v>29</v>
      </c>
      <c r="B40" s="1424"/>
      <c r="C40" s="1508"/>
      <c r="D40" s="1511" t="s">
        <v>1064</v>
      </c>
      <c r="E40" s="1427"/>
      <c r="F40" s="1428"/>
      <c r="G40" s="1429"/>
      <c r="H40" s="1430"/>
      <c r="I40" s="1431"/>
      <c r="J40" s="1512">
        <v>8500</v>
      </c>
      <c r="K40" s="1438">
        <f t="shared" si="3"/>
        <v>8500</v>
      </c>
      <c r="L40" s="1434"/>
    </row>
    <row r="41" spans="1:12" s="1450" customFormat="1" x14ac:dyDescent="0.3">
      <c r="A41" s="1402">
        <v>30</v>
      </c>
      <c r="B41" s="1439"/>
      <c r="C41" s="1513"/>
      <c r="D41" s="1514" t="s">
        <v>999</v>
      </c>
      <c r="E41" s="1442"/>
      <c r="F41" s="1443"/>
      <c r="G41" s="1444"/>
      <c r="H41" s="1445"/>
      <c r="I41" s="1446"/>
      <c r="J41" s="1515"/>
      <c r="K41" s="1448">
        <f t="shared" si="3"/>
        <v>0</v>
      </c>
      <c r="L41" s="1449"/>
    </row>
    <row r="42" spans="1:12" s="1459" customFormat="1" x14ac:dyDescent="0.3">
      <c r="A42" s="1402">
        <v>31</v>
      </c>
      <c r="B42" s="1451"/>
      <c r="C42" s="1516"/>
      <c r="D42" s="1517" t="s">
        <v>1116</v>
      </c>
      <c r="E42" s="1453"/>
      <c r="F42" s="1454"/>
      <c r="G42" s="1455"/>
      <c r="H42" s="1456"/>
      <c r="I42" s="1457"/>
      <c r="J42" s="1512">
        <f>SUM(J40:J41)</f>
        <v>8500</v>
      </c>
      <c r="K42" s="1438">
        <f t="shared" si="3"/>
        <v>8500</v>
      </c>
      <c r="L42" s="1458"/>
    </row>
    <row r="43" spans="1:12" ht="16.5" x14ac:dyDescent="0.3">
      <c r="A43" s="1402">
        <v>32</v>
      </c>
      <c r="B43" s="1412"/>
      <c r="C43" s="1460">
        <v>7</v>
      </c>
      <c r="D43" s="1463" t="s">
        <v>736</v>
      </c>
      <c r="E43" s="1415">
        <f>F43+G43+K47+L44</f>
        <v>77497</v>
      </c>
      <c r="F43" s="1415">
        <v>330</v>
      </c>
      <c r="G43" s="1417">
        <v>77167</v>
      </c>
      <c r="H43" s="1418" t="s">
        <v>24</v>
      </c>
      <c r="I43" s="1461"/>
      <c r="J43" s="1415"/>
      <c r="K43" s="1462"/>
      <c r="L43" s="1422"/>
    </row>
    <row r="44" spans="1:12" s="1435" customFormat="1" x14ac:dyDescent="0.3">
      <c r="A44" s="1402">
        <v>33</v>
      </c>
      <c r="B44" s="1424"/>
      <c r="C44" s="1508"/>
      <c r="D44" s="1509" t="s">
        <v>311</v>
      </c>
      <c r="E44" s="1427"/>
      <c r="F44" s="1428"/>
      <c r="G44" s="1429"/>
      <c r="H44" s="1430"/>
      <c r="I44" s="1431"/>
      <c r="J44" s="1510">
        <v>25503</v>
      </c>
      <c r="K44" s="1433">
        <f t="shared" si="0"/>
        <v>25503</v>
      </c>
      <c r="L44" s="1434"/>
    </row>
    <row r="45" spans="1:12" s="1435" customFormat="1" x14ac:dyDescent="0.3">
      <c r="A45" s="1402">
        <v>34</v>
      </c>
      <c r="B45" s="1424"/>
      <c r="C45" s="1508"/>
      <c r="D45" s="1511" t="s">
        <v>1064</v>
      </c>
      <c r="E45" s="1427"/>
      <c r="F45" s="1428"/>
      <c r="G45" s="1429"/>
      <c r="H45" s="1430"/>
      <c r="I45" s="1431"/>
      <c r="J45" s="1512">
        <v>0</v>
      </c>
      <c r="K45" s="1438">
        <f t="shared" si="0"/>
        <v>0</v>
      </c>
      <c r="L45" s="1434"/>
    </row>
    <row r="46" spans="1:12" s="1450" customFormat="1" x14ac:dyDescent="0.3">
      <c r="A46" s="1402">
        <v>35</v>
      </c>
      <c r="B46" s="1439"/>
      <c r="C46" s="1513"/>
      <c r="D46" s="1514" t="s">
        <v>990</v>
      </c>
      <c r="E46" s="1442"/>
      <c r="F46" s="1443"/>
      <c r="G46" s="1444"/>
      <c r="H46" s="1445"/>
      <c r="I46" s="1446"/>
      <c r="J46" s="1515"/>
      <c r="K46" s="1448">
        <f t="shared" ref="K46" si="4">SUM(I46:J46)</f>
        <v>0</v>
      </c>
      <c r="L46" s="1449"/>
    </row>
    <row r="47" spans="1:12" s="1459" customFormat="1" x14ac:dyDescent="0.3">
      <c r="A47" s="1402">
        <v>36</v>
      </c>
      <c r="B47" s="1451"/>
      <c r="C47" s="1516"/>
      <c r="D47" s="1517" t="s">
        <v>1116</v>
      </c>
      <c r="E47" s="1453"/>
      <c r="F47" s="1454"/>
      <c r="G47" s="1455"/>
      <c r="H47" s="1456"/>
      <c r="I47" s="1457"/>
      <c r="J47" s="1512">
        <f>SUM(J45:J46)</f>
        <v>0</v>
      </c>
      <c r="K47" s="1438">
        <f t="shared" si="0"/>
        <v>0</v>
      </c>
      <c r="L47" s="1458"/>
    </row>
    <row r="48" spans="1:12" ht="16.5" x14ac:dyDescent="0.3">
      <c r="A48" s="1402">
        <v>37</v>
      </c>
      <c r="B48" s="1412"/>
      <c r="C48" s="1460">
        <v>8</v>
      </c>
      <c r="D48" s="1463" t="s">
        <v>316</v>
      </c>
      <c r="E48" s="1415">
        <f>F48+G48+K52+L49</f>
        <v>6728</v>
      </c>
      <c r="F48" s="1415"/>
      <c r="G48" s="1417">
        <v>6728</v>
      </c>
      <c r="H48" s="1418" t="s">
        <v>23</v>
      </c>
      <c r="I48" s="1461"/>
      <c r="J48" s="1415"/>
      <c r="K48" s="1462"/>
      <c r="L48" s="1422"/>
    </row>
    <row r="49" spans="1:13" s="1435" customFormat="1" x14ac:dyDescent="0.3">
      <c r="A49" s="1402">
        <v>38</v>
      </c>
      <c r="B49" s="1424"/>
      <c r="C49" s="1508"/>
      <c r="D49" s="1509" t="s">
        <v>311</v>
      </c>
      <c r="E49" s="1427"/>
      <c r="F49" s="1428"/>
      <c r="G49" s="1429"/>
      <c r="H49" s="1430"/>
      <c r="I49" s="1431">
        <v>300</v>
      </c>
      <c r="J49" s="1510">
        <v>25372</v>
      </c>
      <c r="K49" s="1433">
        <f t="shared" ref="K49:K52" si="5">SUM(I49:J49)</f>
        <v>25672</v>
      </c>
      <c r="L49" s="1434"/>
    </row>
    <row r="50" spans="1:13" s="1435" customFormat="1" x14ac:dyDescent="0.3">
      <c r="A50" s="1402">
        <v>39</v>
      </c>
      <c r="B50" s="1424"/>
      <c r="C50" s="1508"/>
      <c r="D50" s="1511" t="s">
        <v>1064</v>
      </c>
      <c r="E50" s="1427"/>
      <c r="F50" s="1428"/>
      <c r="G50" s="1429"/>
      <c r="H50" s="1430"/>
      <c r="I50" s="1457">
        <v>0</v>
      </c>
      <c r="J50" s="1512">
        <v>0</v>
      </c>
      <c r="K50" s="1438">
        <f t="shared" si="5"/>
        <v>0</v>
      </c>
      <c r="L50" s="1434"/>
    </row>
    <row r="51" spans="1:13" s="1450" customFormat="1" x14ac:dyDescent="0.3">
      <c r="A51" s="1402">
        <v>40</v>
      </c>
      <c r="B51" s="1439"/>
      <c r="C51" s="1513"/>
      <c r="D51" s="1514" t="s">
        <v>1012</v>
      </c>
      <c r="E51" s="1442"/>
      <c r="F51" s="1443"/>
      <c r="G51" s="1444"/>
      <c r="H51" s="1445"/>
      <c r="I51" s="1446"/>
      <c r="J51" s="1515"/>
      <c r="K51" s="1448">
        <f t="shared" si="5"/>
        <v>0</v>
      </c>
      <c r="L51" s="1449"/>
    </row>
    <row r="52" spans="1:13" s="1459" customFormat="1" x14ac:dyDescent="0.3">
      <c r="A52" s="1402">
        <v>41</v>
      </c>
      <c r="B52" s="1451"/>
      <c r="C52" s="1516"/>
      <c r="D52" s="1517" t="s">
        <v>1116</v>
      </c>
      <c r="E52" s="1453"/>
      <c r="F52" s="1454"/>
      <c r="G52" s="1455"/>
      <c r="H52" s="1456"/>
      <c r="I52" s="1457">
        <f>SUM(I50:I51)</f>
        <v>0</v>
      </c>
      <c r="J52" s="1457">
        <f>SUM(J50:J51)</f>
        <v>0</v>
      </c>
      <c r="K52" s="1438">
        <f t="shared" si="5"/>
        <v>0</v>
      </c>
      <c r="L52" s="1458"/>
    </row>
    <row r="53" spans="1:13" ht="17.25" x14ac:dyDescent="0.35">
      <c r="A53" s="1402">
        <v>42</v>
      </c>
      <c r="B53" s="1412"/>
      <c r="C53" s="1413"/>
      <c r="D53" s="1521" t="s">
        <v>314</v>
      </c>
      <c r="E53" s="1415"/>
      <c r="F53" s="1416"/>
      <c r="G53" s="1417"/>
      <c r="H53" s="1418" t="s">
        <v>23</v>
      </c>
      <c r="I53" s="1419"/>
      <c r="J53" s="1420"/>
      <c r="K53" s="1421"/>
      <c r="L53" s="1422"/>
    </row>
    <row r="54" spans="1:13" ht="16.5" x14ac:dyDescent="0.3">
      <c r="A54" s="1402">
        <v>43</v>
      </c>
      <c r="B54" s="1412"/>
      <c r="C54" s="1460">
        <v>9</v>
      </c>
      <c r="D54" s="1522" t="s">
        <v>737</v>
      </c>
      <c r="E54" s="1415">
        <f>F54+G54+K58+L55</f>
        <v>6929</v>
      </c>
      <c r="F54" s="1416"/>
      <c r="G54" s="1417">
        <v>6789</v>
      </c>
      <c r="H54" s="1418"/>
      <c r="I54" s="1419"/>
      <c r="J54" s="1420"/>
      <c r="K54" s="1421"/>
      <c r="L54" s="1422"/>
      <c r="M54" s="264"/>
    </row>
    <row r="55" spans="1:13" s="1435" customFormat="1" x14ac:dyDescent="0.3">
      <c r="A55" s="1402">
        <v>44</v>
      </c>
      <c r="B55" s="1424"/>
      <c r="C55" s="1508"/>
      <c r="D55" s="1523" t="s">
        <v>311</v>
      </c>
      <c r="E55" s="1427"/>
      <c r="F55" s="1428"/>
      <c r="G55" s="1429"/>
      <c r="H55" s="1430"/>
      <c r="I55" s="1431"/>
      <c r="J55" s="1510">
        <v>211</v>
      </c>
      <c r="K55" s="1433">
        <f t="shared" si="0"/>
        <v>211</v>
      </c>
      <c r="L55" s="1434"/>
    </row>
    <row r="56" spans="1:13" s="1435" customFormat="1" x14ac:dyDescent="0.3">
      <c r="A56" s="1402">
        <v>45</v>
      </c>
      <c r="B56" s="1424"/>
      <c r="C56" s="1508"/>
      <c r="D56" s="1524" t="s">
        <v>1064</v>
      </c>
      <c r="E56" s="1427"/>
      <c r="F56" s="1428"/>
      <c r="G56" s="1429"/>
      <c r="H56" s="1430"/>
      <c r="I56" s="1431"/>
      <c r="J56" s="1512">
        <v>140</v>
      </c>
      <c r="K56" s="1438">
        <f t="shared" si="0"/>
        <v>140</v>
      </c>
      <c r="L56" s="1434"/>
    </row>
    <row r="57" spans="1:13" s="1450" customFormat="1" x14ac:dyDescent="0.3">
      <c r="A57" s="1402">
        <v>46</v>
      </c>
      <c r="B57" s="1439"/>
      <c r="C57" s="1513"/>
      <c r="D57" s="1525" t="s">
        <v>1012</v>
      </c>
      <c r="E57" s="1442"/>
      <c r="F57" s="1443"/>
      <c r="G57" s="1444"/>
      <c r="H57" s="1445"/>
      <c r="I57" s="1446"/>
      <c r="J57" s="1515"/>
      <c r="K57" s="1448">
        <f t="shared" si="0"/>
        <v>0</v>
      </c>
      <c r="L57" s="1449"/>
    </row>
    <row r="58" spans="1:13" s="1459" customFormat="1" x14ac:dyDescent="0.3">
      <c r="A58" s="1402">
        <v>47</v>
      </c>
      <c r="B58" s="1451"/>
      <c r="C58" s="1516"/>
      <c r="D58" s="1524" t="s">
        <v>1116</v>
      </c>
      <c r="E58" s="1453"/>
      <c r="F58" s="1454"/>
      <c r="G58" s="1455"/>
      <c r="H58" s="1456"/>
      <c r="I58" s="1457"/>
      <c r="J58" s="1512">
        <f>SUM(J56:J57)</f>
        <v>140</v>
      </c>
      <c r="K58" s="1438">
        <f t="shared" si="0"/>
        <v>140</v>
      </c>
      <c r="L58" s="1458"/>
    </row>
    <row r="59" spans="1:13" ht="17.25" x14ac:dyDescent="0.35">
      <c r="A59" s="1402">
        <v>48</v>
      </c>
      <c r="B59" s="1412"/>
      <c r="C59" s="1413"/>
      <c r="D59" s="1526" t="s">
        <v>313</v>
      </c>
      <c r="E59" s="1415"/>
      <c r="F59" s="1416"/>
      <c r="G59" s="1417"/>
      <c r="H59" s="1418" t="s">
        <v>23</v>
      </c>
      <c r="I59" s="1419"/>
      <c r="J59" s="1420"/>
      <c r="K59" s="1421"/>
      <c r="L59" s="1422"/>
    </row>
    <row r="60" spans="1:13" ht="16.5" x14ac:dyDescent="0.3">
      <c r="A60" s="1402">
        <v>49</v>
      </c>
      <c r="B60" s="1412"/>
      <c r="C60" s="1460">
        <v>10</v>
      </c>
      <c r="D60" s="1522" t="s">
        <v>738</v>
      </c>
      <c r="E60" s="1415">
        <f>F60+G60+K64+L61</f>
        <v>6265</v>
      </c>
      <c r="F60" s="1416"/>
      <c r="G60" s="1417"/>
      <c r="H60" s="1418"/>
      <c r="I60" s="1419"/>
      <c r="J60" s="1420"/>
      <c r="K60" s="1421"/>
      <c r="L60" s="1422"/>
    </row>
    <row r="61" spans="1:13" s="1435" customFormat="1" x14ac:dyDescent="0.3">
      <c r="A61" s="1402">
        <v>50</v>
      </c>
      <c r="B61" s="1424"/>
      <c r="C61" s="1508"/>
      <c r="D61" s="1523" t="s">
        <v>311</v>
      </c>
      <c r="E61" s="1427"/>
      <c r="F61" s="1428"/>
      <c r="G61" s="1429"/>
      <c r="H61" s="1430"/>
      <c r="I61" s="1431"/>
      <c r="J61" s="1510">
        <v>6300</v>
      </c>
      <c r="K61" s="1433">
        <f t="shared" ref="K61:K64" si="6">SUM(I61:J61)</f>
        <v>6300</v>
      </c>
      <c r="L61" s="1434"/>
    </row>
    <row r="62" spans="1:13" s="1435" customFormat="1" x14ac:dyDescent="0.3">
      <c r="A62" s="1402">
        <v>51</v>
      </c>
      <c r="B62" s="1424"/>
      <c r="C62" s="1508"/>
      <c r="D62" s="1524" t="s">
        <v>1064</v>
      </c>
      <c r="E62" s="1427"/>
      <c r="F62" s="1428"/>
      <c r="G62" s="1429"/>
      <c r="H62" s="1430"/>
      <c r="I62" s="1431"/>
      <c r="J62" s="1512">
        <v>6265</v>
      </c>
      <c r="K62" s="1438">
        <f t="shared" si="6"/>
        <v>6265</v>
      </c>
      <c r="L62" s="1434"/>
    </row>
    <row r="63" spans="1:13" s="1450" customFormat="1" x14ac:dyDescent="0.3">
      <c r="A63" s="1402">
        <v>52</v>
      </c>
      <c r="B63" s="1439"/>
      <c r="C63" s="1513"/>
      <c r="D63" s="1525" t="s">
        <v>1012</v>
      </c>
      <c r="E63" s="1442"/>
      <c r="F63" s="1443"/>
      <c r="G63" s="1444"/>
      <c r="H63" s="1445"/>
      <c r="I63" s="1446"/>
      <c r="J63" s="1515"/>
      <c r="K63" s="1448">
        <f t="shared" si="6"/>
        <v>0</v>
      </c>
      <c r="L63" s="1449"/>
    </row>
    <row r="64" spans="1:13" s="1459" customFormat="1" x14ac:dyDescent="0.3">
      <c r="A64" s="1402">
        <v>53</v>
      </c>
      <c r="B64" s="1451"/>
      <c r="C64" s="1516"/>
      <c r="D64" s="1524" t="s">
        <v>1116</v>
      </c>
      <c r="E64" s="1453"/>
      <c r="F64" s="1454"/>
      <c r="G64" s="1455"/>
      <c r="H64" s="1456"/>
      <c r="I64" s="1457"/>
      <c r="J64" s="1512">
        <f>SUM(J62:J63)</f>
        <v>6265</v>
      </c>
      <c r="K64" s="1438">
        <f t="shared" si="6"/>
        <v>6265</v>
      </c>
      <c r="L64" s="1458"/>
    </row>
    <row r="65" spans="1:14" ht="16.5" x14ac:dyDescent="0.3">
      <c r="A65" s="1402">
        <v>54</v>
      </c>
      <c r="B65" s="1412"/>
      <c r="C65" s="1460"/>
      <c r="D65" s="1527" t="s">
        <v>470</v>
      </c>
      <c r="E65" s="1415"/>
      <c r="F65" s="1416"/>
      <c r="G65" s="1417"/>
      <c r="H65" s="1418"/>
      <c r="I65" s="1419"/>
      <c r="J65" s="1420"/>
      <c r="K65" s="1421"/>
      <c r="L65" s="1422"/>
    </row>
    <row r="66" spans="1:14" ht="16.5" x14ac:dyDescent="0.3">
      <c r="A66" s="1402">
        <v>55</v>
      </c>
      <c r="B66" s="1412"/>
      <c r="C66" s="1460">
        <v>11</v>
      </c>
      <c r="D66" s="1528" t="s">
        <v>739</v>
      </c>
      <c r="E66" s="1415">
        <f>F66+G66+K70+L67</f>
        <v>9226</v>
      </c>
      <c r="F66" s="1416"/>
      <c r="G66" s="1417">
        <v>7268</v>
      </c>
      <c r="H66" s="1418"/>
      <c r="I66" s="1419"/>
      <c r="J66" s="1420"/>
      <c r="K66" s="1421"/>
      <c r="L66" s="1422"/>
      <c r="M66" s="264"/>
      <c r="N66" s="264"/>
    </row>
    <row r="67" spans="1:14" s="1435" customFormat="1" x14ac:dyDescent="0.3">
      <c r="A67" s="1402">
        <v>56</v>
      </c>
      <c r="B67" s="1424"/>
      <c r="C67" s="1508"/>
      <c r="D67" s="1523" t="s">
        <v>311</v>
      </c>
      <c r="E67" s="1427"/>
      <c r="F67" s="1428"/>
      <c r="G67" s="1429"/>
      <c r="H67" s="1430"/>
      <c r="I67" s="1431"/>
      <c r="J67" s="1510">
        <v>2232</v>
      </c>
      <c r="K67" s="1433">
        <f t="shared" si="0"/>
        <v>2232</v>
      </c>
      <c r="L67" s="1434"/>
    </row>
    <row r="68" spans="1:14" s="1435" customFormat="1" x14ac:dyDescent="0.3">
      <c r="A68" s="1402">
        <v>57</v>
      </c>
      <c r="B68" s="1424"/>
      <c r="C68" s="1508"/>
      <c r="D68" s="1524" t="s">
        <v>1064</v>
      </c>
      <c r="E68" s="1427"/>
      <c r="F68" s="1428"/>
      <c r="G68" s="1429"/>
      <c r="H68" s="1430"/>
      <c r="I68" s="1431"/>
      <c r="J68" s="1512">
        <v>1958</v>
      </c>
      <c r="K68" s="1438">
        <f t="shared" si="0"/>
        <v>1958</v>
      </c>
      <c r="L68" s="1434"/>
    </row>
    <row r="69" spans="1:14" s="1450" customFormat="1" x14ac:dyDescent="0.3">
      <c r="A69" s="1402">
        <v>58</v>
      </c>
      <c r="B69" s="1439"/>
      <c r="C69" s="1513"/>
      <c r="D69" s="1525" t="s">
        <v>999</v>
      </c>
      <c r="E69" s="1442"/>
      <c r="F69" s="1443"/>
      <c r="G69" s="1444"/>
      <c r="H69" s="1445"/>
      <c r="I69" s="1446"/>
      <c r="J69" s="1515"/>
      <c r="K69" s="1448">
        <f t="shared" si="0"/>
        <v>0</v>
      </c>
      <c r="L69" s="1449"/>
    </row>
    <row r="70" spans="1:14" s="1459" customFormat="1" x14ac:dyDescent="0.3">
      <c r="A70" s="1402">
        <v>59</v>
      </c>
      <c r="B70" s="1451"/>
      <c r="C70" s="1516"/>
      <c r="D70" s="1524" t="s">
        <v>1116</v>
      </c>
      <c r="E70" s="1453"/>
      <c r="F70" s="1454"/>
      <c r="G70" s="1455"/>
      <c r="H70" s="1456"/>
      <c r="I70" s="1457"/>
      <c r="J70" s="1512">
        <f>SUM(J68:J69)</f>
        <v>1958</v>
      </c>
      <c r="K70" s="1438">
        <f t="shared" si="0"/>
        <v>1958</v>
      </c>
      <c r="L70" s="1458"/>
    </row>
    <row r="71" spans="1:14" ht="17.25" x14ac:dyDescent="0.35">
      <c r="A71" s="1402">
        <v>60</v>
      </c>
      <c r="B71" s="1412"/>
      <c r="C71" s="1413"/>
      <c r="D71" s="1526" t="s">
        <v>267</v>
      </c>
      <c r="E71" s="1415"/>
      <c r="F71" s="1416"/>
      <c r="G71" s="1417"/>
      <c r="H71" s="1418" t="s">
        <v>23</v>
      </c>
      <c r="I71" s="1419"/>
      <c r="J71" s="1420"/>
      <c r="K71" s="1421"/>
      <c r="L71" s="1422"/>
      <c r="M71" s="266"/>
      <c r="N71" s="264"/>
    </row>
    <row r="72" spans="1:14" ht="16.5" x14ac:dyDescent="0.3">
      <c r="A72" s="1402">
        <v>61</v>
      </c>
      <c r="B72" s="1412"/>
      <c r="C72" s="1460"/>
      <c r="D72" s="1527" t="s">
        <v>740</v>
      </c>
      <c r="E72" s="1415"/>
      <c r="F72" s="1416"/>
      <c r="G72" s="1417"/>
      <c r="H72" s="1418"/>
      <c r="I72" s="1419"/>
      <c r="J72" s="1420"/>
      <c r="K72" s="1421"/>
      <c r="L72" s="1422"/>
      <c r="M72" s="266"/>
      <c r="N72" s="264"/>
    </row>
    <row r="73" spans="1:14" ht="16.5" x14ac:dyDescent="0.3">
      <c r="A73" s="1402">
        <v>62</v>
      </c>
      <c r="B73" s="1412"/>
      <c r="C73" s="1460">
        <v>12</v>
      </c>
      <c r="D73" s="1522" t="s">
        <v>741</v>
      </c>
      <c r="E73" s="1415">
        <f>F73+G73+K77+L74</f>
        <v>3476</v>
      </c>
      <c r="F73" s="1416"/>
      <c r="G73" s="1417"/>
      <c r="H73" s="1418"/>
      <c r="I73" s="1419"/>
      <c r="J73" s="1420"/>
      <c r="K73" s="1421"/>
      <c r="L73" s="1422"/>
    </row>
    <row r="74" spans="1:14" s="1435" customFormat="1" x14ac:dyDescent="0.3">
      <c r="A74" s="1402">
        <v>63</v>
      </c>
      <c r="B74" s="1424"/>
      <c r="C74" s="1508"/>
      <c r="D74" s="1523" t="s">
        <v>311</v>
      </c>
      <c r="E74" s="1427"/>
      <c r="F74" s="1428"/>
      <c r="G74" s="1429"/>
      <c r="H74" s="1430"/>
      <c r="I74" s="1431"/>
      <c r="J74" s="1510">
        <v>3500</v>
      </c>
      <c r="K74" s="1433">
        <f t="shared" ref="K74:K77" si="7">SUM(I74:J74)</f>
        <v>3500</v>
      </c>
      <c r="L74" s="1434"/>
    </row>
    <row r="75" spans="1:14" s="1435" customFormat="1" x14ac:dyDescent="0.3">
      <c r="A75" s="1402">
        <v>64</v>
      </c>
      <c r="B75" s="1424"/>
      <c r="C75" s="1508"/>
      <c r="D75" s="1524" t="s">
        <v>1064</v>
      </c>
      <c r="E75" s="1427"/>
      <c r="F75" s="1428"/>
      <c r="G75" s="1429"/>
      <c r="H75" s="1430"/>
      <c r="I75" s="1431"/>
      <c r="J75" s="1512">
        <v>3476</v>
      </c>
      <c r="K75" s="1438">
        <f t="shared" si="7"/>
        <v>3476</v>
      </c>
      <c r="L75" s="1434"/>
    </row>
    <row r="76" spans="1:14" s="1450" customFormat="1" x14ac:dyDescent="0.3">
      <c r="A76" s="1402">
        <v>65</v>
      </c>
      <c r="B76" s="1439"/>
      <c r="C76" s="1513"/>
      <c r="D76" s="1525" t="s">
        <v>1012</v>
      </c>
      <c r="E76" s="1442"/>
      <c r="F76" s="1443"/>
      <c r="G76" s="1444"/>
      <c r="H76" s="1445"/>
      <c r="I76" s="1446"/>
      <c r="J76" s="1515"/>
      <c r="K76" s="1448">
        <f t="shared" si="7"/>
        <v>0</v>
      </c>
      <c r="L76" s="1449"/>
    </row>
    <row r="77" spans="1:14" s="1459" customFormat="1" x14ac:dyDescent="0.3">
      <c r="A77" s="1402">
        <v>66</v>
      </c>
      <c r="B77" s="1451"/>
      <c r="C77" s="1516"/>
      <c r="D77" s="1524" t="s">
        <v>1116</v>
      </c>
      <c r="E77" s="1453"/>
      <c r="F77" s="1454"/>
      <c r="G77" s="1455"/>
      <c r="H77" s="1456"/>
      <c r="I77" s="1457"/>
      <c r="J77" s="1512">
        <f>SUM(J75:J76)</f>
        <v>3476</v>
      </c>
      <c r="K77" s="1438">
        <f t="shared" si="7"/>
        <v>3476</v>
      </c>
      <c r="L77" s="1458"/>
    </row>
    <row r="78" spans="1:14" ht="16.5" x14ac:dyDescent="0.3">
      <c r="A78" s="1402">
        <v>67</v>
      </c>
      <c r="B78" s="1412"/>
      <c r="C78" s="1413"/>
      <c r="D78" s="1527" t="s">
        <v>742</v>
      </c>
      <c r="E78" s="1415"/>
      <c r="F78" s="1416"/>
      <c r="G78" s="1417"/>
      <c r="H78" s="1418"/>
      <c r="I78" s="1419"/>
      <c r="J78" s="1420"/>
      <c r="K78" s="1421"/>
      <c r="L78" s="1422"/>
    </row>
    <row r="79" spans="1:14" ht="16.5" x14ac:dyDescent="0.3">
      <c r="A79" s="1402">
        <v>68</v>
      </c>
      <c r="B79" s="1412"/>
      <c r="C79" s="1460">
        <v>13</v>
      </c>
      <c r="D79" s="1522" t="s">
        <v>741</v>
      </c>
      <c r="E79" s="1415">
        <f>F79+G79+K83+L80</f>
        <v>9385</v>
      </c>
      <c r="F79" s="1416"/>
      <c r="G79" s="1417"/>
      <c r="H79" s="1418"/>
      <c r="I79" s="1419"/>
      <c r="J79" s="1420"/>
      <c r="K79" s="1421"/>
      <c r="L79" s="1422"/>
    </row>
    <row r="80" spans="1:14" s="1435" customFormat="1" x14ac:dyDescent="0.3">
      <c r="A80" s="1402">
        <v>69</v>
      </c>
      <c r="B80" s="1424"/>
      <c r="C80" s="1508"/>
      <c r="D80" s="1523" t="s">
        <v>311</v>
      </c>
      <c r="E80" s="1427"/>
      <c r="F80" s="1428"/>
      <c r="G80" s="1429"/>
      <c r="H80" s="1430"/>
      <c r="I80" s="1431"/>
      <c r="J80" s="1510">
        <v>9400</v>
      </c>
      <c r="K80" s="1433">
        <f t="shared" si="0"/>
        <v>9400</v>
      </c>
      <c r="L80" s="1434"/>
    </row>
    <row r="81" spans="1:22" s="1435" customFormat="1" x14ac:dyDescent="0.3">
      <c r="A81" s="1402">
        <v>70</v>
      </c>
      <c r="B81" s="1424"/>
      <c r="C81" s="1508"/>
      <c r="D81" s="1524" t="s">
        <v>1064</v>
      </c>
      <c r="E81" s="1427"/>
      <c r="F81" s="1428"/>
      <c r="G81" s="1429"/>
      <c r="H81" s="1430"/>
      <c r="I81" s="1431"/>
      <c r="J81" s="1512">
        <v>9385</v>
      </c>
      <c r="K81" s="1438">
        <f t="shared" si="0"/>
        <v>9385</v>
      </c>
      <c r="L81" s="1434"/>
    </row>
    <row r="82" spans="1:22" s="1450" customFormat="1" x14ac:dyDescent="0.3">
      <c r="A82" s="1402">
        <v>71</v>
      </c>
      <c r="B82" s="1439"/>
      <c r="C82" s="1513"/>
      <c r="D82" s="1525" t="s">
        <v>1012</v>
      </c>
      <c r="E82" s="1442"/>
      <c r="F82" s="1443"/>
      <c r="G82" s="1444"/>
      <c r="H82" s="1445"/>
      <c r="I82" s="1446"/>
      <c r="J82" s="1515"/>
      <c r="K82" s="1448">
        <f t="shared" si="0"/>
        <v>0</v>
      </c>
      <c r="L82" s="1449"/>
    </row>
    <row r="83" spans="1:22" s="1459" customFormat="1" x14ac:dyDescent="0.3">
      <c r="A83" s="1402">
        <v>72</v>
      </c>
      <c r="B83" s="1451"/>
      <c r="C83" s="1516"/>
      <c r="D83" s="1524" t="s">
        <v>1116</v>
      </c>
      <c r="E83" s="1453"/>
      <c r="F83" s="1454"/>
      <c r="G83" s="1455"/>
      <c r="H83" s="1456"/>
      <c r="I83" s="1457"/>
      <c r="J83" s="1512">
        <f>SUM(J81:J82)</f>
        <v>9385</v>
      </c>
      <c r="K83" s="1438">
        <f t="shared" si="0"/>
        <v>9385</v>
      </c>
      <c r="L83" s="1458"/>
    </row>
    <row r="84" spans="1:22" ht="17.25" x14ac:dyDescent="0.35">
      <c r="A84" s="1402">
        <v>73</v>
      </c>
      <c r="B84" s="1412"/>
      <c r="C84" s="1413"/>
      <c r="D84" s="1526" t="s">
        <v>743</v>
      </c>
      <c r="E84" s="1415"/>
      <c r="F84" s="1416"/>
      <c r="G84" s="1417"/>
      <c r="H84" s="1418" t="s">
        <v>23</v>
      </c>
      <c r="I84" s="1419"/>
      <c r="J84" s="1420"/>
      <c r="K84" s="1421"/>
      <c r="L84" s="1422"/>
      <c r="M84" s="267"/>
    </row>
    <row r="85" spans="1:22" ht="16.5" x14ac:dyDescent="0.3">
      <c r="A85" s="1402">
        <v>74</v>
      </c>
      <c r="B85" s="1412"/>
      <c r="C85" s="1413"/>
      <c r="D85" s="1527" t="s">
        <v>471</v>
      </c>
      <c r="E85" s="1415"/>
      <c r="F85" s="1416"/>
      <c r="G85" s="1417"/>
      <c r="H85" s="1418"/>
      <c r="I85" s="1419"/>
      <c r="J85" s="1420"/>
      <c r="K85" s="1421"/>
      <c r="L85" s="1422"/>
    </row>
    <row r="86" spans="1:22" ht="16.5" x14ac:dyDescent="0.3">
      <c r="A86" s="1402">
        <v>75</v>
      </c>
      <c r="B86" s="1412"/>
      <c r="C86" s="1460">
        <v>14</v>
      </c>
      <c r="D86" s="1522" t="s">
        <v>744</v>
      </c>
      <c r="E86" s="1415">
        <f>F86+G86+K90+L87</f>
        <v>1976</v>
      </c>
      <c r="F86" s="1416"/>
      <c r="G86" s="1417">
        <v>1231</v>
      </c>
      <c r="H86" s="1418"/>
      <c r="I86" s="1419"/>
      <c r="J86" s="1420"/>
      <c r="K86" s="1421"/>
      <c r="L86" s="1422"/>
    </row>
    <row r="87" spans="1:22" s="1435" customFormat="1" x14ac:dyDescent="0.3">
      <c r="A87" s="1402">
        <v>76</v>
      </c>
      <c r="B87" s="1424"/>
      <c r="C87" s="1508"/>
      <c r="D87" s="1523" t="s">
        <v>311</v>
      </c>
      <c r="E87" s="1427"/>
      <c r="F87" s="1428"/>
      <c r="G87" s="1429"/>
      <c r="H87" s="1430"/>
      <c r="I87" s="1431"/>
      <c r="J87" s="1510">
        <v>769</v>
      </c>
      <c r="K87" s="1433">
        <f t="shared" ref="K87:K90" si="8">SUM(I87:J87)</f>
        <v>769</v>
      </c>
      <c r="L87" s="1434"/>
    </row>
    <row r="88" spans="1:22" s="1435" customFormat="1" x14ac:dyDescent="0.3">
      <c r="A88" s="1402">
        <v>77</v>
      </c>
      <c r="B88" s="1424"/>
      <c r="C88" s="1508"/>
      <c r="D88" s="1524" t="s">
        <v>1064</v>
      </c>
      <c r="E88" s="1427"/>
      <c r="F88" s="1428"/>
      <c r="G88" s="1429"/>
      <c r="H88" s="1430"/>
      <c r="I88" s="1431"/>
      <c r="J88" s="1512">
        <v>745</v>
      </c>
      <c r="K88" s="1438">
        <f t="shared" si="8"/>
        <v>745</v>
      </c>
      <c r="L88" s="1434"/>
    </row>
    <row r="89" spans="1:22" s="1450" customFormat="1" x14ac:dyDescent="0.3">
      <c r="A89" s="1402">
        <v>78</v>
      </c>
      <c r="B89" s="1439"/>
      <c r="C89" s="1513"/>
      <c r="D89" s="1525" t="s">
        <v>1012</v>
      </c>
      <c r="E89" s="1442"/>
      <c r="F89" s="1443"/>
      <c r="G89" s="1444"/>
      <c r="H89" s="1445"/>
      <c r="I89" s="1446"/>
      <c r="J89" s="1515"/>
      <c r="K89" s="1448">
        <f t="shared" si="8"/>
        <v>0</v>
      </c>
      <c r="L89" s="1449"/>
    </row>
    <row r="90" spans="1:22" s="1459" customFormat="1" x14ac:dyDescent="0.3">
      <c r="A90" s="1402">
        <v>79</v>
      </c>
      <c r="B90" s="1451"/>
      <c r="C90" s="1516"/>
      <c r="D90" s="1524" t="s">
        <v>1116</v>
      </c>
      <c r="E90" s="1453"/>
      <c r="F90" s="1454"/>
      <c r="G90" s="1455"/>
      <c r="H90" s="1456"/>
      <c r="I90" s="1457"/>
      <c r="J90" s="1512">
        <f>SUM(J88:J89)</f>
        <v>745</v>
      </c>
      <c r="K90" s="1438">
        <f t="shared" si="8"/>
        <v>745</v>
      </c>
      <c r="L90" s="1458"/>
    </row>
    <row r="91" spans="1:22" ht="16.5" x14ac:dyDescent="0.3">
      <c r="A91" s="1402">
        <v>80</v>
      </c>
      <c r="B91" s="1412"/>
      <c r="C91" s="1460">
        <v>15</v>
      </c>
      <c r="D91" s="1522" t="s">
        <v>745</v>
      </c>
      <c r="E91" s="1415">
        <f>F91+G91+K95+L92</f>
        <v>4691</v>
      </c>
      <c r="F91" s="1416"/>
      <c r="G91" s="1417">
        <v>4551</v>
      </c>
      <c r="H91" s="1418"/>
      <c r="I91" s="1419"/>
      <c r="J91" s="1420"/>
      <c r="K91" s="1421"/>
      <c r="L91" s="1422"/>
    </row>
    <row r="92" spans="1:22" s="1435" customFormat="1" x14ac:dyDescent="0.3">
      <c r="A92" s="1402">
        <v>81</v>
      </c>
      <c r="B92" s="1424"/>
      <c r="C92" s="1508"/>
      <c r="D92" s="1523" t="s">
        <v>311</v>
      </c>
      <c r="E92" s="1427"/>
      <c r="F92" s="1428"/>
      <c r="G92" s="1429"/>
      <c r="H92" s="1430"/>
      <c r="I92" s="1431"/>
      <c r="J92" s="1510">
        <v>249</v>
      </c>
      <c r="K92" s="1433">
        <f t="shared" si="0"/>
        <v>249</v>
      </c>
      <c r="L92" s="1434"/>
    </row>
    <row r="93" spans="1:22" s="1435" customFormat="1" x14ac:dyDescent="0.3">
      <c r="A93" s="1402">
        <v>82</v>
      </c>
      <c r="B93" s="1424"/>
      <c r="C93" s="1508"/>
      <c r="D93" s="1524" t="s">
        <v>1064</v>
      </c>
      <c r="E93" s="1427"/>
      <c r="F93" s="1428"/>
      <c r="G93" s="1429"/>
      <c r="H93" s="1430"/>
      <c r="I93" s="1431"/>
      <c r="J93" s="1512">
        <v>140</v>
      </c>
      <c r="K93" s="1438">
        <f t="shared" si="0"/>
        <v>140</v>
      </c>
      <c r="L93" s="1434"/>
    </row>
    <row r="94" spans="1:22" s="1450" customFormat="1" x14ac:dyDescent="0.3">
      <c r="A94" s="1402">
        <v>83</v>
      </c>
      <c r="B94" s="1439"/>
      <c r="C94" s="1513"/>
      <c r="D94" s="1525" t="s">
        <v>1012</v>
      </c>
      <c r="E94" s="1442"/>
      <c r="F94" s="1443"/>
      <c r="G94" s="1444"/>
      <c r="H94" s="1445"/>
      <c r="I94" s="1446"/>
      <c r="J94" s="1515"/>
      <c r="K94" s="1448">
        <f t="shared" si="0"/>
        <v>0</v>
      </c>
      <c r="L94" s="1449"/>
    </row>
    <row r="95" spans="1:22" s="1459" customFormat="1" x14ac:dyDescent="0.3">
      <c r="A95" s="1402">
        <v>84</v>
      </c>
      <c r="B95" s="1451"/>
      <c r="C95" s="1516"/>
      <c r="D95" s="1524" t="s">
        <v>1116</v>
      </c>
      <c r="E95" s="1453"/>
      <c r="F95" s="1454"/>
      <c r="G95" s="1455"/>
      <c r="H95" s="1456"/>
      <c r="I95" s="1457"/>
      <c r="J95" s="1512">
        <f>SUM(J93:J94)</f>
        <v>140</v>
      </c>
      <c r="K95" s="1438">
        <f t="shared" si="0"/>
        <v>140</v>
      </c>
      <c r="L95" s="1458"/>
    </row>
    <row r="96" spans="1:22" ht="17.25" x14ac:dyDescent="0.35">
      <c r="A96" s="1402">
        <v>85</v>
      </c>
      <c r="B96" s="1412"/>
      <c r="C96" s="1413"/>
      <c r="D96" s="1529" t="s">
        <v>746</v>
      </c>
      <c r="E96" s="1415"/>
      <c r="F96" s="1416"/>
      <c r="G96" s="1417"/>
      <c r="H96" s="1418" t="s">
        <v>23</v>
      </c>
      <c r="I96" s="1419"/>
      <c r="J96" s="1420"/>
      <c r="K96" s="1421"/>
      <c r="L96" s="1422"/>
      <c r="M96" s="264"/>
      <c r="N96" s="264"/>
      <c r="O96" s="264"/>
      <c r="P96" s="264"/>
      <c r="Q96" s="264"/>
      <c r="R96" s="264"/>
      <c r="S96" s="264"/>
      <c r="T96" s="264"/>
      <c r="U96" s="264"/>
      <c r="V96" s="264"/>
    </row>
    <row r="97" spans="1:12" ht="16.5" x14ac:dyDescent="0.3">
      <c r="A97" s="1402">
        <v>86</v>
      </c>
      <c r="B97" s="1412"/>
      <c r="C97" s="1460"/>
      <c r="D97" s="1530" t="s">
        <v>747</v>
      </c>
      <c r="E97" s="1415"/>
      <c r="F97" s="1416"/>
      <c r="G97" s="1417"/>
      <c r="H97" s="1418"/>
      <c r="I97" s="1419"/>
      <c r="J97" s="1420"/>
      <c r="K97" s="1421"/>
      <c r="L97" s="1422"/>
    </row>
    <row r="98" spans="1:12" ht="16.5" x14ac:dyDescent="0.3">
      <c r="A98" s="1402">
        <v>87</v>
      </c>
      <c r="B98" s="1412"/>
      <c r="C98" s="1460">
        <v>16</v>
      </c>
      <c r="D98" s="1522" t="s">
        <v>748</v>
      </c>
      <c r="E98" s="1415">
        <f>F98+G98+K102+L99</f>
        <v>1163</v>
      </c>
      <c r="F98" s="1416"/>
      <c r="G98" s="1417">
        <v>1125</v>
      </c>
      <c r="H98" s="1418"/>
      <c r="I98" s="1419"/>
      <c r="J98" s="1420"/>
      <c r="K98" s="1421"/>
      <c r="L98" s="1422"/>
    </row>
    <row r="99" spans="1:12" s="1435" customFormat="1" x14ac:dyDescent="0.3">
      <c r="A99" s="1402">
        <v>88</v>
      </c>
      <c r="B99" s="1424"/>
      <c r="C99" s="1508"/>
      <c r="D99" s="1523" t="s">
        <v>311</v>
      </c>
      <c r="E99" s="1427"/>
      <c r="F99" s="1428"/>
      <c r="G99" s="1429"/>
      <c r="H99" s="1430"/>
      <c r="I99" s="1431"/>
      <c r="J99" s="1510">
        <v>75</v>
      </c>
      <c r="K99" s="1433">
        <f t="shared" ref="K99:K102" si="9">SUM(I99:J99)</f>
        <v>75</v>
      </c>
      <c r="L99" s="1434"/>
    </row>
    <row r="100" spans="1:12" s="1435" customFormat="1" x14ac:dyDescent="0.3">
      <c r="A100" s="1402">
        <v>89</v>
      </c>
      <c r="B100" s="1424"/>
      <c r="C100" s="1508"/>
      <c r="D100" s="1524" t="s">
        <v>1064</v>
      </c>
      <c r="E100" s="1427"/>
      <c r="F100" s="1428"/>
      <c r="G100" s="1429"/>
      <c r="H100" s="1430"/>
      <c r="I100" s="1431"/>
      <c r="J100" s="1512">
        <v>38</v>
      </c>
      <c r="K100" s="1438">
        <f t="shared" si="9"/>
        <v>38</v>
      </c>
      <c r="L100" s="1434"/>
    </row>
    <row r="101" spans="1:12" s="1450" customFormat="1" x14ac:dyDescent="0.3">
      <c r="A101" s="1402">
        <v>90</v>
      </c>
      <c r="B101" s="1439"/>
      <c r="C101" s="1513"/>
      <c r="D101" s="1525" t="s">
        <v>1012</v>
      </c>
      <c r="E101" s="1442"/>
      <c r="F101" s="1443"/>
      <c r="G101" s="1444"/>
      <c r="H101" s="1445"/>
      <c r="I101" s="1446"/>
      <c r="J101" s="1515"/>
      <c r="K101" s="1448">
        <f t="shared" si="9"/>
        <v>0</v>
      </c>
      <c r="L101" s="1449"/>
    </row>
    <row r="102" spans="1:12" s="1459" customFormat="1" x14ac:dyDescent="0.3">
      <c r="A102" s="1402">
        <v>91</v>
      </c>
      <c r="B102" s="1451"/>
      <c r="C102" s="1516"/>
      <c r="D102" s="1524" t="s">
        <v>1116</v>
      </c>
      <c r="E102" s="1453"/>
      <c r="F102" s="1454"/>
      <c r="G102" s="1455"/>
      <c r="H102" s="1456"/>
      <c r="I102" s="1457"/>
      <c r="J102" s="1512">
        <f>SUM(J100:J101)</f>
        <v>38</v>
      </c>
      <c r="K102" s="1438">
        <f t="shared" si="9"/>
        <v>38</v>
      </c>
      <c r="L102" s="1458"/>
    </row>
    <row r="103" spans="1:12" ht="16.5" x14ac:dyDescent="0.3">
      <c r="A103" s="1402">
        <v>92</v>
      </c>
      <c r="B103" s="1412"/>
      <c r="C103" s="1460">
        <v>17</v>
      </c>
      <c r="D103" s="1522" t="s">
        <v>749</v>
      </c>
      <c r="E103" s="1415">
        <f>F103+G103+K107+L104</f>
        <v>0</v>
      </c>
      <c r="F103" s="1416"/>
      <c r="G103" s="1417"/>
      <c r="H103" s="1418"/>
      <c r="I103" s="1419"/>
      <c r="J103" s="1420"/>
      <c r="K103" s="1421"/>
      <c r="L103" s="1422"/>
    </row>
    <row r="104" spans="1:12" s="1435" customFormat="1" x14ac:dyDescent="0.3">
      <c r="A104" s="1402">
        <v>93</v>
      </c>
      <c r="B104" s="1424"/>
      <c r="C104" s="1508"/>
      <c r="D104" s="1523" t="s">
        <v>311</v>
      </c>
      <c r="E104" s="1427"/>
      <c r="F104" s="1428"/>
      <c r="G104" s="1429"/>
      <c r="H104" s="1430"/>
      <c r="I104" s="1431"/>
      <c r="J104" s="1510">
        <v>5000</v>
      </c>
      <c r="K104" s="1433">
        <f t="shared" si="0"/>
        <v>5000</v>
      </c>
      <c r="L104" s="1434"/>
    </row>
    <row r="105" spans="1:12" s="1435" customFormat="1" x14ac:dyDescent="0.3">
      <c r="A105" s="1402">
        <v>94</v>
      </c>
      <c r="B105" s="1424"/>
      <c r="C105" s="1508"/>
      <c r="D105" s="1524" t="s">
        <v>1064</v>
      </c>
      <c r="E105" s="1427"/>
      <c r="F105" s="1428"/>
      <c r="G105" s="1429"/>
      <c r="H105" s="1430"/>
      <c r="I105" s="1431"/>
      <c r="J105" s="1512">
        <v>0</v>
      </c>
      <c r="K105" s="1438">
        <f t="shared" si="0"/>
        <v>0</v>
      </c>
      <c r="L105" s="1434"/>
    </row>
    <row r="106" spans="1:12" s="1450" customFormat="1" x14ac:dyDescent="0.3">
      <c r="A106" s="1402">
        <v>95</v>
      </c>
      <c r="B106" s="1439"/>
      <c r="C106" s="1513"/>
      <c r="D106" s="1525" t="s">
        <v>1012</v>
      </c>
      <c r="E106" s="1442"/>
      <c r="F106" s="1443"/>
      <c r="G106" s="1444"/>
      <c r="H106" s="1445"/>
      <c r="I106" s="1446"/>
      <c r="J106" s="1515"/>
      <c r="K106" s="1448">
        <f t="shared" si="0"/>
        <v>0</v>
      </c>
      <c r="L106" s="1449"/>
    </row>
    <row r="107" spans="1:12" s="1459" customFormat="1" x14ac:dyDescent="0.3">
      <c r="A107" s="1402">
        <v>96</v>
      </c>
      <c r="B107" s="1451"/>
      <c r="C107" s="1516"/>
      <c r="D107" s="1524" t="s">
        <v>1116</v>
      </c>
      <c r="E107" s="1453"/>
      <c r="F107" s="1454"/>
      <c r="G107" s="1455"/>
      <c r="H107" s="1456"/>
      <c r="I107" s="1457"/>
      <c r="J107" s="1512">
        <f>SUM(J105:J106)</f>
        <v>0</v>
      </c>
      <c r="K107" s="1438">
        <f t="shared" si="0"/>
        <v>0</v>
      </c>
      <c r="L107" s="1458"/>
    </row>
    <row r="108" spans="1:12" ht="17.25" x14ac:dyDescent="0.35">
      <c r="A108" s="1402">
        <v>97</v>
      </c>
      <c r="B108" s="1412"/>
      <c r="C108" s="1460"/>
      <c r="D108" s="1531" t="s">
        <v>750</v>
      </c>
      <c r="E108" s="1415"/>
      <c r="F108" s="1416"/>
      <c r="G108" s="1417"/>
      <c r="H108" s="1418" t="s">
        <v>23</v>
      </c>
      <c r="I108" s="1419"/>
      <c r="J108" s="1420"/>
      <c r="K108" s="1421"/>
      <c r="L108" s="1422"/>
    </row>
    <row r="109" spans="1:12" ht="16.5" x14ac:dyDescent="0.3">
      <c r="A109" s="1402">
        <v>98</v>
      </c>
      <c r="B109" s="1412"/>
      <c r="C109" s="1413"/>
      <c r="D109" s="1527" t="s">
        <v>475</v>
      </c>
      <c r="E109" s="1415"/>
      <c r="F109" s="1416"/>
      <c r="G109" s="1417"/>
      <c r="H109" s="1418"/>
      <c r="I109" s="1419"/>
      <c r="J109" s="1420"/>
      <c r="K109" s="1421"/>
      <c r="L109" s="1422"/>
    </row>
    <row r="110" spans="1:12" ht="16.5" x14ac:dyDescent="0.3">
      <c r="A110" s="1402">
        <v>99</v>
      </c>
      <c r="B110" s="1412"/>
      <c r="C110" s="1460">
        <v>18</v>
      </c>
      <c r="D110" s="1522" t="s">
        <v>751</v>
      </c>
      <c r="E110" s="1415">
        <f>F110+G110+K114+L111</f>
        <v>9200</v>
      </c>
      <c r="F110" s="1415"/>
      <c r="G110" s="1417"/>
      <c r="H110" s="1418"/>
      <c r="I110" s="1461"/>
      <c r="J110" s="1415"/>
      <c r="K110" s="1462"/>
      <c r="L110" s="1422"/>
    </row>
    <row r="111" spans="1:12" s="1435" customFormat="1" x14ac:dyDescent="0.3">
      <c r="A111" s="1402">
        <v>100</v>
      </c>
      <c r="B111" s="1424"/>
      <c r="C111" s="1508"/>
      <c r="D111" s="1523" t="s">
        <v>311</v>
      </c>
      <c r="E111" s="1427"/>
      <c r="F111" s="1428"/>
      <c r="G111" s="1429"/>
      <c r="H111" s="1430"/>
      <c r="I111" s="1431"/>
      <c r="J111" s="1510">
        <v>9200</v>
      </c>
      <c r="K111" s="1433">
        <f t="shared" ref="K111:K114" si="10">SUM(I111:J111)</f>
        <v>9200</v>
      </c>
      <c r="L111" s="1434"/>
    </row>
    <row r="112" spans="1:12" s="1435" customFormat="1" x14ac:dyDescent="0.3">
      <c r="A112" s="1402">
        <v>101</v>
      </c>
      <c r="B112" s="1424"/>
      <c r="C112" s="1508"/>
      <c r="D112" s="1524" t="s">
        <v>1064</v>
      </c>
      <c r="E112" s="1427"/>
      <c r="F112" s="1428"/>
      <c r="G112" s="1429"/>
      <c r="H112" s="1430"/>
      <c r="I112" s="1431"/>
      <c r="J112" s="1512">
        <v>9200</v>
      </c>
      <c r="K112" s="1438">
        <f t="shared" si="10"/>
        <v>9200</v>
      </c>
      <c r="L112" s="1434"/>
    </row>
    <row r="113" spans="1:12" s="1450" customFormat="1" x14ac:dyDescent="0.3">
      <c r="A113" s="1402">
        <v>102</v>
      </c>
      <c r="B113" s="1439"/>
      <c r="C113" s="1513"/>
      <c r="D113" s="1525" t="s">
        <v>999</v>
      </c>
      <c r="E113" s="1442"/>
      <c r="F113" s="1443"/>
      <c r="G113" s="1444"/>
      <c r="H113" s="1445"/>
      <c r="I113" s="1446"/>
      <c r="J113" s="1515"/>
      <c r="K113" s="1448">
        <f t="shared" si="10"/>
        <v>0</v>
      </c>
      <c r="L113" s="1449"/>
    </row>
    <row r="114" spans="1:12" s="1459" customFormat="1" x14ac:dyDescent="0.3">
      <c r="A114" s="1402">
        <v>103</v>
      </c>
      <c r="B114" s="1451"/>
      <c r="C114" s="1516"/>
      <c r="D114" s="1524" t="s">
        <v>1116</v>
      </c>
      <c r="E114" s="1453"/>
      <c r="F114" s="1454"/>
      <c r="G114" s="1455"/>
      <c r="H114" s="1456"/>
      <c r="I114" s="1457"/>
      <c r="J114" s="1512">
        <f>SUM(J112:J113)</f>
        <v>9200</v>
      </c>
      <c r="K114" s="1438">
        <f t="shared" si="10"/>
        <v>9200</v>
      </c>
      <c r="L114" s="1458"/>
    </row>
    <row r="115" spans="1:12" ht="17.25" x14ac:dyDescent="0.35">
      <c r="A115" s="1402">
        <v>104</v>
      </c>
      <c r="B115" s="1412"/>
      <c r="C115" s="1460"/>
      <c r="D115" s="2149" t="s">
        <v>528</v>
      </c>
      <c r="E115" s="2150"/>
      <c r="F115" s="2151"/>
      <c r="G115" s="1417"/>
      <c r="H115" s="1418" t="s">
        <v>23</v>
      </c>
      <c r="I115" s="1461"/>
      <c r="J115" s="1415"/>
      <c r="K115" s="1462"/>
      <c r="L115" s="1422"/>
    </row>
    <row r="116" spans="1:12" ht="16.5" x14ac:dyDescent="0.3">
      <c r="A116" s="1402">
        <v>105</v>
      </c>
      <c r="B116" s="1412"/>
      <c r="C116" s="1413"/>
      <c r="D116" s="1527" t="s">
        <v>752</v>
      </c>
      <c r="E116" s="1415"/>
      <c r="F116" s="1415"/>
      <c r="G116" s="1417"/>
      <c r="H116" s="1418"/>
      <c r="I116" s="1461"/>
      <c r="J116" s="1415"/>
      <c r="K116" s="1462"/>
      <c r="L116" s="1422"/>
    </row>
    <row r="117" spans="1:12" ht="16.5" x14ac:dyDescent="0.3">
      <c r="A117" s="1402">
        <v>106</v>
      </c>
      <c r="B117" s="1412"/>
      <c r="C117" s="1460">
        <v>19</v>
      </c>
      <c r="D117" s="1522" t="s">
        <v>753</v>
      </c>
      <c r="E117" s="1415">
        <f>F117+G117+K121+L118</f>
        <v>2470</v>
      </c>
      <c r="F117" s="1415"/>
      <c r="G117" s="1417">
        <v>2394</v>
      </c>
      <c r="H117" s="1418"/>
      <c r="I117" s="1461"/>
      <c r="J117" s="1415"/>
      <c r="K117" s="1462"/>
      <c r="L117" s="1422"/>
    </row>
    <row r="118" spans="1:12" s="1435" customFormat="1" x14ac:dyDescent="0.3">
      <c r="A118" s="1402">
        <v>107</v>
      </c>
      <c r="B118" s="1424"/>
      <c r="C118" s="1508"/>
      <c r="D118" s="1523" t="s">
        <v>311</v>
      </c>
      <c r="E118" s="1427"/>
      <c r="F118" s="1428"/>
      <c r="G118" s="1429"/>
      <c r="H118" s="1430"/>
      <c r="I118" s="1431"/>
      <c r="J118" s="1510">
        <v>106</v>
      </c>
      <c r="K118" s="1433">
        <f t="shared" ref="K118:K121" si="11">SUM(I118:J118)</f>
        <v>106</v>
      </c>
      <c r="L118" s="1434"/>
    </row>
    <row r="119" spans="1:12" s="1435" customFormat="1" x14ac:dyDescent="0.3">
      <c r="A119" s="1402">
        <v>108</v>
      </c>
      <c r="B119" s="1424"/>
      <c r="C119" s="1508"/>
      <c r="D119" s="1524" t="s">
        <v>1064</v>
      </c>
      <c r="E119" s="1427"/>
      <c r="F119" s="1428"/>
      <c r="G119" s="1429"/>
      <c r="H119" s="1430"/>
      <c r="I119" s="1431"/>
      <c r="J119" s="1512">
        <v>76</v>
      </c>
      <c r="K119" s="1438">
        <f t="shared" si="11"/>
        <v>76</v>
      </c>
      <c r="L119" s="1434"/>
    </row>
    <row r="120" spans="1:12" s="1450" customFormat="1" x14ac:dyDescent="0.3">
      <c r="A120" s="1402">
        <v>109</v>
      </c>
      <c r="B120" s="1439"/>
      <c r="C120" s="1513"/>
      <c r="D120" s="1525" t="s">
        <v>1012</v>
      </c>
      <c r="E120" s="1442"/>
      <c r="F120" s="1443"/>
      <c r="G120" s="1444"/>
      <c r="H120" s="1445"/>
      <c r="I120" s="1446"/>
      <c r="J120" s="1515"/>
      <c r="K120" s="1448">
        <f t="shared" si="11"/>
        <v>0</v>
      </c>
      <c r="L120" s="1449"/>
    </row>
    <row r="121" spans="1:12" s="1459" customFormat="1" x14ac:dyDescent="0.3">
      <c r="A121" s="1402">
        <v>110</v>
      </c>
      <c r="B121" s="1451"/>
      <c r="C121" s="1516"/>
      <c r="D121" s="1524" t="s">
        <v>1116</v>
      </c>
      <c r="E121" s="1453"/>
      <c r="F121" s="1454"/>
      <c r="G121" s="1455"/>
      <c r="H121" s="1456"/>
      <c r="I121" s="1457"/>
      <c r="J121" s="1512">
        <f>SUM(J119:J120)</f>
        <v>76</v>
      </c>
      <c r="K121" s="1438">
        <f t="shared" si="11"/>
        <v>76</v>
      </c>
      <c r="L121" s="1458"/>
    </row>
    <row r="122" spans="1:12" ht="17.25" x14ac:dyDescent="0.35">
      <c r="A122" s="1402">
        <v>111</v>
      </c>
      <c r="B122" s="1412"/>
      <c r="C122" s="1460"/>
      <c r="D122" s="1529" t="s">
        <v>25</v>
      </c>
      <c r="E122" s="1415"/>
      <c r="F122" s="1415"/>
      <c r="G122" s="1417"/>
      <c r="H122" s="1418" t="s">
        <v>23</v>
      </c>
      <c r="I122" s="1461"/>
      <c r="J122" s="1415"/>
      <c r="K122" s="1462"/>
      <c r="L122" s="1422"/>
    </row>
    <row r="123" spans="1:12" ht="16.5" x14ac:dyDescent="0.3">
      <c r="A123" s="1402">
        <v>112</v>
      </c>
      <c r="B123" s="1412"/>
      <c r="C123" s="1460">
        <v>20</v>
      </c>
      <c r="D123" s="1522" t="s">
        <v>952</v>
      </c>
      <c r="E123" s="1415">
        <f>F123+G123+K127+L124</f>
        <v>8396</v>
      </c>
      <c r="F123" s="1416"/>
      <c r="G123" s="1417"/>
      <c r="H123" s="1532"/>
      <c r="I123" s="1461"/>
      <c r="J123" s="1415"/>
      <c r="K123" s="1462"/>
      <c r="L123" s="1422"/>
    </row>
    <row r="124" spans="1:12" s="1435" customFormat="1" x14ac:dyDescent="0.3">
      <c r="A124" s="1402">
        <v>113</v>
      </c>
      <c r="B124" s="1424"/>
      <c r="C124" s="1508"/>
      <c r="D124" s="1523" t="s">
        <v>311</v>
      </c>
      <c r="E124" s="1427"/>
      <c r="F124" s="1428"/>
      <c r="G124" s="1429"/>
      <c r="H124" s="1430"/>
      <c r="I124" s="1431"/>
      <c r="J124" s="1510">
        <v>8020</v>
      </c>
      <c r="K124" s="1433">
        <f t="shared" ref="K124:K130" si="12">SUM(I124:J124)</f>
        <v>8020</v>
      </c>
      <c r="L124" s="1434"/>
    </row>
    <row r="125" spans="1:12" s="1435" customFormat="1" x14ac:dyDescent="0.3">
      <c r="A125" s="1402">
        <v>114</v>
      </c>
      <c r="B125" s="1424"/>
      <c r="C125" s="1508"/>
      <c r="D125" s="1524" t="s">
        <v>1064</v>
      </c>
      <c r="E125" s="1427"/>
      <c r="F125" s="1428"/>
      <c r="G125" s="1429"/>
      <c r="H125" s="1430"/>
      <c r="I125" s="1431"/>
      <c r="J125" s="1512">
        <v>8396</v>
      </c>
      <c r="K125" s="1438">
        <f t="shared" si="12"/>
        <v>8396</v>
      </c>
      <c r="L125" s="1434"/>
    </row>
    <row r="126" spans="1:12" s="1450" customFormat="1" x14ac:dyDescent="0.3">
      <c r="A126" s="1402">
        <v>115</v>
      </c>
      <c r="B126" s="1439"/>
      <c r="C126" s="1513"/>
      <c r="D126" s="1525" t="s">
        <v>1012</v>
      </c>
      <c r="E126" s="1442"/>
      <c r="F126" s="1443"/>
      <c r="G126" s="1444"/>
      <c r="H126" s="1445"/>
      <c r="I126" s="1446"/>
      <c r="J126" s="1515"/>
      <c r="K126" s="1448">
        <f t="shared" si="12"/>
        <v>0</v>
      </c>
      <c r="L126" s="1449"/>
    </row>
    <row r="127" spans="1:12" s="1459" customFormat="1" x14ac:dyDescent="0.3">
      <c r="A127" s="1402">
        <v>116</v>
      </c>
      <c r="B127" s="1451"/>
      <c r="C127" s="1516"/>
      <c r="D127" s="1524" t="s">
        <v>1116</v>
      </c>
      <c r="E127" s="1453"/>
      <c r="F127" s="1454"/>
      <c r="G127" s="1455"/>
      <c r="H127" s="1456"/>
      <c r="I127" s="1457"/>
      <c r="J127" s="1512">
        <f>SUM(J125:J126)</f>
        <v>8396</v>
      </c>
      <c r="K127" s="1438">
        <f t="shared" si="12"/>
        <v>8396</v>
      </c>
      <c r="L127" s="1458"/>
    </row>
    <row r="128" spans="1:12" ht="16.5" x14ac:dyDescent="0.3">
      <c r="A128" s="1402">
        <v>117</v>
      </c>
      <c r="B128" s="1451"/>
      <c r="C128" s="1460">
        <v>21</v>
      </c>
      <c r="D128" s="1522" t="s">
        <v>754</v>
      </c>
      <c r="E128" s="1415">
        <f>F128+G128+K132+L129</f>
        <v>0</v>
      </c>
      <c r="F128" s="1454"/>
      <c r="G128" s="1455"/>
      <c r="H128" s="1456"/>
      <c r="I128" s="1457"/>
      <c r="J128" s="1512"/>
      <c r="K128" s="1438"/>
      <c r="L128" s="1458"/>
    </row>
    <row r="129" spans="1:12" s="1435" customFormat="1" x14ac:dyDescent="0.3">
      <c r="A129" s="1402">
        <v>118</v>
      </c>
      <c r="B129" s="1451"/>
      <c r="C129" s="1516"/>
      <c r="D129" s="1523" t="s">
        <v>311</v>
      </c>
      <c r="E129" s="1453"/>
      <c r="F129" s="1454"/>
      <c r="G129" s="1455"/>
      <c r="H129" s="1456"/>
      <c r="I129" s="1457"/>
      <c r="J129" s="1510">
        <v>1500</v>
      </c>
      <c r="K129" s="1433">
        <f t="shared" si="12"/>
        <v>1500</v>
      </c>
      <c r="L129" s="1458"/>
    </row>
    <row r="130" spans="1:12" s="1435" customFormat="1" x14ac:dyDescent="0.3">
      <c r="A130" s="1402">
        <v>119</v>
      </c>
      <c r="B130" s="1451"/>
      <c r="C130" s="1516"/>
      <c r="D130" s="1524" t="s">
        <v>1064</v>
      </c>
      <c r="E130" s="1453"/>
      <c r="F130" s="1454"/>
      <c r="G130" s="1455"/>
      <c r="H130" s="1456"/>
      <c r="I130" s="1457"/>
      <c r="J130" s="1512">
        <v>0</v>
      </c>
      <c r="K130" s="1438">
        <f t="shared" si="12"/>
        <v>0</v>
      </c>
      <c r="L130" s="1458"/>
    </row>
    <row r="131" spans="1:12" s="1450" customFormat="1" x14ac:dyDescent="0.3">
      <c r="A131" s="1402">
        <v>120</v>
      </c>
      <c r="B131" s="1451"/>
      <c r="C131" s="1516"/>
      <c r="D131" s="1525" t="s">
        <v>1012</v>
      </c>
      <c r="E131" s="1453"/>
      <c r="F131" s="1454"/>
      <c r="G131" s="1455"/>
      <c r="H131" s="1456"/>
      <c r="I131" s="1457"/>
      <c r="J131" s="1512"/>
      <c r="K131" s="1438"/>
      <c r="L131" s="1458"/>
    </row>
    <row r="132" spans="1:12" s="1459" customFormat="1" x14ac:dyDescent="0.3">
      <c r="A132" s="1402">
        <v>121</v>
      </c>
      <c r="B132" s="1451"/>
      <c r="C132" s="1516"/>
      <c r="D132" s="1524" t="s">
        <v>1116</v>
      </c>
      <c r="E132" s="1453"/>
      <c r="F132" s="1454"/>
      <c r="G132" s="1455"/>
      <c r="H132" s="1456"/>
      <c r="I132" s="1457"/>
      <c r="J132" s="1925">
        <f>SUM(J130:J131)</f>
        <v>0</v>
      </c>
      <c r="K132" s="1512">
        <f>SUM(K130:K131)</f>
        <v>0</v>
      </c>
      <c r="L132" s="1458"/>
    </row>
    <row r="133" spans="1:12" ht="34.5" x14ac:dyDescent="0.35">
      <c r="A133" s="1402">
        <v>122</v>
      </c>
      <c r="B133" s="1412"/>
      <c r="C133" s="1460">
        <v>22</v>
      </c>
      <c r="D133" s="1529" t="s">
        <v>1218</v>
      </c>
      <c r="E133" s="1415">
        <f>F133+G133+K135</f>
        <v>5000</v>
      </c>
      <c r="F133" s="1416"/>
      <c r="G133" s="1417"/>
      <c r="H133" s="1532"/>
      <c r="I133" s="1461"/>
      <c r="J133" s="1415"/>
      <c r="K133" s="1462"/>
      <c r="L133" s="1422"/>
    </row>
    <row r="134" spans="1:12" s="1435" customFormat="1" x14ac:dyDescent="0.3">
      <c r="A134" s="1402">
        <v>123</v>
      </c>
      <c r="B134" s="1439"/>
      <c r="C134" s="1513"/>
      <c r="D134" s="1525" t="s">
        <v>990</v>
      </c>
      <c r="E134" s="1442"/>
      <c r="F134" s="1443"/>
      <c r="G134" s="1444"/>
      <c r="H134" s="1445"/>
      <c r="I134" s="1446"/>
      <c r="J134" s="1515">
        <v>5000</v>
      </c>
      <c r="K134" s="1926">
        <f t="shared" ref="K134:K135" si="13">SUM(I134:J134)</f>
        <v>5000</v>
      </c>
      <c r="L134" s="1449"/>
    </row>
    <row r="135" spans="1:12" s="1435" customFormat="1" ht="15.75" thickBot="1" x14ac:dyDescent="0.35">
      <c r="A135" s="1402">
        <v>124</v>
      </c>
      <c r="B135" s="1451"/>
      <c r="C135" s="1516"/>
      <c r="D135" s="1524" t="s">
        <v>1116</v>
      </c>
      <c r="E135" s="1453"/>
      <c r="F135" s="1454"/>
      <c r="G135" s="1455"/>
      <c r="H135" s="1456"/>
      <c r="I135" s="1457"/>
      <c r="J135" s="1512">
        <f>SUM(J134:J134)</f>
        <v>5000</v>
      </c>
      <c r="K135" s="1438">
        <f t="shared" si="13"/>
        <v>5000</v>
      </c>
      <c r="L135" s="1458"/>
    </row>
    <row r="136" spans="1:12" s="1450" customFormat="1" x14ac:dyDescent="0.3">
      <c r="A136" s="1402">
        <v>125</v>
      </c>
      <c r="B136" s="2146" t="s">
        <v>13</v>
      </c>
      <c r="C136" s="2147"/>
      <c r="D136" s="2147"/>
      <c r="E136" s="2147"/>
      <c r="F136" s="2147"/>
      <c r="G136" s="2148"/>
      <c r="H136" s="1491"/>
      <c r="I136" s="1492"/>
      <c r="J136" s="1492"/>
      <c r="K136" s="1533"/>
      <c r="L136" s="1493"/>
    </row>
    <row r="137" spans="1:12" s="1459" customFormat="1" x14ac:dyDescent="0.3">
      <c r="A137" s="1402">
        <v>126</v>
      </c>
      <c r="B137" s="1424"/>
      <c r="C137" s="1508"/>
      <c r="D137" s="1509" t="s">
        <v>311</v>
      </c>
      <c r="E137" s="1427"/>
      <c r="F137" s="1428"/>
      <c r="G137" s="1429"/>
      <c r="H137" s="1430"/>
      <c r="I137" s="1534">
        <f>SUM(I14,I19,I24,I29,I34,I39,I44,I49,I55,I61,I67,I74,I80,I87,I92,I99,I104,I111,I118,I124,)</f>
        <v>300</v>
      </c>
      <c r="J137" s="1510">
        <f>SUM(J14,J19,J24,J29,J34,J39,J44,J49,J55,J61,J67,J74,J80,J87,J92,J99,J104,J111,J118,J124,J129)</f>
        <v>319939</v>
      </c>
      <c r="K137" s="1433">
        <f t="shared" ref="K137:K140" si="14">SUM(I137:J137)</f>
        <v>320239</v>
      </c>
      <c r="L137" s="1434"/>
    </row>
    <row r="138" spans="1:12" x14ac:dyDescent="0.3">
      <c r="A138" s="1402">
        <v>127</v>
      </c>
      <c r="B138" s="1424"/>
      <c r="C138" s="1508"/>
      <c r="D138" s="1511" t="s">
        <v>1064</v>
      </c>
      <c r="E138" s="1427"/>
      <c r="F138" s="1428"/>
      <c r="G138" s="1429"/>
      <c r="H138" s="1430"/>
      <c r="I138" s="1457">
        <f>SUM(I15,I20,I25,I30,I35,I40,I45,I50,I56,I62,I68,I75,I81,I88,I93,I100,I105,I112,I119,I125,)</f>
        <v>18</v>
      </c>
      <c r="J138" s="1512">
        <f>SUM(J15,J20,J25,J30,J35,J40,J45,J50,J56,J62,J68,J75,J81,J88,J93,J100,J105,J112,J119,J125,)</f>
        <v>155119</v>
      </c>
      <c r="K138" s="1438">
        <f>SUM(I138:J138)</f>
        <v>155137</v>
      </c>
      <c r="L138" s="1434"/>
    </row>
    <row r="139" spans="1:12" x14ac:dyDescent="0.3">
      <c r="A139" s="1402">
        <v>128</v>
      </c>
      <c r="B139" s="1439"/>
      <c r="C139" s="1513"/>
      <c r="D139" s="1514" t="s">
        <v>999</v>
      </c>
      <c r="E139" s="1442"/>
      <c r="F139" s="1443"/>
      <c r="G139" s="1444"/>
      <c r="H139" s="1445"/>
      <c r="I139" s="1446">
        <f>SUM(I16,I21,I26,I31,I36,I41,I46,I51,I57,I63,I69,I76,I82,I89,I94,I101,I106,I113,I120,I126,I134)</f>
        <v>0</v>
      </c>
      <c r="J139" s="1515">
        <f>SUM(J16,J21,J26,J31,J36,J41,J46,J51,J57,J63,J69,J76,J82,J89,J94,J101,J106,J113,J120,J126,J134)</f>
        <v>5000</v>
      </c>
      <c r="K139" s="1926">
        <f>SUM(I139:J139)</f>
        <v>5000</v>
      </c>
      <c r="L139" s="1449"/>
    </row>
    <row r="140" spans="1:12" ht="15.75" thickBot="1" x14ac:dyDescent="0.35">
      <c r="A140" s="1402">
        <v>129</v>
      </c>
      <c r="B140" s="1484"/>
      <c r="C140" s="1535"/>
      <c r="D140" s="1536" t="s">
        <v>1116</v>
      </c>
      <c r="E140" s="1486"/>
      <c r="F140" s="1487"/>
      <c r="G140" s="1495"/>
      <c r="H140" s="1496"/>
      <c r="I140" s="1497">
        <f>SUM(I138:I139)</f>
        <v>18</v>
      </c>
      <c r="J140" s="1537">
        <f>SUM(J138:J139)</f>
        <v>160119</v>
      </c>
      <c r="K140" s="1498">
        <f t="shared" si="14"/>
        <v>160137</v>
      </c>
      <c r="L140" s="1499"/>
    </row>
    <row r="141" spans="1:12" x14ac:dyDescent="0.3">
      <c r="B141" s="1538" t="s">
        <v>27</v>
      </c>
      <c r="C141" s="1538"/>
      <c r="D141" s="1538"/>
      <c r="E141" s="1501"/>
      <c r="F141" s="1502"/>
      <c r="G141" s="1501"/>
      <c r="H141" s="1539"/>
      <c r="I141" s="1501"/>
      <c r="J141" s="1501"/>
      <c r="K141" s="1501"/>
    </row>
    <row r="142" spans="1:12" x14ac:dyDescent="0.3">
      <c r="B142" s="1538" t="s">
        <v>28</v>
      </c>
      <c r="C142" s="1538"/>
      <c r="D142" s="1538"/>
      <c r="E142" s="1540"/>
      <c r="F142" s="1502"/>
      <c r="G142" s="1501"/>
      <c r="H142" s="1539"/>
      <c r="I142" s="1501"/>
      <c r="J142" s="1501"/>
      <c r="K142" s="1501"/>
    </row>
    <row r="143" spans="1:12" x14ac:dyDescent="0.3">
      <c r="B143" s="1538" t="s">
        <v>29</v>
      </c>
      <c r="C143" s="1538"/>
      <c r="D143" s="1538"/>
      <c r="E143" s="1540"/>
      <c r="F143" s="1502"/>
      <c r="G143" s="1501"/>
      <c r="H143" s="1539"/>
      <c r="I143" s="1501"/>
      <c r="J143" s="1501"/>
      <c r="K143" s="1501"/>
    </row>
  </sheetData>
  <mergeCells count="16">
    <mergeCell ref="B136:G136"/>
    <mergeCell ref="D115:F115"/>
    <mergeCell ref="B1:D1"/>
    <mergeCell ref="I1:L1"/>
    <mergeCell ref="B5:L5"/>
    <mergeCell ref="B6:L6"/>
    <mergeCell ref="B9:B11"/>
    <mergeCell ref="C9:C11"/>
    <mergeCell ref="D9:D11"/>
    <mergeCell ref="E9:E11"/>
    <mergeCell ref="F9:F11"/>
    <mergeCell ref="G9:G11"/>
    <mergeCell ref="I9:K9"/>
    <mergeCell ref="H9:H11"/>
    <mergeCell ref="L9:L11"/>
    <mergeCell ref="K10:K11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56" fitToHeight="0" orientation="portrait" r:id="rId1"/>
  <headerFooter>
    <oddFooter>&amp;C- &amp;P -</oddFooter>
  </headerFooter>
  <rowBreaks count="1" manualBreakCount="1">
    <brk id="68" max="11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A215"/>
  <sheetViews>
    <sheetView view="pageBreakPreview" topLeftCell="A208" zoomScale="85" zoomScaleNormal="100" zoomScaleSheetLayoutView="85" workbookViewId="0">
      <selection activeCell="A212" sqref="A212"/>
    </sheetView>
  </sheetViews>
  <sheetFormatPr defaultColWidth="9.140625" defaultRowHeight="17.25" x14ac:dyDescent="0.35"/>
  <cols>
    <col min="1" max="1" width="5" style="268" customWidth="1"/>
    <col min="2" max="3" width="5.7109375" style="300" customWidth="1"/>
    <col min="4" max="4" width="62.7109375" style="148" customWidth="1"/>
    <col min="5" max="5" width="12.7109375" style="349" customWidth="1"/>
    <col min="6" max="7" width="10.7109375" style="299" customWidth="1"/>
    <col min="8" max="8" width="6.7109375" style="271" customWidth="1"/>
    <col min="9" max="14" width="14.85546875" style="299" customWidth="1"/>
    <col min="15" max="15" width="15.7109375" style="273" customWidth="1"/>
    <col min="16" max="16" width="13.85546875" style="299" customWidth="1"/>
    <col min="17" max="16384" width="9.140625" style="148"/>
  </cols>
  <sheetData>
    <row r="1" spans="1:261" ht="18" customHeight="1" x14ac:dyDescent="0.3">
      <c r="A1" s="2154" t="s">
        <v>977</v>
      </c>
      <c r="B1" s="2154"/>
      <c r="C1" s="2154"/>
      <c r="D1" s="2154"/>
      <c r="E1" s="217"/>
      <c r="F1" s="217"/>
      <c r="G1" s="217"/>
      <c r="H1" s="269"/>
      <c r="I1" s="2122"/>
      <c r="J1" s="2122"/>
      <c r="K1" s="2122"/>
      <c r="L1" s="2122"/>
      <c r="M1" s="2122"/>
      <c r="N1" s="2122"/>
      <c r="O1" s="2122"/>
      <c r="P1" s="2122"/>
      <c r="Q1" s="270"/>
      <c r="R1" s="270"/>
      <c r="S1" s="270"/>
      <c r="T1" s="270"/>
      <c r="U1" s="270"/>
      <c r="V1" s="270"/>
      <c r="W1" s="270"/>
      <c r="X1" s="270"/>
      <c r="Y1" s="270"/>
      <c r="Z1" s="270"/>
      <c r="AA1" s="270"/>
      <c r="AB1" s="270"/>
      <c r="AC1" s="270"/>
      <c r="AD1" s="270"/>
      <c r="AE1" s="270"/>
      <c r="AF1" s="270"/>
      <c r="AG1" s="270"/>
      <c r="AH1" s="270"/>
      <c r="AI1" s="270"/>
      <c r="AJ1" s="270"/>
      <c r="AK1" s="270"/>
      <c r="AL1" s="270"/>
      <c r="AM1" s="270"/>
      <c r="AN1" s="270"/>
      <c r="AO1" s="270"/>
      <c r="AP1" s="270"/>
      <c r="AQ1" s="270"/>
      <c r="AR1" s="270"/>
      <c r="AS1" s="270"/>
      <c r="AT1" s="270"/>
      <c r="AU1" s="270"/>
      <c r="AV1" s="270"/>
      <c r="AW1" s="270"/>
      <c r="AX1" s="270"/>
      <c r="AY1" s="270"/>
      <c r="AZ1" s="270"/>
      <c r="BA1" s="270"/>
      <c r="BB1" s="270"/>
      <c r="BC1" s="270"/>
      <c r="BD1" s="270"/>
      <c r="BE1" s="270"/>
      <c r="BF1" s="270"/>
      <c r="BG1" s="270"/>
      <c r="BH1" s="270"/>
      <c r="BI1" s="270"/>
      <c r="BJ1" s="270"/>
      <c r="BK1" s="270"/>
      <c r="BL1" s="270"/>
      <c r="BM1" s="270"/>
      <c r="BN1" s="270"/>
      <c r="BO1" s="270"/>
      <c r="BP1" s="270"/>
      <c r="BQ1" s="270"/>
      <c r="BR1" s="270"/>
      <c r="BS1" s="270"/>
      <c r="BT1" s="270"/>
      <c r="BU1" s="270"/>
      <c r="BV1" s="270"/>
      <c r="BW1" s="270"/>
      <c r="BX1" s="270"/>
      <c r="BY1" s="270"/>
      <c r="BZ1" s="270"/>
      <c r="CA1" s="270"/>
      <c r="CB1" s="270"/>
      <c r="CC1" s="270"/>
      <c r="CD1" s="270"/>
      <c r="CE1" s="270"/>
      <c r="CF1" s="270"/>
      <c r="CG1" s="270"/>
      <c r="CH1" s="270"/>
      <c r="CI1" s="270"/>
      <c r="CJ1" s="270"/>
      <c r="CK1" s="270"/>
      <c r="CL1" s="270"/>
      <c r="CM1" s="270"/>
      <c r="CN1" s="270"/>
      <c r="CO1" s="270"/>
      <c r="CP1" s="270"/>
      <c r="CQ1" s="270"/>
      <c r="CR1" s="270"/>
      <c r="CS1" s="270"/>
      <c r="CT1" s="270"/>
      <c r="CU1" s="270"/>
      <c r="CV1" s="270"/>
      <c r="CW1" s="270"/>
      <c r="CX1" s="270"/>
      <c r="CY1" s="270"/>
      <c r="CZ1" s="270"/>
      <c r="DA1" s="270"/>
      <c r="DB1" s="270"/>
      <c r="DC1" s="270"/>
      <c r="DD1" s="270"/>
      <c r="DE1" s="270"/>
      <c r="DF1" s="270"/>
      <c r="DG1" s="270"/>
      <c r="DH1" s="270"/>
      <c r="DI1" s="270"/>
      <c r="DJ1" s="270"/>
      <c r="DK1" s="270"/>
      <c r="DL1" s="270"/>
      <c r="DM1" s="270"/>
      <c r="DN1" s="270"/>
      <c r="DO1" s="270"/>
      <c r="DP1" s="270"/>
      <c r="DQ1" s="270"/>
      <c r="DR1" s="270"/>
      <c r="DS1" s="270"/>
      <c r="DT1" s="270"/>
      <c r="DU1" s="270"/>
      <c r="DV1" s="270"/>
      <c r="DW1" s="270"/>
      <c r="DX1" s="270"/>
      <c r="DY1" s="270"/>
      <c r="DZ1" s="270"/>
      <c r="EA1" s="270"/>
      <c r="EB1" s="270"/>
      <c r="EC1" s="270"/>
      <c r="ED1" s="270"/>
      <c r="EE1" s="270"/>
      <c r="EF1" s="270"/>
      <c r="EG1" s="270"/>
      <c r="EH1" s="270"/>
      <c r="EI1" s="270"/>
      <c r="EJ1" s="270"/>
      <c r="EK1" s="270"/>
      <c r="EL1" s="270"/>
      <c r="EM1" s="270"/>
      <c r="EN1" s="270"/>
      <c r="EO1" s="270"/>
      <c r="EP1" s="270"/>
      <c r="EQ1" s="270"/>
      <c r="ER1" s="270"/>
      <c r="ES1" s="270"/>
      <c r="ET1" s="270"/>
      <c r="EU1" s="270"/>
      <c r="EV1" s="270"/>
      <c r="EW1" s="270"/>
      <c r="EX1" s="270"/>
      <c r="EY1" s="270"/>
      <c r="EZ1" s="270"/>
      <c r="FA1" s="270"/>
      <c r="FB1" s="270"/>
      <c r="FC1" s="270"/>
      <c r="FD1" s="270"/>
      <c r="FE1" s="270"/>
      <c r="FF1" s="270"/>
      <c r="FG1" s="270"/>
      <c r="FH1" s="270"/>
      <c r="FI1" s="270"/>
      <c r="FJ1" s="270"/>
      <c r="FK1" s="270"/>
      <c r="FL1" s="270"/>
      <c r="FM1" s="270"/>
      <c r="FN1" s="270"/>
      <c r="FO1" s="270"/>
      <c r="FP1" s="270"/>
      <c r="FQ1" s="270"/>
      <c r="FR1" s="270"/>
      <c r="FS1" s="270"/>
      <c r="FT1" s="270"/>
      <c r="FU1" s="270"/>
      <c r="FV1" s="270"/>
      <c r="FW1" s="270"/>
      <c r="FX1" s="270"/>
      <c r="FY1" s="270"/>
      <c r="FZ1" s="270"/>
      <c r="GA1" s="270"/>
      <c r="GB1" s="270"/>
      <c r="GC1" s="270"/>
      <c r="GD1" s="270"/>
      <c r="GE1" s="270"/>
      <c r="GF1" s="270"/>
      <c r="GG1" s="270"/>
      <c r="GH1" s="270"/>
      <c r="GI1" s="270"/>
      <c r="GJ1" s="270"/>
      <c r="GK1" s="270"/>
      <c r="GL1" s="270"/>
      <c r="GM1" s="270"/>
      <c r="GN1" s="270"/>
      <c r="GO1" s="270"/>
      <c r="GP1" s="270"/>
      <c r="GQ1" s="270"/>
      <c r="GR1" s="270"/>
      <c r="GS1" s="270"/>
      <c r="GT1" s="270"/>
      <c r="GU1" s="270"/>
      <c r="GV1" s="270"/>
      <c r="GW1" s="270"/>
      <c r="GX1" s="270"/>
      <c r="GY1" s="270"/>
      <c r="GZ1" s="270"/>
      <c r="HA1" s="270"/>
      <c r="HB1" s="270"/>
      <c r="HC1" s="270"/>
      <c r="HD1" s="270"/>
      <c r="HE1" s="270"/>
      <c r="HF1" s="270"/>
      <c r="HG1" s="270"/>
      <c r="HH1" s="270"/>
      <c r="HI1" s="270"/>
      <c r="HJ1" s="270"/>
      <c r="HK1" s="270"/>
      <c r="HL1" s="270"/>
      <c r="HM1" s="270"/>
      <c r="HN1" s="270"/>
      <c r="HO1" s="270"/>
      <c r="HP1" s="270"/>
      <c r="HQ1" s="270"/>
      <c r="HR1" s="270"/>
      <c r="HS1" s="270"/>
      <c r="HT1" s="270"/>
      <c r="HU1" s="270"/>
      <c r="HV1" s="270"/>
      <c r="HW1" s="270"/>
      <c r="HX1" s="270"/>
      <c r="HY1" s="270"/>
      <c r="HZ1" s="270"/>
      <c r="IA1" s="270"/>
      <c r="IB1" s="270"/>
      <c r="IC1" s="270"/>
      <c r="ID1" s="270"/>
      <c r="IE1" s="270"/>
      <c r="IF1" s="270"/>
      <c r="IG1" s="270"/>
      <c r="IH1" s="270"/>
      <c r="II1" s="270"/>
      <c r="IJ1" s="270"/>
      <c r="IK1" s="270"/>
      <c r="IL1" s="270"/>
      <c r="IM1" s="270"/>
      <c r="IN1" s="270"/>
      <c r="IO1" s="270"/>
      <c r="IP1" s="270"/>
    </row>
    <row r="2" spans="1:261" ht="18" customHeight="1" x14ac:dyDescent="0.3">
      <c r="A2" s="470" t="s">
        <v>1049</v>
      </c>
      <c r="B2" s="470"/>
      <c r="C2" s="470"/>
      <c r="D2" s="470"/>
      <c r="E2" s="217"/>
      <c r="F2" s="217"/>
      <c r="G2" s="217"/>
      <c r="H2" s="269"/>
      <c r="I2" s="469"/>
      <c r="J2" s="469"/>
      <c r="K2" s="469"/>
      <c r="L2" s="469"/>
      <c r="M2" s="469"/>
      <c r="N2" s="469"/>
      <c r="O2" s="469"/>
      <c r="P2" s="469"/>
      <c r="Q2" s="270"/>
      <c r="R2" s="270"/>
      <c r="S2" s="270"/>
      <c r="T2" s="270"/>
      <c r="U2" s="270"/>
      <c r="V2" s="270"/>
      <c r="W2" s="270"/>
      <c r="X2" s="270"/>
      <c r="Y2" s="270"/>
      <c r="Z2" s="270"/>
      <c r="AA2" s="270"/>
      <c r="AB2" s="270"/>
      <c r="AC2" s="270"/>
      <c r="AD2" s="270"/>
      <c r="AE2" s="270"/>
      <c r="AF2" s="270"/>
      <c r="AG2" s="270"/>
      <c r="AH2" s="270"/>
      <c r="AI2" s="270"/>
      <c r="AJ2" s="270"/>
      <c r="AK2" s="270"/>
      <c r="AL2" s="270"/>
      <c r="AM2" s="270"/>
      <c r="AN2" s="270"/>
      <c r="AO2" s="270"/>
      <c r="AP2" s="270"/>
      <c r="AQ2" s="270"/>
      <c r="AR2" s="270"/>
      <c r="AS2" s="270"/>
      <c r="AT2" s="270"/>
      <c r="AU2" s="270"/>
      <c r="AV2" s="270"/>
      <c r="AW2" s="270"/>
      <c r="AX2" s="270"/>
      <c r="AY2" s="270"/>
      <c r="AZ2" s="270"/>
      <c r="BA2" s="270"/>
      <c r="BB2" s="270"/>
      <c r="BC2" s="270"/>
      <c r="BD2" s="270"/>
      <c r="BE2" s="270"/>
      <c r="BF2" s="270"/>
      <c r="BG2" s="270"/>
      <c r="BH2" s="270"/>
      <c r="BI2" s="270"/>
      <c r="BJ2" s="270"/>
      <c r="BK2" s="270"/>
      <c r="BL2" s="270"/>
      <c r="BM2" s="270"/>
      <c r="BN2" s="270"/>
      <c r="BO2" s="270"/>
      <c r="BP2" s="270"/>
      <c r="BQ2" s="270"/>
      <c r="BR2" s="270"/>
      <c r="BS2" s="270"/>
      <c r="BT2" s="270"/>
      <c r="BU2" s="270"/>
      <c r="BV2" s="270"/>
      <c r="BW2" s="270"/>
      <c r="BX2" s="270"/>
      <c r="BY2" s="270"/>
      <c r="BZ2" s="270"/>
      <c r="CA2" s="270"/>
      <c r="CB2" s="270"/>
      <c r="CC2" s="270"/>
      <c r="CD2" s="270"/>
      <c r="CE2" s="270"/>
      <c r="CF2" s="270"/>
      <c r="CG2" s="270"/>
      <c r="CH2" s="270"/>
      <c r="CI2" s="270"/>
      <c r="CJ2" s="270"/>
      <c r="CK2" s="270"/>
      <c r="CL2" s="270"/>
      <c r="CM2" s="270"/>
      <c r="CN2" s="270"/>
      <c r="CO2" s="270"/>
      <c r="CP2" s="270"/>
      <c r="CQ2" s="270"/>
      <c r="CR2" s="270"/>
      <c r="CS2" s="270"/>
      <c r="CT2" s="270"/>
      <c r="CU2" s="270"/>
      <c r="CV2" s="270"/>
      <c r="CW2" s="270"/>
      <c r="CX2" s="270"/>
      <c r="CY2" s="270"/>
      <c r="CZ2" s="270"/>
      <c r="DA2" s="270"/>
      <c r="DB2" s="270"/>
      <c r="DC2" s="270"/>
      <c r="DD2" s="270"/>
      <c r="DE2" s="270"/>
      <c r="DF2" s="270"/>
      <c r="DG2" s="270"/>
      <c r="DH2" s="270"/>
      <c r="DI2" s="270"/>
      <c r="DJ2" s="270"/>
      <c r="DK2" s="270"/>
      <c r="DL2" s="270"/>
      <c r="DM2" s="270"/>
      <c r="DN2" s="270"/>
      <c r="DO2" s="270"/>
      <c r="DP2" s="270"/>
      <c r="DQ2" s="270"/>
      <c r="DR2" s="270"/>
      <c r="DS2" s="270"/>
      <c r="DT2" s="270"/>
      <c r="DU2" s="270"/>
      <c r="DV2" s="270"/>
      <c r="DW2" s="270"/>
      <c r="DX2" s="270"/>
      <c r="DY2" s="270"/>
      <c r="DZ2" s="270"/>
      <c r="EA2" s="270"/>
      <c r="EB2" s="270"/>
      <c r="EC2" s="270"/>
      <c r="ED2" s="270"/>
      <c r="EE2" s="270"/>
      <c r="EF2" s="270"/>
      <c r="EG2" s="270"/>
      <c r="EH2" s="270"/>
      <c r="EI2" s="270"/>
      <c r="EJ2" s="270"/>
      <c r="EK2" s="270"/>
      <c r="EL2" s="270"/>
      <c r="EM2" s="270"/>
      <c r="EN2" s="270"/>
      <c r="EO2" s="270"/>
      <c r="EP2" s="270"/>
      <c r="EQ2" s="270"/>
      <c r="ER2" s="270"/>
      <c r="ES2" s="270"/>
      <c r="ET2" s="270"/>
      <c r="EU2" s="270"/>
      <c r="EV2" s="270"/>
      <c r="EW2" s="270"/>
      <c r="EX2" s="270"/>
      <c r="EY2" s="270"/>
      <c r="EZ2" s="270"/>
      <c r="FA2" s="270"/>
      <c r="FB2" s="270"/>
      <c r="FC2" s="270"/>
      <c r="FD2" s="270"/>
      <c r="FE2" s="270"/>
      <c r="FF2" s="270"/>
      <c r="FG2" s="270"/>
      <c r="FH2" s="270"/>
      <c r="FI2" s="270"/>
      <c r="FJ2" s="270"/>
      <c r="FK2" s="270"/>
      <c r="FL2" s="270"/>
      <c r="FM2" s="270"/>
      <c r="FN2" s="270"/>
      <c r="FO2" s="270"/>
      <c r="FP2" s="270"/>
      <c r="FQ2" s="270"/>
      <c r="FR2" s="270"/>
      <c r="FS2" s="270"/>
      <c r="FT2" s="270"/>
      <c r="FU2" s="270"/>
      <c r="FV2" s="270"/>
      <c r="FW2" s="270"/>
      <c r="FX2" s="270"/>
      <c r="FY2" s="270"/>
      <c r="FZ2" s="270"/>
      <c r="GA2" s="270"/>
      <c r="GB2" s="270"/>
      <c r="GC2" s="270"/>
      <c r="GD2" s="270"/>
      <c r="GE2" s="270"/>
      <c r="GF2" s="270"/>
      <c r="GG2" s="270"/>
      <c r="GH2" s="270"/>
      <c r="GI2" s="270"/>
      <c r="GJ2" s="270"/>
      <c r="GK2" s="270"/>
      <c r="GL2" s="270"/>
      <c r="GM2" s="270"/>
      <c r="GN2" s="270"/>
      <c r="GO2" s="270"/>
      <c r="GP2" s="270"/>
      <c r="GQ2" s="270"/>
      <c r="GR2" s="270"/>
      <c r="GS2" s="270"/>
      <c r="GT2" s="270"/>
      <c r="GU2" s="270"/>
      <c r="GV2" s="270"/>
      <c r="GW2" s="270"/>
      <c r="GX2" s="270"/>
      <c r="GY2" s="270"/>
      <c r="GZ2" s="270"/>
      <c r="HA2" s="270"/>
      <c r="HB2" s="270"/>
      <c r="HC2" s="270"/>
      <c r="HD2" s="270"/>
      <c r="HE2" s="270"/>
      <c r="HF2" s="270"/>
      <c r="HG2" s="270"/>
      <c r="HH2" s="270"/>
      <c r="HI2" s="270"/>
      <c r="HJ2" s="270"/>
      <c r="HK2" s="270"/>
      <c r="HL2" s="270"/>
      <c r="HM2" s="270"/>
      <c r="HN2" s="270"/>
      <c r="HO2" s="270"/>
      <c r="HP2" s="270"/>
      <c r="HQ2" s="270"/>
      <c r="HR2" s="270"/>
      <c r="HS2" s="270"/>
      <c r="HT2" s="270"/>
      <c r="HU2" s="270"/>
      <c r="HV2" s="270"/>
      <c r="HW2" s="270"/>
      <c r="HX2" s="270"/>
      <c r="HY2" s="270"/>
      <c r="HZ2" s="270"/>
      <c r="IA2" s="270"/>
      <c r="IB2" s="270"/>
      <c r="IC2" s="270"/>
      <c r="ID2" s="270"/>
      <c r="IE2" s="270"/>
      <c r="IF2" s="270"/>
      <c r="IG2" s="270"/>
      <c r="IH2" s="270"/>
      <c r="II2" s="270"/>
      <c r="IJ2" s="270"/>
      <c r="IK2" s="270"/>
      <c r="IL2" s="270"/>
      <c r="IM2" s="270"/>
      <c r="IN2" s="270"/>
      <c r="IO2" s="270"/>
      <c r="IP2" s="270"/>
    </row>
    <row r="3" spans="1:261" ht="18" customHeight="1" x14ac:dyDescent="0.3">
      <c r="A3" s="510" t="s">
        <v>1094</v>
      </c>
      <c r="B3" s="510"/>
      <c r="C3" s="510"/>
      <c r="D3" s="510"/>
      <c r="E3" s="217"/>
      <c r="F3" s="217"/>
      <c r="G3" s="217"/>
      <c r="H3" s="269"/>
      <c r="I3" s="509"/>
      <c r="J3" s="509"/>
      <c r="K3" s="509"/>
      <c r="L3" s="509"/>
      <c r="M3" s="509"/>
      <c r="N3" s="509"/>
      <c r="O3" s="509"/>
      <c r="P3" s="509"/>
      <c r="Q3" s="270"/>
      <c r="R3" s="270"/>
      <c r="S3" s="270"/>
      <c r="T3" s="270"/>
      <c r="U3" s="270"/>
      <c r="V3" s="270"/>
      <c r="W3" s="270"/>
      <c r="X3" s="270"/>
      <c r="Y3" s="270"/>
      <c r="Z3" s="270"/>
      <c r="AA3" s="270"/>
      <c r="AB3" s="270"/>
      <c r="AC3" s="270"/>
      <c r="AD3" s="270"/>
      <c r="AE3" s="270"/>
      <c r="AF3" s="270"/>
      <c r="AG3" s="270"/>
      <c r="AH3" s="270"/>
      <c r="AI3" s="270"/>
      <c r="AJ3" s="270"/>
      <c r="AK3" s="270"/>
      <c r="AL3" s="270"/>
      <c r="AM3" s="270"/>
      <c r="AN3" s="270"/>
      <c r="AO3" s="270"/>
      <c r="AP3" s="270"/>
      <c r="AQ3" s="270"/>
      <c r="AR3" s="270"/>
      <c r="AS3" s="270"/>
      <c r="AT3" s="270"/>
      <c r="AU3" s="270"/>
      <c r="AV3" s="270"/>
      <c r="AW3" s="270"/>
      <c r="AX3" s="270"/>
      <c r="AY3" s="270"/>
      <c r="AZ3" s="270"/>
      <c r="BA3" s="270"/>
      <c r="BB3" s="270"/>
      <c r="BC3" s="270"/>
      <c r="BD3" s="270"/>
      <c r="BE3" s="270"/>
      <c r="BF3" s="270"/>
      <c r="BG3" s="270"/>
      <c r="BH3" s="270"/>
      <c r="BI3" s="270"/>
      <c r="BJ3" s="270"/>
      <c r="BK3" s="270"/>
      <c r="BL3" s="270"/>
      <c r="BM3" s="270"/>
      <c r="BN3" s="270"/>
      <c r="BO3" s="270"/>
      <c r="BP3" s="270"/>
      <c r="BQ3" s="270"/>
      <c r="BR3" s="270"/>
      <c r="BS3" s="270"/>
      <c r="BT3" s="270"/>
      <c r="BU3" s="270"/>
      <c r="BV3" s="270"/>
      <c r="BW3" s="270"/>
      <c r="BX3" s="270"/>
      <c r="BY3" s="270"/>
      <c r="BZ3" s="270"/>
      <c r="CA3" s="270"/>
      <c r="CB3" s="270"/>
      <c r="CC3" s="270"/>
      <c r="CD3" s="270"/>
      <c r="CE3" s="270"/>
      <c r="CF3" s="270"/>
      <c r="CG3" s="270"/>
      <c r="CH3" s="270"/>
      <c r="CI3" s="270"/>
      <c r="CJ3" s="270"/>
      <c r="CK3" s="270"/>
      <c r="CL3" s="270"/>
      <c r="CM3" s="270"/>
      <c r="CN3" s="270"/>
      <c r="CO3" s="270"/>
      <c r="CP3" s="270"/>
      <c r="CQ3" s="270"/>
      <c r="CR3" s="270"/>
      <c r="CS3" s="270"/>
      <c r="CT3" s="270"/>
      <c r="CU3" s="270"/>
      <c r="CV3" s="270"/>
      <c r="CW3" s="270"/>
      <c r="CX3" s="270"/>
      <c r="CY3" s="270"/>
      <c r="CZ3" s="270"/>
      <c r="DA3" s="270"/>
      <c r="DB3" s="270"/>
      <c r="DC3" s="270"/>
      <c r="DD3" s="270"/>
      <c r="DE3" s="270"/>
      <c r="DF3" s="270"/>
      <c r="DG3" s="270"/>
      <c r="DH3" s="270"/>
      <c r="DI3" s="270"/>
      <c r="DJ3" s="270"/>
      <c r="DK3" s="270"/>
      <c r="DL3" s="270"/>
      <c r="DM3" s="270"/>
      <c r="DN3" s="270"/>
      <c r="DO3" s="270"/>
      <c r="DP3" s="270"/>
      <c r="DQ3" s="270"/>
      <c r="DR3" s="270"/>
      <c r="DS3" s="270"/>
      <c r="DT3" s="270"/>
      <c r="DU3" s="270"/>
      <c r="DV3" s="270"/>
      <c r="DW3" s="270"/>
      <c r="DX3" s="270"/>
      <c r="DY3" s="270"/>
      <c r="DZ3" s="270"/>
      <c r="EA3" s="270"/>
      <c r="EB3" s="270"/>
      <c r="EC3" s="270"/>
      <c r="ED3" s="270"/>
      <c r="EE3" s="270"/>
      <c r="EF3" s="270"/>
      <c r="EG3" s="270"/>
      <c r="EH3" s="270"/>
      <c r="EI3" s="270"/>
      <c r="EJ3" s="270"/>
      <c r="EK3" s="270"/>
      <c r="EL3" s="270"/>
      <c r="EM3" s="270"/>
      <c r="EN3" s="270"/>
      <c r="EO3" s="270"/>
      <c r="EP3" s="270"/>
      <c r="EQ3" s="270"/>
      <c r="ER3" s="270"/>
      <c r="ES3" s="270"/>
      <c r="ET3" s="270"/>
      <c r="EU3" s="270"/>
      <c r="EV3" s="270"/>
      <c r="EW3" s="270"/>
      <c r="EX3" s="270"/>
      <c r="EY3" s="270"/>
      <c r="EZ3" s="270"/>
      <c r="FA3" s="270"/>
      <c r="FB3" s="270"/>
      <c r="FC3" s="270"/>
      <c r="FD3" s="270"/>
      <c r="FE3" s="270"/>
      <c r="FF3" s="270"/>
      <c r="FG3" s="270"/>
      <c r="FH3" s="270"/>
      <c r="FI3" s="270"/>
      <c r="FJ3" s="270"/>
      <c r="FK3" s="270"/>
      <c r="FL3" s="270"/>
      <c r="FM3" s="270"/>
      <c r="FN3" s="270"/>
      <c r="FO3" s="270"/>
      <c r="FP3" s="270"/>
      <c r="FQ3" s="270"/>
      <c r="FR3" s="270"/>
      <c r="FS3" s="270"/>
      <c r="FT3" s="270"/>
      <c r="FU3" s="270"/>
      <c r="FV3" s="270"/>
      <c r="FW3" s="270"/>
      <c r="FX3" s="270"/>
      <c r="FY3" s="270"/>
      <c r="FZ3" s="270"/>
      <c r="GA3" s="270"/>
      <c r="GB3" s="270"/>
      <c r="GC3" s="270"/>
      <c r="GD3" s="270"/>
      <c r="GE3" s="270"/>
      <c r="GF3" s="270"/>
      <c r="GG3" s="270"/>
      <c r="GH3" s="270"/>
      <c r="GI3" s="270"/>
      <c r="GJ3" s="270"/>
      <c r="GK3" s="270"/>
      <c r="GL3" s="270"/>
      <c r="GM3" s="270"/>
      <c r="GN3" s="270"/>
      <c r="GO3" s="270"/>
      <c r="GP3" s="270"/>
      <c r="GQ3" s="270"/>
      <c r="GR3" s="270"/>
      <c r="GS3" s="270"/>
      <c r="GT3" s="270"/>
      <c r="GU3" s="270"/>
      <c r="GV3" s="270"/>
      <c r="GW3" s="270"/>
      <c r="GX3" s="270"/>
      <c r="GY3" s="270"/>
      <c r="GZ3" s="270"/>
      <c r="HA3" s="270"/>
      <c r="HB3" s="270"/>
      <c r="HC3" s="270"/>
      <c r="HD3" s="270"/>
      <c r="HE3" s="270"/>
      <c r="HF3" s="270"/>
      <c r="HG3" s="270"/>
      <c r="HH3" s="270"/>
      <c r="HI3" s="270"/>
      <c r="HJ3" s="270"/>
      <c r="HK3" s="270"/>
      <c r="HL3" s="270"/>
      <c r="HM3" s="270"/>
      <c r="HN3" s="270"/>
      <c r="HO3" s="270"/>
      <c r="HP3" s="270"/>
      <c r="HQ3" s="270"/>
      <c r="HR3" s="270"/>
      <c r="HS3" s="270"/>
      <c r="HT3" s="270"/>
      <c r="HU3" s="270"/>
      <c r="HV3" s="270"/>
      <c r="HW3" s="270"/>
      <c r="HX3" s="270"/>
      <c r="HY3" s="270"/>
      <c r="HZ3" s="270"/>
      <c r="IA3" s="270"/>
      <c r="IB3" s="270"/>
      <c r="IC3" s="270"/>
      <c r="ID3" s="270"/>
      <c r="IE3" s="270"/>
      <c r="IF3" s="270"/>
      <c r="IG3" s="270"/>
      <c r="IH3" s="270"/>
      <c r="II3" s="270"/>
      <c r="IJ3" s="270"/>
      <c r="IK3" s="270"/>
      <c r="IL3" s="270"/>
      <c r="IM3" s="270"/>
      <c r="IN3" s="270"/>
      <c r="IO3" s="270"/>
      <c r="IP3" s="270"/>
    </row>
    <row r="4" spans="1:261" ht="18" customHeight="1" x14ac:dyDescent="0.3">
      <c r="A4" s="1905" t="s">
        <v>1239</v>
      </c>
      <c r="B4" s="1902"/>
      <c r="C4" s="1902"/>
      <c r="D4" s="1902"/>
      <c r="E4" s="217"/>
      <c r="F4" s="217"/>
      <c r="G4" s="217"/>
      <c r="H4" s="269"/>
      <c r="I4" s="1900"/>
      <c r="J4" s="1900"/>
      <c r="K4" s="1900"/>
      <c r="L4" s="1900"/>
      <c r="M4" s="1900"/>
      <c r="N4" s="1900"/>
      <c r="O4" s="1900"/>
      <c r="P4" s="1900"/>
      <c r="Q4" s="270"/>
      <c r="R4" s="270"/>
      <c r="S4" s="270"/>
      <c r="T4" s="270"/>
      <c r="U4" s="270"/>
      <c r="V4" s="270"/>
      <c r="W4" s="270"/>
      <c r="X4" s="270"/>
      <c r="Y4" s="270"/>
      <c r="Z4" s="270"/>
      <c r="AA4" s="270"/>
      <c r="AB4" s="270"/>
      <c r="AC4" s="270"/>
      <c r="AD4" s="270"/>
      <c r="AE4" s="270"/>
      <c r="AF4" s="270"/>
      <c r="AG4" s="270"/>
      <c r="AH4" s="270"/>
      <c r="AI4" s="270"/>
      <c r="AJ4" s="270"/>
      <c r="AK4" s="270"/>
      <c r="AL4" s="270"/>
      <c r="AM4" s="270"/>
      <c r="AN4" s="270"/>
      <c r="AO4" s="270"/>
      <c r="AP4" s="270"/>
      <c r="AQ4" s="270"/>
      <c r="AR4" s="270"/>
      <c r="AS4" s="270"/>
      <c r="AT4" s="270"/>
      <c r="AU4" s="270"/>
      <c r="AV4" s="270"/>
      <c r="AW4" s="270"/>
      <c r="AX4" s="270"/>
      <c r="AY4" s="270"/>
      <c r="AZ4" s="270"/>
      <c r="BA4" s="270"/>
      <c r="BB4" s="270"/>
      <c r="BC4" s="270"/>
      <c r="BD4" s="270"/>
      <c r="BE4" s="270"/>
      <c r="BF4" s="270"/>
      <c r="BG4" s="270"/>
      <c r="BH4" s="270"/>
      <c r="BI4" s="270"/>
      <c r="BJ4" s="270"/>
      <c r="BK4" s="270"/>
      <c r="BL4" s="270"/>
      <c r="BM4" s="270"/>
      <c r="BN4" s="270"/>
      <c r="BO4" s="270"/>
      <c r="BP4" s="270"/>
      <c r="BQ4" s="270"/>
      <c r="BR4" s="270"/>
      <c r="BS4" s="270"/>
      <c r="BT4" s="270"/>
      <c r="BU4" s="270"/>
      <c r="BV4" s="270"/>
      <c r="BW4" s="270"/>
      <c r="BX4" s="270"/>
      <c r="BY4" s="270"/>
      <c r="BZ4" s="270"/>
      <c r="CA4" s="270"/>
      <c r="CB4" s="270"/>
      <c r="CC4" s="270"/>
      <c r="CD4" s="270"/>
      <c r="CE4" s="270"/>
      <c r="CF4" s="270"/>
      <c r="CG4" s="270"/>
      <c r="CH4" s="270"/>
      <c r="CI4" s="270"/>
      <c r="CJ4" s="270"/>
      <c r="CK4" s="270"/>
      <c r="CL4" s="270"/>
      <c r="CM4" s="270"/>
      <c r="CN4" s="270"/>
      <c r="CO4" s="270"/>
      <c r="CP4" s="270"/>
      <c r="CQ4" s="270"/>
      <c r="CR4" s="270"/>
      <c r="CS4" s="270"/>
      <c r="CT4" s="270"/>
      <c r="CU4" s="270"/>
      <c r="CV4" s="270"/>
      <c r="CW4" s="270"/>
      <c r="CX4" s="270"/>
      <c r="CY4" s="270"/>
      <c r="CZ4" s="270"/>
      <c r="DA4" s="270"/>
      <c r="DB4" s="270"/>
      <c r="DC4" s="270"/>
      <c r="DD4" s="270"/>
      <c r="DE4" s="270"/>
      <c r="DF4" s="270"/>
      <c r="DG4" s="270"/>
      <c r="DH4" s="270"/>
      <c r="DI4" s="270"/>
      <c r="DJ4" s="270"/>
      <c r="DK4" s="270"/>
      <c r="DL4" s="270"/>
      <c r="DM4" s="270"/>
      <c r="DN4" s="270"/>
      <c r="DO4" s="270"/>
      <c r="DP4" s="270"/>
      <c r="DQ4" s="270"/>
      <c r="DR4" s="270"/>
      <c r="DS4" s="270"/>
      <c r="DT4" s="270"/>
      <c r="DU4" s="270"/>
      <c r="DV4" s="270"/>
      <c r="DW4" s="270"/>
      <c r="DX4" s="270"/>
      <c r="DY4" s="270"/>
      <c r="DZ4" s="270"/>
      <c r="EA4" s="270"/>
      <c r="EB4" s="270"/>
      <c r="EC4" s="270"/>
      <c r="ED4" s="270"/>
      <c r="EE4" s="270"/>
      <c r="EF4" s="270"/>
      <c r="EG4" s="270"/>
      <c r="EH4" s="270"/>
      <c r="EI4" s="270"/>
      <c r="EJ4" s="270"/>
      <c r="EK4" s="270"/>
      <c r="EL4" s="270"/>
      <c r="EM4" s="270"/>
      <c r="EN4" s="270"/>
      <c r="EO4" s="270"/>
      <c r="EP4" s="270"/>
      <c r="EQ4" s="270"/>
      <c r="ER4" s="270"/>
      <c r="ES4" s="270"/>
      <c r="ET4" s="270"/>
      <c r="EU4" s="270"/>
      <c r="EV4" s="270"/>
      <c r="EW4" s="270"/>
      <c r="EX4" s="270"/>
      <c r="EY4" s="270"/>
      <c r="EZ4" s="270"/>
      <c r="FA4" s="270"/>
      <c r="FB4" s="270"/>
      <c r="FC4" s="270"/>
      <c r="FD4" s="270"/>
      <c r="FE4" s="270"/>
      <c r="FF4" s="270"/>
      <c r="FG4" s="270"/>
      <c r="FH4" s="270"/>
      <c r="FI4" s="270"/>
      <c r="FJ4" s="270"/>
      <c r="FK4" s="270"/>
      <c r="FL4" s="270"/>
      <c r="FM4" s="270"/>
      <c r="FN4" s="270"/>
      <c r="FO4" s="270"/>
      <c r="FP4" s="270"/>
      <c r="FQ4" s="270"/>
      <c r="FR4" s="270"/>
      <c r="FS4" s="270"/>
      <c r="FT4" s="270"/>
      <c r="FU4" s="270"/>
      <c r="FV4" s="270"/>
      <c r="FW4" s="270"/>
      <c r="FX4" s="270"/>
      <c r="FY4" s="270"/>
      <c r="FZ4" s="270"/>
      <c r="GA4" s="270"/>
      <c r="GB4" s="270"/>
      <c r="GC4" s="270"/>
      <c r="GD4" s="270"/>
      <c r="GE4" s="270"/>
      <c r="GF4" s="270"/>
      <c r="GG4" s="270"/>
      <c r="GH4" s="270"/>
      <c r="GI4" s="270"/>
      <c r="GJ4" s="270"/>
      <c r="GK4" s="270"/>
      <c r="GL4" s="270"/>
      <c r="GM4" s="270"/>
      <c r="GN4" s="270"/>
      <c r="GO4" s="270"/>
      <c r="GP4" s="270"/>
      <c r="GQ4" s="270"/>
      <c r="GR4" s="270"/>
      <c r="GS4" s="270"/>
      <c r="GT4" s="270"/>
      <c r="GU4" s="270"/>
      <c r="GV4" s="270"/>
      <c r="GW4" s="270"/>
      <c r="GX4" s="270"/>
      <c r="GY4" s="270"/>
      <c r="GZ4" s="270"/>
      <c r="HA4" s="270"/>
      <c r="HB4" s="270"/>
      <c r="HC4" s="270"/>
      <c r="HD4" s="270"/>
      <c r="HE4" s="270"/>
      <c r="HF4" s="270"/>
      <c r="HG4" s="270"/>
      <c r="HH4" s="270"/>
      <c r="HI4" s="270"/>
      <c r="HJ4" s="270"/>
      <c r="HK4" s="270"/>
      <c r="HL4" s="270"/>
      <c r="HM4" s="270"/>
      <c r="HN4" s="270"/>
      <c r="HO4" s="270"/>
      <c r="HP4" s="270"/>
      <c r="HQ4" s="270"/>
      <c r="HR4" s="270"/>
      <c r="HS4" s="270"/>
      <c r="HT4" s="270"/>
      <c r="HU4" s="270"/>
      <c r="HV4" s="270"/>
      <c r="HW4" s="270"/>
      <c r="HX4" s="270"/>
      <c r="HY4" s="270"/>
      <c r="HZ4" s="270"/>
      <c r="IA4" s="270"/>
      <c r="IB4" s="270"/>
      <c r="IC4" s="270"/>
      <c r="ID4" s="270"/>
      <c r="IE4" s="270"/>
      <c r="IF4" s="270"/>
      <c r="IG4" s="270"/>
      <c r="IH4" s="270"/>
      <c r="II4" s="270"/>
      <c r="IJ4" s="270"/>
      <c r="IK4" s="270"/>
      <c r="IL4" s="270"/>
      <c r="IM4" s="270"/>
      <c r="IN4" s="270"/>
      <c r="IO4" s="270"/>
      <c r="IP4" s="270"/>
    </row>
    <row r="5" spans="1:261" ht="24.75" customHeight="1" x14ac:dyDescent="0.35">
      <c r="A5" s="2123" t="s">
        <v>14</v>
      </c>
      <c r="B5" s="2123"/>
      <c r="C5" s="2123"/>
      <c r="D5" s="2123"/>
      <c r="E5" s="2123"/>
      <c r="F5" s="2123"/>
      <c r="G5" s="2123"/>
      <c r="H5" s="2123"/>
      <c r="I5" s="2123"/>
      <c r="J5" s="2123"/>
      <c r="K5" s="2123"/>
      <c r="L5" s="2123"/>
      <c r="M5" s="2123"/>
      <c r="N5" s="2123"/>
      <c r="O5" s="2123"/>
      <c r="P5" s="2123"/>
    </row>
    <row r="6" spans="1:261" ht="24.75" customHeight="1" x14ac:dyDescent="0.35">
      <c r="A6" s="2155" t="s">
        <v>658</v>
      </c>
      <c r="B6" s="2155"/>
      <c r="C6" s="2155"/>
      <c r="D6" s="2155"/>
      <c r="E6" s="2155"/>
      <c r="F6" s="2155"/>
      <c r="G6" s="2155"/>
      <c r="H6" s="2155"/>
      <c r="I6" s="2155"/>
      <c r="J6" s="2155"/>
      <c r="K6" s="2155"/>
      <c r="L6" s="2155"/>
      <c r="M6" s="2155"/>
      <c r="N6" s="2155"/>
      <c r="O6" s="2155"/>
      <c r="P6" s="2155"/>
    </row>
    <row r="7" spans="1:261" s="332" customFormat="1" ht="18" customHeight="1" x14ac:dyDescent="0.3">
      <c r="A7" s="268"/>
      <c r="B7" s="268"/>
      <c r="C7" s="268"/>
      <c r="E7" s="254"/>
      <c r="F7" s="254"/>
      <c r="G7" s="254"/>
      <c r="H7" s="333"/>
      <c r="I7" s="254"/>
      <c r="J7" s="254"/>
      <c r="K7" s="254"/>
      <c r="L7" s="254"/>
      <c r="M7" s="254"/>
      <c r="N7" s="254"/>
      <c r="O7" s="334"/>
      <c r="P7" s="260" t="s">
        <v>0</v>
      </c>
    </row>
    <row r="8" spans="1:261" s="336" customFormat="1" ht="18" customHeight="1" thickBot="1" x14ac:dyDescent="0.35">
      <c r="A8" s="335"/>
      <c r="B8" s="1541" t="s">
        <v>1</v>
      </c>
      <c r="C8" s="1542" t="s">
        <v>3</v>
      </c>
      <c r="D8" s="1542" t="s">
        <v>2</v>
      </c>
      <c r="E8" s="1542" t="s">
        <v>4</v>
      </c>
      <c r="F8" s="1542" t="s">
        <v>5</v>
      </c>
      <c r="G8" s="1542" t="s">
        <v>15</v>
      </c>
      <c r="H8" s="1542" t="s">
        <v>16</v>
      </c>
      <c r="I8" s="1542" t="s">
        <v>17</v>
      </c>
      <c r="J8" s="1542" t="s">
        <v>36</v>
      </c>
      <c r="K8" s="1542" t="s">
        <v>30</v>
      </c>
      <c r="L8" s="1542" t="s">
        <v>23</v>
      </c>
      <c r="M8" s="1542" t="s">
        <v>37</v>
      </c>
      <c r="N8" s="1542" t="s">
        <v>38</v>
      </c>
      <c r="O8" s="1542" t="s">
        <v>160</v>
      </c>
      <c r="P8" s="1542" t="s">
        <v>161</v>
      </c>
      <c r="Q8" s="335"/>
      <c r="R8" s="335"/>
      <c r="S8" s="335"/>
      <c r="T8" s="335"/>
      <c r="U8" s="335"/>
      <c r="V8" s="335"/>
      <c r="W8" s="335"/>
      <c r="X8" s="335"/>
      <c r="Y8" s="335"/>
      <c r="Z8" s="335"/>
      <c r="AA8" s="335"/>
      <c r="AB8" s="335"/>
      <c r="AC8" s="335"/>
      <c r="AD8" s="335"/>
      <c r="AE8" s="335"/>
      <c r="AF8" s="335"/>
      <c r="AG8" s="335"/>
      <c r="AH8" s="335"/>
      <c r="AI8" s="335"/>
      <c r="AJ8" s="335"/>
      <c r="AK8" s="335"/>
      <c r="AL8" s="335"/>
      <c r="AM8" s="335"/>
      <c r="AN8" s="335"/>
      <c r="AO8" s="335"/>
      <c r="AP8" s="335"/>
      <c r="AQ8" s="335"/>
      <c r="AR8" s="335"/>
      <c r="AS8" s="335"/>
      <c r="AT8" s="335"/>
      <c r="AU8" s="335"/>
      <c r="AV8" s="335"/>
      <c r="AW8" s="335"/>
      <c r="AX8" s="335"/>
      <c r="AY8" s="335"/>
      <c r="AZ8" s="335"/>
      <c r="BA8" s="335"/>
      <c r="BB8" s="335"/>
      <c r="BC8" s="335"/>
      <c r="BD8" s="335"/>
      <c r="BE8" s="335"/>
      <c r="BF8" s="335"/>
      <c r="BG8" s="335"/>
      <c r="BH8" s="335"/>
      <c r="BI8" s="335"/>
      <c r="BJ8" s="335"/>
      <c r="BK8" s="335"/>
      <c r="BL8" s="335"/>
      <c r="BM8" s="335"/>
      <c r="BN8" s="335"/>
      <c r="BO8" s="335"/>
      <c r="BP8" s="335"/>
      <c r="BQ8" s="335"/>
      <c r="BR8" s="335"/>
      <c r="BS8" s="335"/>
      <c r="BT8" s="335"/>
      <c r="BU8" s="335"/>
      <c r="BV8" s="335"/>
      <c r="BW8" s="335"/>
      <c r="BX8" s="335"/>
      <c r="BY8" s="335"/>
      <c r="BZ8" s="335"/>
      <c r="CA8" s="335"/>
      <c r="CB8" s="335"/>
      <c r="CC8" s="335"/>
      <c r="CD8" s="335"/>
      <c r="CE8" s="335"/>
      <c r="CF8" s="335"/>
      <c r="CG8" s="335"/>
      <c r="CH8" s="335"/>
      <c r="CI8" s="335"/>
      <c r="CJ8" s="335"/>
      <c r="CK8" s="335"/>
      <c r="CL8" s="335"/>
      <c r="CM8" s="335"/>
      <c r="CN8" s="335"/>
      <c r="CO8" s="335"/>
      <c r="CP8" s="335"/>
      <c r="CQ8" s="335"/>
      <c r="CR8" s="335"/>
      <c r="CS8" s="335"/>
      <c r="CT8" s="335"/>
      <c r="CU8" s="335"/>
      <c r="CV8" s="335"/>
      <c r="CW8" s="335"/>
      <c r="CX8" s="335"/>
      <c r="CY8" s="335"/>
      <c r="CZ8" s="335"/>
      <c r="DA8" s="335"/>
      <c r="DB8" s="335"/>
      <c r="DC8" s="335"/>
      <c r="DD8" s="335"/>
      <c r="DE8" s="335"/>
      <c r="DF8" s="335"/>
      <c r="DG8" s="335"/>
      <c r="DH8" s="335"/>
      <c r="DI8" s="335"/>
      <c r="DJ8" s="335"/>
      <c r="DK8" s="335"/>
      <c r="DL8" s="335"/>
      <c r="DM8" s="335"/>
      <c r="DN8" s="335"/>
      <c r="DO8" s="335"/>
      <c r="DP8" s="335"/>
      <c r="DQ8" s="335"/>
      <c r="DR8" s="335"/>
      <c r="DS8" s="335"/>
      <c r="DT8" s="335"/>
      <c r="DU8" s="335"/>
      <c r="DV8" s="335"/>
      <c r="DW8" s="335"/>
      <c r="DX8" s="335"/>
      <c r="DY8" s="335"/>
      <c r="DZ8" s="335"/>
      <c r="EA8" s="335"/>
      <c r="EB8" s="335"/>
      <c r="EC8" s="335"/>
      <c r="ED8" s="335"/>
      <c r="EE8" s="335"/>
      <c r="EF8" s="335"/>
      <c r="EG8" s="335"/>
      <c r="EH8" s="335"/>
      <c r="EI8" s="335"/>
      <c r="EJ8" s="335"/>
      <c r="EK8" s="335"/>
      <c r="EL8" s="335"/>
      <c r="EM8" s="335"/>
      <c r="EN8" s="335"/>
      <c r="EO8" s="335"/>
      <c r="EP8" s="335"/>
      <c r="EQ8" s="335"/>
      <c r="ER8" s="335"/>
      <c r="ES8" s="335"/>
      <c r="ET8" s="335"/>
      <c r="EU8" s="335"/>
      <c r="EV8" s="335"/>
      <c r="EW8" s="335"/>
      <c r="EX8" s="335"/>
      <c r="EY8" s="335"/>
      <c r="EZ8" s="335"/>
      <c r="FA8" s="335"/>
      <c r="FB8" s="335"/>
      <c r="FC8" s="335"/>
      <c r="FD8" s="335"/>
      <c r="FE8" s="335"/>
      <c r="FF8" s="335"/>
      <c r="FG8" s="335"/>
      <c r="FH8" s="335"/>
      <c r="FI8" s="335"/>
      <c r="FJ8" s="335"/>
      <c r="FK8" s="335"/>
      <c r="FL8" s="335"/>
      <c r="FM8" s="335"/>
      <c r="FN8" s="335"/>
      <c r="FO8" s="335"/>
      <c r="FP8" s="335"/>
      <c r="FQ8" s="335"/>
      <c r="FR8" s="335"/>
      <c r="FS8" s="335"/>
      <c r="FT8" s="335"/>
      <c r="FU8" s="335"/>
      <c r="FV8" s="335"/>
      <c r="FW8" s="335"/>
      <c r="FX8" s="335"/>
      <c r="FY8" s="335"/>
      <c r="FZ8" s="335"/>
      <c r="GA8" s="335"/>
      <c r="GB8" s="335"/>
      <c r="GC8" s="335"/>
      <c r="GD8" s="335"/>
      <c r="GE8" s="335"/>
      <c r="GF8" s="335"/>
      <c r="GG8" s="335"/>
      <c r="GH8" s="335"/>
      <c r="GI8" s="335"/>
      <c r="GJ8" s="335"/>
      <c r="GK8" s="335"/>
      <c r="GL8" s="335"/>
      <c r="GM8" s="335"/>
      <c r="GN8" s="335"/>
      <c r="GO8" s="335"/>
      <c r="GP8" s="335"/>
      <c r="GQ8" s="335"/>
      <c r="GR8" s="335"/>
      <c r="GS8" s="335"/>
      <c r="GT8" s="335"/>
      <c r="GU8" s="335"/>
      <c r="GV8" s="335"/>
      <c r="GW8" s="335"/>
      <c r="GX8" s="335"/>
      <c r="GY8" s="335"/>
      <c r="GZ8" s="335"/>
      <c r="HA8" s="335"/>
      <c r="HB8" s="335"/>
      <c r="HC8" s="335"/>
      <c r="HD8" s="335"/>
      <c r="HE8" s="335"/>
      <c r="HF8" s="335"/>
      <c r="HG8" s="335"/>
      <c r="HH8" s="335"/>
      <c r="HI8" s="335"/>
      <c r="HJ8" s="335"/>
      <c r="HK8" s="335"/>
      <c r="HL8" s="335"/>
      <c r="HM8" s="335"/>
      <c r="HN8" s="335"/>
      <c r="HO8" s="335"/>
      <c r="HP8" s="335"/>
      <c r="HQ8" s="335"/>
      <c r="HR8" s="335"/>
      <c r="HS8" s="335"/>
      <c r="HT8" s="335"/>
      <c r="HU8" s="335"/>
      <c r="HV8" s="335"/>
      <c r="HW8" s="335"/>
      <c r="HX8" s="335"/>
      <c r="HY8" s="335"/>
      <c r="HZ8" s="335"/>
      <c r="IA8" s="335"/>
      <c r="IB8" s="335"/>
      <c r="IC8" s="335"/>
      <c r="ID8" s="335"/>
      <c r="IE8" s="335"/>
      <c r="IF8" s="335"/>
      <c r="IG8" s="335"/>
      <c r="IH8" s="335"/>
      <c r="II8" s="335"/>
      <c r="IJ8" s="335"/>
      <c r="IK8" s="335"/>
      <c r="IL8" s="335"/>
      <c r="IM8" s="335"/>
      <c r="IN8" s="335"/>
      <c r="IO8" s="335"/>
      <c r="IP8" s="335"/>
    </row>
    <row r="9" spans="1:261" ht="22.5" customHeight="1" x14ac:dyDescent="0.3">
      <c r="B9" s="2157" t="s">
        <v>18</v>
      </c>
      <c r="C9" s="2160" t="s">
        <v>19</v>
      </c>
      <c r="D9" s="2163" t="s">
        <v>6</v>
      </c>
      <c r="E9" s="2166" t="s">
        <v>652</v>
      </c>
      <c r="F9" s="2166" t="s">
        <v>659</v>
      </c>
      <c r="G9" s="2169" t="s">
        <v>989</v>
      </c>
      <c r="H9" s="2143" t="s">
        <v>20</v>
      </c>
      <c r="I9" s="2172" t="s">
        <v>637</v>
      </c>
      <c r="J9" s="2166"/>
      <c r="K9" s="2166"/>
      <c r="L9" s="2166"/>
      <c r="M9" s="2166"/>
      <c r="N9" s="2166"/>
      <c r="O9" s="2173"/>
      <c r="P9" s="2174" t="s">
        <v>648</v>
      </c>
      <c r="Q9" s="2156"/>
      <c r="R9" s="2156"/>
    </row>
    <row r="10" spans="1:261" ht="33" customHeight="1" x14ac:dyDescent="0.3">
      <c r="B10" s="2158"/>
      <c r="C10" s="2161"/>
      <c r="D10" s="2164"/>
      <c r="E10" s="2167"/>
      <c r="F10" s="2167"/>
      <c r="G10" s="2170"/>
      <c r="H10" s="2144"/>
      <c r="I10" s="2177" t="s">
        <v>654</v>
      </c>
      <c r="J10" s="2178"/>
      <c r="K10" s="2179"/>
      <c r="L10" s="2179"/>
      <c r="M10" s="2180" t="s">
        <v>163</v>
      </c>
      <c r="N10" s="2180"/>
      <c r="O10" s="2183" t="s">
        <v>129</v>
      </c>
      <c r="P10" s="2175"/>
    </row>
    <row r="11" spans="1:261" ht="53.25" customHeight="1" thickBot="1" x14ac:dyDescent="0.35">
      <c r="B11" s="2159"/>
      <c r="C11" s="2162"/>
      <c r="D11" s="2165"/>
      <c r="E11" s="2168"/>
      <c r="F11" s="2168"/>
      <c r="G11" s="2171"/>
      <c r="H11" s="2145"/>
      <c r="I11" s="1543" t="s">
        <v>40</v>
      </c>
      <c r="J11" s="1544" t="s">
        <v>649</v>
      </c>
      <c r="K11" s="1545" t="s">
        <v>42</v>
      </c>
      <c r="L11" s="1545" t="s">
        <v>651</v>
      </c>
      <c r="M11" s="1544" t="s">
        <v>231</v>
      </c>
      <c r="N11" s="1544" t="s">
        <v>164</v>
      </c>
      <c r="O11" s="2184"/>
      <c r="P11" s="2176"/>
    </row>
    <row r="12" spans="1:261" s="272" customFormat="1" ht="22.5" customHeight="1" x14ac:dyDescent="0.35">
      <c r="A12" s="1423">
        <v>1</v>
      </c>
      <c r="B12" s="1546">
        <v>18</v>
      </c>
      <c r="C12" s="1547" t="s">
        <v>14</v>
      </c>
      <c r="D12" s="1548"/>
      <c r="E12" s="1549"/>
      <c r="F12" s="1550"/>
      <c r="G12" s="1551"/>
      <c r="H12" s="1552"/>
      <c r="I12" s="1553"/>
      <c r="J12" s="1554"/>
      <c r="K12" s="1554"/>
      <c r="L12" s="1554"/>
      <c r="M12" s="1554"/>
      <c r="N12" s="1554"/>
      <c r="O12" s="1555"/>
      <c r="P12" s="1556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  <c r="BI12" s="148"/>
      <c r="BJ12" s="148"/>
      <c r="BK12" s="148"/>
      <c r="BL12" s="148"/>
      <c r="BM12" s="148"/>
      <c r="BN12" s="148"/>
      <c r="BO12" s="148"/>
      <c r="BP12" s="148"/>
      <c r="BQ12" s="148"/>
      <c r="BR12" s="148"/>
      <c r="BS12" s="148"/>
      <c r="BT12" s="148"/>
      <c r="BU12" s="148"/>
      <c r="BV12" s="148"/>
      <c r="BW12" s="148"/>
      <c r="BX12" s="148"/>
      <c r="BY12" s="148"/>
      <c r="BZ12" s="148"/>
      <c r="CA12" s="148"/>
      <c r="CB12" s="148"/>
      <c r="CC12" s="148"/>
      <c r="CD12" s="148"/>
      <c r="CE12" s="148"/>
      <c r="CF12" s="148"/>
      <c r="CG12" s="148"/>
      <c r="CH12" s="148"/>
      <c r="CI12" s="148"/>
      <c r="CJ12" s="148"/>
      <c r="CK12" s="148"/>
      <c r="CL12" s="148"/>
      <c r="CM12" s="148"/>
      <c r="CN12" s="148"/>
      <c r="CO12" s="148"/>
      <c r="CP12" s="148"/>
      <c r="CQ12" s="148"/>
      <c r="CR12" s="148"/>
      <c r="CS12" s="148"/>
      <c r="CT12" s="148"/>
      <c r="CU12" s="148"/>
      <c r="CV12" s="148"/>
      <c r="CW12" s="148"/>
      <c r="CX12" s="148"/>
      <c r="CY12" s="148"/>
      <c r="CZ12" s="148"/>
      <c r="DA12" s="148"/>
      <c r="DB12" s="148"/>
      <c r="DC12" s="148"/>
      <c r="DD12" s="148"/>
      <c r="DE12" s="148"/>
      <c r="DF12" s="148"/>
      <c r="DG12" s="148"/>
      <c r="DH12" s="148"/>
      <c r="DI12" s="148"/>
      <c r="DJ12" s="148"/>
      <c r="DK12" s="148"/>
      <c r="DL12" s="148"/>
      <c r="DM12" s="148"/>
      <c r="DN12" s="148"/>
      <c r="DO12" s="148"/>
      <c r="DP12" s="148"/>
      <c r="DQ12" s="148"/>
      <c r="DR12" s="148"/>
      <c r="DS12" s="148"/>
      <c r="DT12" s="148"/>
      <c r="DU12" s="148"/>
      <c r="DV12" s="148"/>
      <c r="DW12" s="148"/>
      <c r="DX12" s="148"/>
      <c r="DY12" s="148"/>
      <c r="DZ12" s="148"/>
      <c r="EA12" s="148"/>
      <c r="EB12" s="148"/>
      <c r="EC12" s="148"/>
      <c r="ED12" s="148"/>
      <c r="EE12" s="148"/>
      <c r="EF12" s="148"/>
      <c r="EG12" s="148"/>
      <c r="EH12" s="148"/>
      <c r="EI12" s="148"/>
      <c r="EJ12" s="148"/>
      <c r="EK12" s="148"/>
      <c r="EL12" s="148"/>
      <c r="EM12" s="148"/>
      <c r="EN12" s="148"/>
      <c r="EO12" s="148"/>
      <c r="EP12" s="148"/>
      <c r="EQ12" s="148"/>
      <c r="ER12" s="148"/>
      <c r="ES12" s="148"/>
      <c r="ET12" s="148"/>
      <c r="EU12" s="148"/>
      <c r="EV12" s="148"/>
      <c r="EW12" s="148"/>
      <c r="EX12" s="148"/>
      <c r="EY12" s="148"/>
      <c r="EZ12" s="148"/>
      <c r="FA12" s="148"/>
      <c r="FB12" s="148"/>
      <c r="FC12" s="148"/>
      <c r="FD12" s="148"/>
      <c r="FE12" s="148"/>
      <c r="FF12" s="148"/>
      <c r="FG12" s="148"/>
      <c r="FH12" s="148"/>
      <c r="FI12" s="148"/>
      <c r="FJ12" s="148"/>
      <c r="FK12" s="148"/>
      <c r="FL12" s="148"/>
      <c r="FM12" s="148"/>
      <c r="FN12" s="148"/>
      <c r="FO12" s="148"/>
      <c r="FP12" s="148"/>
      <c r="FQ12" s="148"/>
      <c r="FR12" s="148"/>
      <c r="FS12" s="148"/>
      <c r="FT12" s="148"/>
      <c r="FU12" s="148"/>
      <c r="FV12" s="148"/>
      <c r="FW12" s="148"/>
      <c r="FX12" s="148"/>
      <c r="FY12" s="148"/>
      <c r="FZ12" s="148"/>
      <c r="GA12" s="148"/>
      <c r="GB12" s="148"/>
      <c r="GC12" s="148"/>
      <c r="GD12" s="148"/>
      <c r="GE12" s="148"/>
      <c r="GF12" s="148"/>
      <c r="GG12" s="148"/>
      <c r="GH12" s="148"/>
      <c r="GI12" s="148"/>
      <c r="GJ12" s="148"/>
      <c r="GK12" s="148"/>
      <c r="GL12" s="148"/>
      <c r="GM12" s="148"/>
      <c r="GN12" s="148"/>
      <c r="GO12" s="148"/>
      <c r="GP12" s="148"/>
      <c r="GQ12" s="148"/>
      <c r="GR12" s="148"/>
      <c r="GS12" s="148"/>
      <c r="GT12" s="148"/>
      <c r="GU12" s="148"/>
      <c r="GV12" s="148"/>
      <c r="GW12" s="148"/>
      <c r="GX12" s="148"/>
      <c r="GY12" s="148"/>
      <c r="GZ12" s="148"/>
      <c r="HA12" s="148"/>
      <c r="HB12" s="148"/>
      <c r="HC12" s="148"/>
      <c r="HD12" s="148"/>
      <c r="HE12" s="148"/>
      <c r="HF12" s="148"/>
      <c r="HG12" s="148"/>
      <c r="HH12" s="148"/>
      <c r="HI12" s="148"/>
      <c r="HJ12" s="148"/>
      <c r="HK12" s="148"/>
      <c r="HL12" s="148"/>
      <c r="HM12" s="148"/>
      <c r="HN12" s="148"/>
      <c r="HO12" s="148"/>
      <c r="HP12" s="148"/>
      <c r="HQ12" s="148"/>
      <c r="HR12" s="148"/>
      <c r="HS12" s="148"/>
      <c r="HT12" s="148"/>
      <c r="HU12" s="148"/>
      <c r="HV12" s="148"/>
      <c r="HW12" s="148"/>
      <c r="HX12" s="148"/>
      <c r="HY12" s="148"/>
      <c r="HZ12" s="148"/>
      <c r="IA12" s="148"/>
      <c r="IB12" s="148"/>
      <c r="IC12" s="148"/>
      <c r="ID12" s="148"/>
      <c r="IE12" s="148"/>
      <c r="IF12" s="148"/>
      <c r="IG12" s="148"/>
      <c r="IH12" s="148"/>
      <c r="II12" s="148"/>
      <c r="IJ12" s="148"/>
      <c r="IK12" s="148"/>
      <c r="IL12" s="148"/>
      <c r="IM12" s="148"/>
      <c r="IN12" s="148"/>
      <c r="IO12" s="148"/>
      <c r="IP12" s="148"/>
      <c r="IQ12" s="148"/>
      <c r="IR12" s="148"/>
      <c r="IS12" s="148"/>
      <c r="IT12" s="148"/>
      <c r="IU12" s="148"/>
      <c r="IV12" s="148"/>
      <c r="IW12" s="148"/>
      <c r="IX12" s="148"/>
      <c r="IY12" s="148"/>
      <c r="IZ12" s="148"/>
      <c r="JA12" s="148"/>
    </row>
    <row r="13" spans="1:261" s="272" customFormat="1" ht="22.5" customHeight="1" x14ac:dyDescent="0.35">
      <c r="A13" s="1423">
        <v>2</v>
      </c>
      <c r="B13" s="1557"/>
      <c r="C13" s="1558">
        <v>1</v>
      </c>
      <c r="D13" s="1559" t="s">
        <v>608</v>
      </c>
      <c r="E13" s="1560"/>
      <c r="F13" s="1561"/>
      <c r="G13" s="1562"/>
      <c r="H13" s="1563" t="s">
        <v>24</v>
      </c>
      <c r="I13" s="1564"/>
      <c r="J13" s="1565"/>
      <c r="K13" s="1565"/>
      <c r="L13" s="1565"/>
      <c r="M13" s="1565"/>
      <c r="N13" s="1565"/>
      <c r="O13" s="1566"/>
      <c r="P13" s="1567"/>
      <c r="Q13" s="148"/>
      <c r="R13" s="148"/>
      <c r="S13" s="148"/>
      <c r="T13" s="148"/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48"/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  <c r="BI13" s="148"/>
      <c r="BJ13" s="148"/>
      <c r="BK13" s="148"/>
      <c r="BL13" s="148"/>
      <c r="BM13" s="148"/>
      <c r="BN13" s="148"/>
      <c r="BO13" s="148"/>
      <c r="BP13" s="148"/>
      <c r="BQ13" s="148"/>
      <c r="BR13" s="148"/>
      <c r="BS13" s="148"/>
      <c r="BT13" s="148"/>
      <c r="BU13" s="148"/>
      <c r="BV13" s="148"/>
      <c r="BW13" s="148"/>
      <c r="BX13" s="148"/>
      <c r="BY13" s="148"/>
      <c r="BZ13" s="148"/>
      <c r="CA13" s="148"/>
      <c r="CB13" s="148"/>
      <c r="CC13" s="148"/>
      <c r="CD13" s="148"/>
      <c r="CE13" s="148"/>
      <c r="CF13" s="148"/>
      <c r="CG13" s="148"/>
      <c r="CH13" s="148"/>
      <c r="CI13" s="148"/>
      <c r="CJ13" s="148"/>
      <c r="CK13" s="148"/>
      <c r="CL13" s="148"/>
      <c r="CM13" s="148"/>
      <c r="CN13" s="148"/>
      <c r="CO13" s="148"/>
      <c r="CP13" s="148"/>
      <c r="CQ13" s="148"/>
      <c r="CR13" s="148"/>
      <c r="CS13" s="148"/>
      <c r="CT13" s="148"/>
      <c r="CU13" s="148"/>
      <c r="CV13" s="148"/>
      <c r="CW13" s="148"/>
      <c r="CX13" s="148"/>
      <c r="CY13" s="148"/>
      <c r="CZ13" s="148"/>
      <c r="DA13" s="148"/>
      <c r="DB13" s="148"/>
      <c r="DC13" s="148"/>
      <c r="DD13" s="148"/>
      <c r="DE13" s="148"/>
      <c r="DF13" s="148"/>
      <c r="DG13" s="148"/>
      <c r="DH13" s="148"/>
      <c r="DI13" s="148"/>
      <c r="DJ13" s="148"/>
      <c r="DK13" s="148"/>
      <c r="DL13" s="148"/>
      <c r="DM13" s="148"/>
      <c r="DN13" s="148"/>
      <c r="DO13" s="148"/>
      <c r="DP13" s="148"/>
      <c r="DQ13" s="148"/>
      <c r="DR13" s="148"/>
      <c r="DS13" s="148"/>
      <c r="DT13" s="148"/>
      <c r="DU13" s="148"/>
      <c r="DV13" s="148"/>
      <c r="DW13" s="148"/>
      <c r="DX13" s="148"/>
      <c r="DY13" s="148"/>
      <c r="DZ13" s="148"/>
      <c r="EA13" s="148"/>
      <c r="EB13" s="148"/>
      <c r="EC13" s="148"/>
      <c r="ED13" s="148"/>
      <c r="EE13" s="148"/>
      <c r="EF13" s="148"/>
      <c r="EG13" s="148"/>
      <c r="EH13" s="148"/>
      <c r="EI13" s="148"/>
      <c r="EJ13" s="148"/>
      <c r="EK13" s="148"/>
      <c r="EL13" s="148"/>
      <c r="EM13" s="148"/>
      <c r="EN13" s="148"/>
      <c r="EO13" s="148"/>
      <c r="EP13" s="148"/>
      <c r="EQ13" s="148"/>
      <c r="ER13" s="148"/>
      <c r="ES13" s="148"/>
      <c r="ET13" s="148"/>
      <c r="EU13" s="148"/>
      <c r="EV13" s="148"/>
      <c r="EW13" s="148"/>
      <c r="EX13" s="148"/>
      <c r="EY13" s="148"/>
      <c r="EZ13" s="148"/>
      <c r="FA13" s="148"/>
      <c r="FB13" s="148"/>
      <c r="FC13" s="148"/>
      <c r="FD13" s="148"/>
      <c r="FE13" s="148"/>
      <c r="FF13" s="148"/>
      <c r="FG13" s="148"/>
      <c r="FH13" s="148"/>
      <c r="FI13" s="148"/>
      <c r="FJ13" s="148"/>
      <c r="FK13" s="148"/>
      <c r="FL13" s="148"/>
      <c r="FM13" s="148"/>
      <c r="FN13" s="148"/>
      <c r="FO13" s="148"/>
      <c r="FP13" s="148"/>
      <c r="FQ13" s="148"/>
      <c r="FR13" s="148"/>
      <c r="FS13" s="148"/>
      <c r="FT13" s="148"/>
      <c r="FU13" s="148"/>
      <c r="FV13" s="148"/>
      <c r="FW13" s="148"/>
      <c r="FX13" s="148"/>
      <c r="FY13" s="148"/>
      <c r="FZ13" s="148"/>
      <c r="GA13" s="148"/>
      <c r="GB13" s="148"/>
      <c r="GC13" s="148"/>
      <c r="GD13" s="148"/>
      <c r="GE13" s="148"/>
      <c r="GF13" s="148"/>
      <c r="GG13" s="148"/>
      <c r="GH13" s="148"/>
      <c r="GI13" s="148"/>
      <c r="GJ13" s="148"/>
      <c r="GK13" s="148"/>
      <c r="GL13" s="148"/>
      <c r="GM13" s="148"/>
      <c r="GN13" s="148"/>
      <c r="GO13" s="148"/>
      <c r="GP13" s="148"/>
      <c r="GQ13" s="148"/>
      <c r="GR13" s="148"/>
      <c r="GS13" s="148"/>
      <c r="GT13" s="148"/>
      <c r="GU13" s="148"/>
      <c r="GV13" s="148"/>
      <c r="GW13" s="148"/>
      <c r="GX13" s="148"/>
      <c r="GY13" s="148"/>
      <c r="GZ13" s="148"/>
      <c r="HA13" s="148"/>
      <c r="HB13" s="148"/>
      <c r="HC13" s="148"/>
      <c r="HD13" s="148"/>
      <c r="HE13" s="148"/>
      <c r="HF13" s="148"/>
      <c r="HG13" s="148"/>
      <c r="HH13" s="148"/>
      <c r="HI13" s="148"/>
      <c r="HJ13" s="148"/>
      <c r="HK13" s="148"/>
      <c r="HL13" s="148"/>
      <c r="HM13" s="148"/>
      <c r="HN13" s="148"/>
      <c r="HO13" s="148"/>
      <c r="HP13" s="148"/>
      <c r="HQ13" s="148"/>
      <c r="HR13" s="148"/>
      <c r="HS13" s="148"/>
      <c r="HT13" s="148"/>
      <c r="HU13" s="148"/>
      <c r="HV13" s="148"/>
      <c r="HW13" s="148"/>
      <c r="HX13" s="148"/>
      <c r="HY13" s="148"/>
      <c r="HZ13" s="148"/>
      <c r="IA13" s="148"/>
      <c r="IB13" s="148"/>
      <c r="IC13" s="148"/>
      <c r="ID13" s="148"/>
      <c r="IE13" s="148"/>
      <c r="IF13" s="148"/>
      <c r="IG13" s="148"/>
      <c r="IH13" s="148"/>
      <c r="II13" s="148"/>
      <c r="IJ13" s="148"/>
      <c r="IK13" s="148"/>
      <c r="IL13" s="148"/>
      <c r="IM13" s="148"/>
      <c r="IN13" s="148"/>
      <c r="IO13" s="148"/>
      <c r="IP13" s="148"/>
      <c r="IQ13" s="148"/>
      <c r="IR13" s="148"/>
      <c r="IS13" s="148"/>
      <c r="IT13" s="148"/>
      <c r="IU13" s="148"/>
      <c r="IV13" s="148"/>
      <c r="IW13" s="148"/>
      <c r="IX13" s="148"/>
      <c r="IY13" s="148"/>
      <c r="IZ13" s="148"/>
      <c r="JA13" s="148"/>
    </row>
    <row r="14" spans="1:261" s="337" customFormat="1" ht="18" customHeight="1" x14ac:dyDescent="0.35">
      <c r="A14" s="1423">
        <v>3</v>
      </c>
      <c r="B14" s="1568"/>
      <c r="C14" s="1569"/>
      <c r="D14" s="1570" t="s">
        <v>311</v>
      </c>
      <c r="E14" s="1560">
        <f>F14+G14+O17+P17</f>
        <v>1119735</v>
      </c>
      <c r="F14" s="1561"/>
      <c r="G14" s="1562">
        <v>237</v>
      </c>
      <c r="H14" s="1563"/>
      <c r="I14" s="1571"/>
      <c r="J14" s="1572"/>
      <c r="K14" s="1565">
        <v>1398</v>
      </c>
      <c r="L14" s="1572"/>
      <c r="M14" s="1565">
        <f>201554+916546</f>
        <v>1118100</v>
      </c>
      <c r="N14" s="1572"/>
      <c r="O14" s="1566">
        <f>SUM(I14:N14)</f>
        <v>1119498</v>
      </c>
      <c r="P14" s="1573"/>
    </row>
    <row r="15" spans="1:261" s="337" customFormat="1" ht="18" customHeight="1" x14ac:dyDescent="0.35">
      <c r="A15" s="1423">
        <v>4</v>
      </c>
      <c r="B15" s="1568"/>
      <c r="C15" s="1569"/>
      <c r="D15" s="1163" t="s">
        <v>1064</v>
      </c>
      <c r="E15" s="1560"/>
      <c r="F15" s="1561"/>
      <c r="G15" s="1562"/>
      <c r="H15" s="1563"/>
      <c r="I15" s="1571"/>
      <c r="J15" s="1572"/>
      <c r="K15" s="1574">
        <v>1398</v>
      </c>
      <c r="L15" s="1575"/>
      <c r="M15" s="1574">
        <v>1118100</v>
      </c>
      <c r="N15" s="1572"/>
      <c r="O15" s="1576">
        <f>SUM(I15:N15)</f>
        <v>1119498</v>
      </c>
      <c r="P15" s="1573"/>
    </row>
    <row r="16" spans="1:261" s="337" customFormat="1" ht="18" customHeight="1" x14ac:dyDescent="0.35">
      <c r="A16" s="1423">
        <v>5</v>
      </c>
      <c r="B16" s="1568"/>
      <c r="C16" s="1569"/>
      <c r="D16" s="1174" t="s">
        <v>990</v>
      </c>
      <c r="E16" s="1560"/>
      <c r="F16" s="1561"/>
      <c r="G16" s="1562"/>
      <c r="H16" s="1563"/>
      <c r="I16" s="1577"/>
      <c r="J16" s="1575"/>
      <c r="K16" s="1574">
        <v>300</v>
      </c>
      <c r="L16" s="1575"/>
      <c r="M16" s="1574">
        <v>-300</v>
      </c>
      <c r="N16" s="1575"/>
      <c r="O16" s="1578">
        <f>SUM(I16:N16)</f>
        <v>0</v>
      </c>
      <c r="P16" s="1573"/>
    </row>
    <row r="17" spans="1:261" s="337" customFormat="1" ht="18" customHeight="1" x14ac:dyDescent="0.35">
      <c r="A17" s="1423">
        <v>6</v>
      </c>
      <c r="B17" s="1568"/>
      <c r="C17" s="1569"/>
      <c r="D17" s="1163" t="s">
        <v>1116</v>
      </c>
      <c r="E17" s="1560"/>
      <c r="F17" s="1561"/>
      <c r="G17" s="1562"/>
      <c r="H17" s="1563"/>
      <c r="I17" s="1577"/>
      <c r="J17" s="1575"/>
      <c r="K17" s="1574">
        <f>SUM(K15:K16)</f>
        <v>1698</v>
      </c>
      <c r="L17" s="1574"/>
      <c r="M17" s="1574">
        <f t="shared" ref="M17" si="0">SUM(M15:M16)</f>
        <v>1117800</v>
      </c>
      <c r="N17" s="1575"/>
      <c r="O17" s="1576">
        <f>SUM(I17:N17)</f>
        <v>1119498</v>
      </c>
      <c r="P17" s="1573"/>
    </row>
    <row r="18" spans="1:261" s="272" customFormat="1" ht="22.5" customHeight="1" x14ac:dyDescent="0.35">
      <c r="A18" s="1423">
        <v>7</v>
      </c>
      <c r="B18" s="1557"/>
      <c r="C18" s="1558">
        <v>2</v>
      </c>
      <c r="D18" s="1579" t="s">
        <v>506</v>
      </c>
      <c r="E18" s="1560"/>
      <c r="F18" s="1561"/>
      <c r="G18" s="1562"/>
      <c r="H18" s="1563" t="s">
        <v>24</v>
      </c>
      <c r="I18" s="1564"/>
      <c r="J18" s="1565"/>
      <c r="K18" s="1565"/>
      <c r="L18" s="1565"/>
      <c r="M18" s="1565"/>
      <c r="N18" s="1565"/>
      <c r="O18" s="1566"/>
      <c r="P18" s="1567"/>
      <c r="Q18" s="148"/>
      <c r="R18" s="148"/>
      <c r="S18" s="148"/>
      <c r="T18" s="148"/>
      <c r="U18" s="148"/>
      <c r="V18" s="148"/>
      <c r="W18" s="148"/>
      <c r="X18" s="148"/>
      <c r="Y18" s="148"/>
      <c r="Z18" s="148"/>
      <c r="AA18" s="148"/>
      <c r="AB18" s="148"/>
      <c r="AC18" s="148"/>
      <c r="AD18" s="148"/>
      <c r="AE18" s="148"/>
      <c r="AF18" s="148"/>
      <c r="AG18" s="148"/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  <c r="BH18" s="148"/>
      <c r="BI18" s="148"/>
      <c r="BJ18" s="148"/>
      <c r="BK18" s="148"/>
      <c r="BL18" s="148"/>
      <c r="BM18" s="148"/>
      <c r="BN18" s="148"/>
      <c r="BO18" s="148"/>
      <c r="BP18" s="148"/>
      <c r="BQ18" s="148"/>
      <c r="BR18" s="148"/>
      <c r="BS18" s="148"/>
      <c r="BT18" s="148"/>
      <c r="BU18" s="148"/>
      <c r="BV18" s="148"/>
      <c r="BW18" s="148"/>
      <c r="BX18" s="148"/>
      <c r="BY18" s="148"/>
      <c r="BZ18" s="148"/>
      <c r="CA18" s="148"/>
      <c r="CB18" s="148"/>
      <c r="CC18" s="148"/>
      <c r="CD18" s="148"/>
      <c r="CE18" s="148"/>
      <c r="CF18" s="148"/>
      <c r="CG18" s="148"/>
      <c r="CH18" s="148"/>
      <c r="CI18" s="148"/>
      <c r="CJ18" s="148"/>
      <c r="CK18" s="148"/>
      <c r="CL18" s="148"/>
      <c r="CM18" s="148"/>
      <c r="CN18" s="148"/>
      <c r="CO18" s="148"/>
      <c r="CP18" s="148"/>
      <c r="CQ18" s="148"/>
      <c r="CR18" s="148"/>
      <c r="CS18" s="148"/>
      <c r="CT18" s="148"/>
      <c r="CU18" s="148"/>
      <c r="CV18" s="148"/>
      <c r="CW18" s="148"/>
      <c r="CX18" s="148"/>
      <c r="CY18" s="148"/>
      <c r="CZ18" s="148"/>
      <c r="DA18" s="148"/>
      <c r="DB18" s="148"/>
      <c r="DC18" s="148"/>
      <c r="DD18" s="148"/>
      <c r="DE18" s="148"/>
      <c r="DF18" s="148"/>
      <c r="DG18" s="148"/>
      <c r="DH18" s="148"/>
      <c r="DI18" s="148"/>
      <c r="DJ18" s="148"/>
      <c r="DK18" s="148"/>
      <c r="DL18" s="148"/>
      <c r="DM18" s="148"/>
      <c r="DN18" s="148"/>
      <c r="DO18" s="148"/>
      <c r="DP18" s="148"/>
      <c r="DQ18" s="148"/>
      <c r="DR18" s="148"/>
      <c r="DS18" s="148"/>
      <c r="DT18" s="148"/>
      <c r="DU18" s="148"/>
      <c r="DV18" s="148"/>
      <c r="DW18" s="148"/>
      <c r="DX18" s="148"/>
      <c r="DY18" s="148"/>
      <c r="DZ18" s="148"/>
      <c r="EA18" s="148"/>
      <c r="EB18" s="148"/>
      <c r="EC18" s="148"/>
      <c r="ED18" s="148"/>
      <c r="EE18" s="148"/>
      <c r="EF18" s="148"/>
      <c r="EG18" s="148"/>
      <c r="EH18" s="148"/>
      <c r="EI18" s="148"/>
      <c r="EJ18" s="148"/>
      <c r="EK18" s="148"/>
      <c r="EL18" s="148"/>
      <c r="EM18" s="148"/>
      <c r="EN18" s="148"/>
      <c r="EO18" s="148"/>
      <c r="EP18" s="148"/>
      <c r="EQ18" s="148"/>
      <c r="ER18" s="148"/>
      <c r="ES18" s="148"/>
      <c r="ET18" s="148"/>
      <c r="EU18" s="148"/>
      <c r="EV18" s="148"/>
      <c r="EW18" s="148"/>
      <c r="EX18" s="148"/>
      <c r="EY18" s="148"/>
      <c r="EZ18" s="148"/>
      <c r="FA18" s="148"/>
      <c r="FB18" s="148"/>
      <c r="FC18" s="148"/>
      <c r="FD18" s="148"/>
      <c r="FE18" s="148"/>
      <c r="FF18" s="148"/>
      <c r="FG18" s="148"/>
      <c r="FH18" s="148"/>
      <c r="FI18" s="148"/>
      <c r="FJ18" s="148"/>
      <c r="FK18" s="148"/>
      <c r="FL18" s="148"/>
      <c r="FM18" s="148"/>
      <c r="FN18" s="148"/>
      <c r="FO18" s="148"/>
      <c r="FP18" s="148"/>
      <c r="FQ18" s="148"/>
      <c r="FR18" s="148"/>
      <c r="FS18" s="148"/>
      <c r="FT18" s="148"/>
      <c r="FU18" s="148"/>
      <c r="FV18" s="148"/>
      <c r="FW18" s="148"/>
      <c r="FX18" s="148"/>
      <c r="FY18" s="148"/>
      <c r="FZ18" s="148"/>
      <c r="GA18" s="148"/>
      <c r="GB18" s="148"/>
      <c r="GC18" s="148"/>
      <c r="GD18" s="148"/>
      <c r="GE18" s="148"/>
      <c r="GF18" s="148"/>
      <c r="GG18" s="148"/>
      <c r="GH18" s="148"/>
      <c r="GI18" s="148"/>
      <c r="GJ18" s="148"/>
      <c r="GK18" s="148"/>
      <c r="GL18" s="148"/>
      <c r="GM18" s="148"/>
      <c r="GN18" s="148"/>
      <c r="GO18" s="148"/>
      <c r="GP18" s="148"/>
      <c r="GQ18" s="148"/>
      <c r="GR18" s="148"/>
      <c r="GS18" s="148"/>
      <c r="GT18" s="148"/>
      <c r="GU18" s="148"/>
      <c r="GV18" s="148"/>
      <c r="GW18" s="148"/>
      <c r="GX18" s="148"/>
      <c r="GY18" s="148"/>
      <c r="GZ18" s="148"/>
      <c r="HA18" s="148"/>
      <c r="HB18" s="148"/>
      <c r="HC18" s="148"/>
      <c r="HD18" s="148"/>
      <c r="HE18" s="148"/>
      <c r="HF18" s="148"/>
      <c r="HG18" s="148"/>
      <c r="HH18" s="148"/>
      <c r="HI18" s="148"/>
      <c r="HJ18" s="148"/>
      <c r="HK18" s="148"/>
      <c r="HL18" s="148"/>
      <c r="HM18" s="148"/>
      <c r="HN18" s="148"/>
      <c r="HO18" s="148"/>
      <c r="HP18" s="148"/>
      <c r="HQ18" s="148"/>
      <c r="HR18" s="148"/>
      <c r="HS18" s="148"/>
      <c r="HT18" s="148"/>
      <c r="HU18" s="148"/>
      <c r="HV18" s="148"/>
      <c r="HW18" s="148"/>
      <c r="HX18" s="148"/>
      <c r="HY18" s="148"/>
      <c r="HZ18" s="148"/>
      <c r="IA18" s="148"/>
      <c r="IB18" s="148"/>
      <c r="IC18" s="148"/>
      <c r="ID18" s="148"/>
      <c r="IE18" s="148"/>
      <c r="IF18" s="148"/>
      <c r="IG18" s="148"/>
      <c r="IH18" s="148"/>
      <c r="II18" s="148"/>
      <c r="IJ18" s="148"/>
      <c r="IK18" s="148"/>
      <c r="IL18" s="148"/>
      <c r="IM18" s="148"/>
      <c r="IN18" s="148"/>
      <c r="IO18" s="148"/>
      <c r="IP18" s="148"/>
      <c r="IQ18" s="148"/>
      <c r="IR18" s="148"/>
      <c r="IS18" s="148"/>
      <c r="IT18" s="148"/>
      <c r="IU18" s="148"/>
      <c r="IV18" s="148"/>
      <c r="IW18" s="148"/>
      <c r="IX18" s="148"/>
      <c r="IY18" s="148"/>
      <c r="IZ18" s="148"/>
      <c r="JA18" s="148"/>
    </row>
    <row r="19" spans="1:261" s="337" customFormat="1" ht="18" customHeight="1" x14ac:dyDescent="0.35">
      <c r="A19" s="1423">
        <v>8</v>
      </c>
      <c r="B19" s="1568"/>
      <c r="C19" s="1569"/>
      <c r="D19" s="1570" t="s">
        <v>311</v>
      </c>
      <c r="E19" s="1560">
        <f>F19+G19+O22+P22</f>
        <v>25975</v>
      </c>
      <c r="F19" s="1561">
        <f>6208+6205</f>
        <v>12413</v>
      </c>
      <c r="G19" s="1562">
        <f>2345+10041</f>
        <v>12386</v>
      </c>
      <c r="H19" s="1563"/>
      <c r="I19" s="1564">
        <v>73</v>
      </c>
      <c r="J19" s="1565">
        <v>73</v>
      </c>
      <c r="K19" s="1565">
        <v>509</v>
      </c>
      <c r="L19" s="1572"/>
      <c r="M19" s="1572"/>
      <c r="N19" s="1572"/>
      <c r="O19" s="1566">
        <f>SUM(I19:N19)</f>
        <v>655</v>
      </c>
      <c r="P19" s="1573"/>
    </row>
    <row r="20" spans="1:261" s="337" customFormat="1" ht="18" customHeight="1" x14ac:dyDescent="0.35">
      <c r="A20" s="1423">
        <v>9</v>
      </c>
      <c r="B20" s="1568"/>
      <c r="C20" s="1569"/>
      <c r="D20" s="1163" t="s">
        <v>1064</v>
      </c>
      <c r="E20" s="1560"/>
      <c r="F20" s="1561"/>
      <c r="G20" s="1562"/>
      <c r="H20" s="1563"/>
      <c r="I20" s="1580">
        <v>74</v>
      </c>
      <c r="J20" s="1574">
        <v>40</v>
      </c>
      <c r="K20" s="1574">
        <v>302</v>
      </c>
      <c r="L20" s="1574">
        <v>760</v>
      </c>
      <c r="M20" s="1572"/>
      <c r="N20" s="1572"/>
      <c r="O20" s="1576">
        <f>SUM(I20:N20)</f>
        <v>1176</v>
      </c>
      <c r="P20" s="1573"/>
    </row>
    <row r="21" spans="1:261" s="337" customFormat="1" ht="18" customHeight="1" x14ac:dyDescent="0.35">
      <c r="A21" s="1423">
        <v>10</v>
      </c>
      <c r="B21" s="1568"/>
      <c r="C21" s="1569"/>
      <c r="D21" s="1174" t="s">
        <v>1012</v>
      </c>
      <c r="E21" s="1560"/>
      <c r="F21" s="1561"/>
      <c r="G21" s="1562"/>
      <c r="H21" s="1563"/>
      <c r="I21" s="1580"/>
      <c r="J21" s="1574"/>
      <c r="K21" s="1574"/>
      <c r="L21" s="1581"/>
      <c r="M21" s="1575"/>
      <c r="N21" s="1575"/>
      <c r="O21" s="1578">
        <f>SUM(I21:N21)</f>
        <v>0</v>
      </c>
      <c r="P21" s="1573"/>
    </row>
    <row r="22" spans="1:261" s="337" customFormat="1" ht="18" customHeight="1" x14ac:dyDescent="0.35">
      <c r="A22" s="1423">
        <v>11</v>
      </c>
      <c r="B22" s="1568"/>
      <c r="C22" s="1569"/>
      <c r="D22" s="1163" t="s">
        <v>1116</v>
      </c>
      <c r="E22" s="1560"/>
      <c r="F22" s="1561"/>
      <c r="G22" s="1562"/>
      <c r="H22" s="1563"/>
      <c r="I22" s="1580">
        <f>SUM(I20:I21)</f>
        <v>74</v>
      </c>
      <c r="J22" s="1580">
        <f t="shared" ref="J22:K22" si="1">SUM(J20:J21)</f>
        <v>40</v>
      </c>
      <c r="K22" s="1580">
        <f t="shared" si="1"/>
        <v>302</v>
      </c>
      <c r="L22" s="1574">
        <f>SUM(L20:L21)</f>
        <v>760</v>
      </c>
      <c r="M22" s="1575"/>
      <c r="N22" s="1575"/>
      <c r="O22" s="1576">
        <f>SUM(I22:N22)</f>
        <v>1176</v>
      </c>
      <c r="P22" s="1573"/>
    </row>
    <row r="23" spans="1:261" s="272" customFormat="1" ht="36" customHeight="1" x14ac:dyDescent="0.35">
      <c r="A23" s="1423">
        <v>12</v>
      </c>
      <c r="B23" s="1557"/>
      <c r="C23" s="1582">
        <v>3</v>
      </c>
      <c r="D23" s="1583" t="s">
        <v>687</v>
      </c>
      <c r="E23" s="1560"/>
      <c r="F23" s="1561"/>
      <c r="G23" s="1562"/>
      <c r="H23" s="1584" t="s">
        <v>24</v>
      </c>
      <c r="I23" s="1564"/>
      <c r="J23" s="1565"/>
      <c r="K23" s="1565"/>
      <c r="L23" s="1565"/>
      <c r="M23" s="1565"/>
      <c r="N23" s="1565"/>
      <c r="O23" s="1566"/>
      <c r="P23" s="1567"/>
      <c r="Q23" s="148"/>
      <c r="R23" s="148"/>
      <c r="S23" s="148"/>
      <c r="T23" s="148"/>
      <c r="U23" s="148"/>
      <c r="V23" s="148"/>
      <c r="W23" s="148"/>
      <c r="X23" s="148"/>
      <c r="Y23" s="148"/>
      <c r="Z23" s="148"/>
      <c r="AA23" s="148"/>
      <c r="AB23" s="148"/>
      <c r="AC23" s="148"/>
      <c r="AD23" s="148"/>
      <c r="AE23" s="148"/>
      <c r="AF23" s="148"/>
      <c r="AG23" s="148"/>
      <c r="AH23" s="148"/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48"/>
      <c r="BB23" s="148"/>
      <c r="BC23" s="148"/>
      <c r="BD23" s="148"/>
      <c r="BE23" s="148"/>
      <c r="BF23" s="148"/>
      <c r="BG23" s="148"/>
      <c r="BH23" s="148"/>
      <c r="BI23" s="148"/>
      <c r="BJ23" s="148"/>
      <c r="BK23" s="148"/>
      <c r="BL23" s="148"/>
      <c r="BM23" s="148"/>
      <c r="BN23" s="148"/>
      <c r="BO23" s="148"/>
      <c r="BP23" s="148"/>
      <c r="BQ23" s="148"/>
      <c r="BR23" s="148"/>
      <c r="BS23" s="148"/>
      <c r="BT23" s="148"/>
      <c r="BU23" s="148"/>
      <c r="BV23" s="148"/>
      <c r="BW23" s="148"/>
      <c r="BX23" s="148"/>
      <c r="BY23" s="148"/>
      <c r="BZ23" s="148"/>
      <c r="CA23" s="148"/>
      <c r="CB23" s="148"/>
      <c r="CC23" s="148"/>
      <c r="CD23" s="148"/>
      <c r="CE23" s="148"/>
      <c r="CF23" s="148"/>
      <c r="CG23" s="148"/>
      <c r="CH23" s="148"/>
      <c r="CI23" s="148"/>
      <c r="CJ23" s="148"/>
      <c r="CK23" s="148"/>
      <c r="CL23" s="148"/>
      <c r="CM23" s="148"/>
      <c r="CN23" s="148"/>
      <c r="CO23" s="148"/>
      <c r="CP23" s="148"/>
      <c r="CQ23" s="148"/>
      <c r="CR23" s="148"/>
      <c r="CS23" s="148"/>
      <c r="CT23" s="148"/>
      <c r="CU23" s="148"/>
      <c r="CV23" s="148"/>
      <c r="CW23" s="148"/>
      <c r="CX23" s="148"/>
      <c r="CY23" s="148"/>
      <c r="CZ23" s="148"/>
      <c r="DA23" s="148"/>
      <c r="DB23" s="148"/>
      <c r="DC23" s="148"/>
      <c r="DD23" s="148"/>
      <c r="DE23" s="148"/>
      <c r="DF23" s="148"/>
      <c r="DG23" s="148"/>
      <c r="DH23" s="148"/>
      <c r="DI23" s="148"/>
      <c r="DJ23" s="148"/>
      <c r="DK23" s="148"/>
      <c r="DL23" s="148"/>
      <c r="DM23" s="148"/>
      <c r="DN23" s="148"/>
      <c r="DO23" s="148"/>
      <c r="DP23" s="148"/>
      <c r="DQ23" s="148"/>
      <c r="DR23" s="148"/>
      <c r="DS23" s="148"/>
      <c r="DT23" s="148"/>
      <c r="DU23" s="148"/>
      <c r="DV23" s="148"/>
      <c r="DW23" s="148"/>
      <c r="DX23" s="148"/>
      <c r="DY23" s="148"/>
      <c r="DZ23" s="148"/>
      <c r="EA23" s="148"/>
      <c r="EB23" s="148"/>
      <c r="EC23" s="148"/>
      <c r="ED23" s="148"/>
      <c r="EE23" s="148"/>
      <c r="EF23" s="148"/>
      <c r="EG23" s="148"/>
      <c r="EH23" s="148"/>
      <c r="EI23" s="148"/>
      <c r="EJ23" s="148"/>
      <c r="EK23" s="148"/>
      <c r="EL23" s="148"/>
      <c r="EM23" s="148"/>
      <c r="EN23" s="148"/>
      <c r="EO23" s="148"/>
      <c r="EP23" s="148"/>
      <c r="EQ23" s="148"/>
      <c r="ER23" s="148"/>
      <c r="ES23" s="148"/>
      <c r="ET23" s="148"/>
      <c r="EU23" s="148"/>
      <c r="EV23" s="148"/>
      <c r="EW23" s="148"/>
      <c r="EX23" s="148"/>
      <c r="EY23" s="148"/>
      <c r="EZ23" s="148"/>
      <c r="FA23" s="148"/>
      <c r="FB23" s="148"/>
      <c r="FC23" s="148"/>
      <c r="FD23" s="148"/>
      <c r="FE23" s="148"/>
      <c r="FF23" s="148"/>
      <c r="FG23" s="148"/>
      <c r="FH23" s="148"/>
      <c r="FI23" s="148"/>
      <c r="FJ23" s="148"/>
      <c r="FK23" s="148"/>
      <c r="FL23" s="148"/>
      <c r="FM23" s="148"/>
      <c r="FN23" s="148"/>
      <c r="FO23" s="148"/>
      <c r="FP23" s="148"/>
      <c r="FQ23" s="148"/>
      <c r="FR23" s="148"/>
      <c r="FS23" s="148"/>
      <c r="FT23" s="148"/>
      <c r="FU23" s="148"/>
      <c r="FV23" s="148"/>
      <c r="FW23" s="148"/>
      <c r="FX23" s="148"/>
      <c r="FY23" s="148"/>
      <c r="FZ23" s="148"/>
      <c r="GA23" s="148"/>
      <c r="GB23" s="148"/>
      <c r="GC23" s="148"/>
      <c r="GD23" s="148"/>
      <c r="GE23" s="148"/>
      <c r="GF23" s="148"/>
      <c r="GG23" s="148"/>
      <c r="GH23" s="148"/>
      <c r="GI23" s="148"/>
      <c r="GJ23" s="148"/>
      <c r="GK23" s="148"/>
      <c r="GL23" s="148"/>
      <c r="GM23" s="148"/>
      <c r="GN23" s="148"/>
      <c r="GO23" s="148"/>
      <c r="GP23" s="148"/>
      <c r="GQ23" s="148"/>
      <c r="GR23" s="148"/>
      <c r="GS23" s="148"/>
      <c r="GT23" s="148"/>
      <c r="GU23" s="148"/>
      <c r="GV23" s="148"/>
      <c r="GW23" s="148"/>
      <c r="GX23" s="148"/>
      <c r="GY23" s="148"/>
      <c r="GZ23" s="148"/>
      <c r="HA23" s="148"/>
      <c r="HB23" s="148"/>
      <c r="HC23" s="148"/>
      <c r="HD23" s="148"/>
      <c r="HE23" s="148"/>
      <c r="HF23" s="148"/>
      <c r="HG23" s="148"/>
      <c r="HH23" s="148"/>
      <c r="HI23" s="148"/>
      <c r="HJ23" s="148"/>
      <c r="HK23" s="148"/>
      <c r="HL23" s="148"/>
      <c r="HM23" s="148"/>
      <c r="HN23" s="148"/>
      <c r="HO23" s="148"/>
      <c r="HP23" s="148"/>
      <c r="HQ23" s="148"/>
      <c r="HR23" s="148"/>
      <c r="HS23" s="148"/>
      <c r="HT23" s="148"/>
      <c r="HU23" s="148"/>
      <c r="HV23" s="148"/>
      <c r="HW23" s="148"/>
      <c r="HX23" s="148"/>
      <c r="HY23" s="148"/>
      <c r="HZ23" s="148"/>
      <c r="IA23" s="148"/>
      <c r="IB23" s="148"/>
      <c r="IC23" s="148"/>
      <c r="ID23" s="148"/>
      <c r="IE23" s="148"/>
      <c r="IF23" s="148"/>
      <c r="IG23" s="148"/>
      <c r="IH23" s="148"/>
      <c r="II23" s="148"/>
      <c r="IJ23" s="148"/>
      <c r="IK23" s="148"/>
      <c r="IL23" s="148"/>
      <c r="IM23" s="148"/>
      <c r="IN23" s="148"/>
      <c r="IO23" s="148"/>
      <c r="IP23" s="148"/>
      <c r="IQ23" s="148"/>
      <c r="IR23" s="148"/>
      <c r="IS23" s="148"/>
      <c r="IT23" s="148"/>
      <c r="IU23" s="148"/>
      <c r="IV23" s="148"/>
      <c r="IW23" s="148"/>
      <c r="IX23" s="148"/>
      <c r="IY23" s="148"/>
      <c r="IZ23" s="148"/>
      <c r="JA23" s="148"/>
    </row>
    <row r="24" spans="1:261" s="337" customFormat="1" ht="18" customHeight="1" x14ac:dyDescent="0.35">
      <c r="A24" s="1423">
        <v>13</v>
      </c>
      <c r="B24" s="1568"/>
      <c r="C24" s="1569"/>
      <c r="D24" s="1570" t="s">
        <v>311</v>
      </c>
      <c r="E24" s="1560">
        <f>F24+G24+O27+P27</f>
        <v>282576</v>
      </c>
      <c r="F24" s="1561">
        <v>6699</v>
      </c>
      <c r="G24" s="1562"/>
      <c r="H24" s="1563"/>
      <c r="I24" s="1571"/>
      <c r="J24" s="1572"/>
      <c r="K24" s="1565">
        <v>278</v>
      </c>
      <c r="L24" s="1572"/>
      <c r="M24" s="1565">
        <f>52777+222822</f>
        <v>275599</v>
      </c>
      <c r="N24" s="1572"/>
      <c r="O24" s="1566">
        <f>SUM(I24:N24)</f>
        <v>275877</v>
      </c>
      <c r="P24" s="1573"/>
    </row>
    <row r="25" spans="1:261" s="337" customFormat="1" ht="18" customHeight="1" x14ac:dyDescent="0.35">
      <c r="A25" s="1423">
        <v>14</v>
      </c>
      <c r="B25" s="1568"/>
      <c r="C25" s="1569"/>
      <c r="D25" s="1163" t="s">
        <v>1064</v>
      </c>
      <c r="E25" s="1560"/>
      <c r="F25" s="1561"/>
      <c r="G25" s="1562"/>
      <c r="H25" s="1563"/>
      <c r="I25" s="1571"/>
      <c r="J25" s="1572"/>
      <c r="K25" s="1574">
        <v>278</v>
      </c>
      <c r="L25" s="1575"/>
      <c r="M25" s="1574">
        <v>275599</v>
      </c>
      <c r="N25" s="1572"/>
      <c r="O25" s="1576">
        <f>SUM(I25:N25)</f>
        <v>275877</v>
      </c>
      <c r="P25" s="1573"/>
    </row>
    <row r="26" spans="1:261" s="337" customFormat="1" ht="18" customHeight="1" x14ac:dyDescent="0.35">
      <c r="A26" s="1423">
        <v>15</v>
      </c>
      <c r="B26" s="1568"/>
      <c r="C26" s="1569"/>
      <c r="D26" s="1174" t="s">
        <v>999</v>
      </c>
      <c r="E26" s="1560"/>
      <c r="F26" s="1561"/>
      <c r="G26" s="1562"/>
      <c r="H26" s="1563"/>
      <c r="I26" s="1577"/>
      <c r="J26" s="1575"/>
      <c r="K26" s="1574"/>
      <c r="L26" s="1575"/>
      <c r="M26" s="1574"/>
      <c r="N26" s="1575"/>
      <c r="O26" s="1578">
        <f>SUM(I26:N26)</f>
        <v>0</v>
      </c>
      <c r="P26" s="1573"/>
    </row>
    <row r="27" spans="1:261" s="337" customFormat="1" ht="18" customHeight="1" x14ac:dyDescent="0.35">
      <c r="A27" s="1423">
        <v>16</v>
      </c>
      <c r="B27" s="1568"/>
      <c r="C27" s="1569"/>
      <c r="D27" s="1163" t="s">
        <v>1116</v>
      </c>
      <c r="E27" s="1560"/>
      <c r="F27" s="1561"/>
      <c r="G27" s="1562"/>
      <c r="H27" s="1563"/>
      <c r="I27" s="1577"/>
      <c r="J27" s="1575"/>
      <c r="K27" s="1574">
        <f>SUM(K25:K26)</f>
        <v>278</v>
      </c>
      <c r="L27" s="1574"/>
      <c r="M27" s="1574">
        <f t="shared" ref="M27" si="2">SUM(M25:M26)</f>
        <v>275599</v>
      </c>
      <c r="N27" s="1575"/>
      <c r="O27" s="1576">
        <f>SUM(I27:N27)</f>
        <v>275877</v>
      </c>
      <c r="P27" s="1573"/>
    </row>
    <row r="28" spans="1:261" s="272" customFormat="1" ht="22.5" customHeight="1" x14ac:dyDescent="0.35">
      <c r="A28" s="1423">
        <v>17</v>
      </c>
      <c r="B28" s="1557"/>
      <c r="C28" s="1558">
        <v>4</v>
      </c>
      <c r="D28" s="1559" t="s">
        <v>688</v>
      </c>
      <c r="E28" s="1560"/>
      <c r="F28" s="1561"/>
      <c r="G28" s="1562"/>
      <c r="H28" s="1563" t="s">
        <v>24</v>
      </c>
      <c r="I28" s="1564"/>
      <c r="J28" s="1565"/>
      <c r="K28" s="1565"/>
      <c r="L28" s="1565"/>
      <c r="M28" s="1565"/>
      <c r="N28" s="1565"/>
      <c r="O28" s="1566"/>
      <c r="P28" s="1567"/>
      <c r="Q28" s="148"/>
      <c r="R28" s="148"/>
      <c r="S28" s="148"/>
      <c r="T28" s="148"/>
      <c r="U28" s="148"/>
      <c r="V28" s="148"/>
      <c r="W28" s="148"/>
      <c r="X28" s="148"/>
      <c r="Y28" s="148"/>
      <c r="Z28" s="148"/>
      <c r="AA28" s="148"/>
      <c r="AB28" s="148"/>
      <c r="AC28" s="148"/>
      <c r="AD28" s="148"/>
      <c r="AE28" s="148"/>
      <c r="AF28" s="148"/>
      <c r="AG28" s="148"/>
      <c r="AH28" s="148"/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  <c r="BH28" s="148"/>
      <c r="BI28" s="148"/>
      <c r="BJ28" s="148"/>
      <c r="BK28" s="148"/>
      <c r="BL28" s="148"/>
      <c r="BM28" s="148"/>
      <c r="BN28" s="148"/>
      <c r="BO28" s="148"/>
      <c r="BP28" s="148"/>
      <c r="BQ28" s="148"/>
      <c r="BR28" s="148"/>
      <c r="BS28" s="148"/>
      <c r="BT28" s="148"/>
      <c r="BU28" s="148"/>
      <c r="BV28" s="148"/>
      <c r="BW28" s="148"/>
      <c r="BX28" s="148"/>
      <c r="BY28" s="148"/>
      <c r="BZ28" s="148"/>
      <c r="CA28" s="148"/>
      <c r="CB28" s="148"/>
      <c r="CC28" s="148"/>
      <c r="CD28" s="148"/>
      <c r="CE28" s="148"/>
      <c r="CF28" s="148"/>
      <c r="CG28" s="148"/>
      <c r="CH28" s="148"/>
      <c r="CI28" s="148"/>
      <c r="CJ28" s="148"/>
      <c r="CK28" s="148"/>
      <c r="CL28" s="148"/>
      <c r="CM28" s="148"/>
      <c r="CN28" s="148"/>
      <c r="CO28" s="148"/>
      <c r="CP28" s="148"/>
      <c r="CQ28" s="148"/>
      <c r="CR28" s="148"/>
      <c r="CS28" s="148"/>
      <c r="CT28" s="148"/>
      <c r="CU28" s="148"/>
      <c r="CV28" s="148"/>
      <c r="CW28" s="148"/>
      <c r="CX28" s="148"/>
      <c r="CY28" s="148"/>
      <c r="CZ28" s="148"/>
      <c r="DA28" s="148"/>
      <c r="DB28" s="148"/>
      <c r="DC28" s="148"/>
      <c r="DD28" s="148"/>
      <c r="DE28" s="148"/>
      <c r="DF28" s="148"/>
      <c r="DG28" s="148"/>
      <c r="DH28" s="148"/>
      <c r="DI28" s="148"/>
      <c r="DJ28" s="148"/>
      <c r="DK28" s="148"/>
      <c r="DL28" s="148"/>
      <c r="DM28" s="148"/>
      <c r="DN28" s="148"/>
      <c r="DO28" s="148"/>
      <c r="DP28" s="148"/>
      <c r="DQ28" s="148"/>
      <c r="DR28" s="148"/>
      <c r="DS28" s="148"/>
      <c r="DT28" s="148"/>
      <c r="DU28" s="148"/>
      <c r="DV28" s="148"/>
      <c r="DW28" s="148"/>
      <c r="DX28" s="148"/>
      <c r="DY28" s="148"/>
      <c r="DZ28" s="148"/>
      <c r="EA28" s="148"/>
      <c r="EB28" s="148"/>
      <c r="EC28" s="148"/>
      <c r="ED28" s="148"/>
      <c r="EE28" s="148"/>
      <c r="EF28" s="148"/>
      <c r="EG28" s="148"/>
      <c r="EH28" s="148"/>
      <c r="EI28" s="148"/>
      <c r="EJ28" s="148"/>
      <c r="EK28" s="148"/>
      <c r="EL28" s="148"/>
      <c r="EM28" s="148"/>
      <c r="EN28" s="148"/>
      <c r="EO28" s="148"/>
      <c r="EP28" s="148"/>
      <c r="EQ28" s="148"/>
      <c r="ER28" s="148"/>
      <c r="ES28" s="148"/>
      <c r="ET28" s="148"/>
      <c r="EU28" s="148"/>
      <c r="EV28" s="148"/>
      <c r="EW28" s="148"/>
      <c r="EX28" s="148"/>
      <c r="EY28" s="148"/>
      <c r="EZ28" s="148"/>
      <c r="FA28" s="148"/>
      <c r="FB28" s="148"/>
      <c r="FC28" s="148"/>
      <c r="FD28" s="148"/>
      <c r="FE28" s="148"/>
      <c r="FF28" s="148"/>
      <c r="FG28" s="148"/>
      <c r="FH28" s="148"/>
      <c r="FI28" s="148"/>
      <c r="FJ28" s="148"/>
      <c r="FK28" s="148"/>
      <c r="FL28" s="148"/>
      <c r="FM28" s="148"/>
      <c r="FN28" s="148"/>
      <c r="FO28" s="148"/>
      <c r="FP28" s="148"/>
      <c r="FQ28" s="148"/>
      <c r="FR28" s="148"/>
      <c r="FS28" s="148"/>
      <c r="FT28" s="148"/>
      <c r="FU28" s="148"/>
      <c r="FV28" s="148"/>
      <c r="FW28" s="148"/>
      <c r="FX28" s="148"/>
      <c r="FY28" s="148"/>
      <c r="FZ28" s="148"/>
      <c r="GA28" s="148"/>
      <c r="GB28" s="148"/>
      <c r="GC28" s="148"/>
      <c r="GD28" s="148"/>
      <c r="GE28" s="148"/>
      <c r="GF28" s="148"/>
      <c r="GG28" s="148"/>
      <c r="GH28" s="148"/>
      <c r="GI28" s="148"/>
      <c r="GJ28" s="148"/>
      <c r="GK28" s="148"/>
      <c r="GL28" s="148"/>
      <c r="GM28" s="148"/>
      <c r="GN28" s="148"/>
      <c r="GO28" s="148"/>
      <c r="GP28" s="148"/>
      <c r="GQ28" s="148"/>
      <c r="GR28" s="148"/>
      <c r="GS28" s="148"/>
      <c r="GT28" s="148"/>
      <c r="GU28" s="148"/>
      <c r="GV28" s="148"/>
      <c r="GW28" s="148"/>
      <c r="GX28" s="148"/>
      <c r="GY28" s="148"/>
      <c r="GZ28" s="148"/>
      <c r="HA28" s="148"/>
      <c r="HB28" s="148"/>
      <c r="HC28" s="148"/>
      <c r="HD28" s="148"/>
      <c r="HE28" s="148"/>
      <c r="HF28" s="148"/>
      <c r="HG28" s="148"/>
      <c r="HH28" s="148"/>
      <c r="HI28" s="148"/>
      <c r="HJ28" s="148"/>
      <c r="HK28" s="148"/>
      <c r="HL28" s="148"/>
      <c r="HM28" s="148"/>
      <c r="HN28" s="148"/>
      <c r="HO28" s="148"/>
      <c r="HP28" s="148"/>
      <c r="HQ28" s="148"/>
      <c r="HR28" s="148"/>
      <c r="HS28" s="148"/>
      <c r="HT28" s="148"/>
      <c r="HU28" s="148"/>
      <c r="HV28" s="148"/>
      <c r="HW28" s="148"/>
      <c r="HX28" s="148"/>
      <c r="HY28" s="148"/>
      <c r="HZ28" s="148"/>
      <c r="IA28" s="148"/>
      <c r="IB28" s="148"/>
      <c r="IC28" s="148"/>
      <c r="ID28" s="148"/>
      <c r="IE28" s="148"/>
      <c r="IF28" s="148"/>
      <c r="IG28" s="148"/>
      <c r="IH28" s="148"/>
      <c r="II28" s="148"/>
      <c r="IJ28" s="148"/>
      <c r="IK28" s="148"/>
      <c r="IL28" s="148"/>
      <c r="IM28" s="148"/>
      <c r="IN28" s="148"/>
      <c r="IO28" s="148"/>
      <c r="IP28" s="148"/>
      <c r="IQ28" s="148"/>
      <c r="IR28" s="148"/>
      <c r="IS28" s="148"/>
      <c r="IT28" s="148"/>
      <c r="IU28" s="148"/>
      <c r="IV28" s="148"/>
      <c r="IW28" s="148"/>
      <c r="IX28" s="148"/>
      <c r="IY28" s="148"/>
      <c r="IZ28" s="148"/>
      <c r="JA28" s="148"/>
    </row>
    <row r="29" spans="1:261" s="337" customFormat="1" ht="18" customHeight="1" x14ac:dyDescent="0.35">
      <c r="A29" s="1423">
        <v>18</v>
      </c>
      <c r="B29" s="1568"/>
      <c r="C29" s="1569"/>
      <c r="D29" s="1585" t="s">
        <v>311</v>
      </c>
      <c r="E29" s="1560">
        <f>F29+G29+O32+P32</f>
        <v>66636</v>
      </c>
      <c r="F29" s="1561">
        <v>143</v>
      </c>
      <c r="G29" s="1562">
        <f>196+62988+1540</f>
        <v>64724</v>
      </c>
      <c r="H29" s="1563"/>
      <c r="I29" s="1571"/>
      <c r="J29" s="1572"/>
      <c r="K29" s="1565">
        <v>61</v>
      </c>
      <c r="L29" s="1572"/>
      <c r="M29" s="1565">
        <v>1708</v>
      </c>
      <c r="N29" s="1572"/>
      <c r="O29" s="1566">
        <f>SUM(I29:N29)</f>
        <v>1769</v>
      </c>
      <c r="P29" s="1573"/>
    </row>
    <row r="30" spans="1:261" s="337" customFormat="1" ht="18" customHeight="1" x14ac:dyDescent="0.35">
      <c r="A30" s="1423">
        <v>19</v>
      </c>
      <c r="B30" s="1568"/>
      <c r="C30" s="1569"/>
      <c r="D30" s="1163" t="s">
        <v>1064</v>
      </c>
      <c r="E30" s="1560"/>
      <c r="F30" s="1561"/>
      <c r="G30" s="1562"/>
      <c r="H30" s="1563"/>
      <c r="I30" s="1571"/>
      <c r="J30" s="1572"/>
      <c r="K30" s="1574">
        <v>61</v>
      </c>
      <c r="L30" s="1575"/>
      <c r="M30" s="1574">
        <v>1708</v>
      </c>
      <c r="N30" s="1572"/>
      <c r="O30" s="1576">
        <f>SUM(I30:N30)</f>
        <v>1769</v>
      </c>
      <c r="P30" s="1573"/>
    </row>
    <row r="31" spans="1:261" s="337" customFormat="1" ht="18" customHeight="1" x14ac:dyDescent="0.35">
      <c r="A31" s="1423">
        <v>20</v>
      </c>
      <c r="B31" s="1568"/>
      <c r="C31" s="1569"/>
      <c r="D31" s="1174" t="s">
        <v>999</v>
      </c>
      <c r="E31" s="1560"/>
      <c r="F31" s="1561"/>
      <c r="G31" s="1562"/>
      <c r="H31" s="1563"/>
      <c r="I31" s="1577"/>
      <c r="J31" s="1575"/>
      <c r="K31" s="1574"/>
      <c r="L31" s="1575"/>
      <c r="M31" s="1574"/>
      <c r="N31" s="1575"/>
      <c r="O31" s="1578">
        <f>SUM(I31:N31)</f>
        <v>0</v>
      </c>
      <c r="P31" s="1573"/>
    </row>
    <row r="32" spans="1:261" s="337" customFormat="1" ht="18" customHeight="1" x14ac:dyDescent="0.35">
      <c r="A32" s="1423">
        <v>21</v>
      </c>
      <c r="B32" s="1568"/>
      <c r="C32" s="1569"/>
      <c r="D32" s="1163" t="s">
        <v>1116</v>
      </c>
      <c r="E32" s="1560"/>
      <c r="F32" s="1561"/>
      <c r="G32" s="1562"/>
      <c r="H32" s="1563"/>
      <c r="I32" s="1577"/>
      <c r="J32" s="1575"/>
      <c r="K32" s="1574">
        <f>SUM(K30:K31)</f>
        <v>61</v>
      </c>
      <c r="L32" s="1574"/>
      <c r="M32" s="1574">
        <f t="shared" ref="M32" si="3">SUM(M30:M31)</f>
        <v>1708</v>
      </c>
      <c r="N32" s="1575"/>
      <c r="O32" s="1576">
        <f>SUM(I32:N32)</f>
        <v>1769</v>
      </c>
      <c r="P32" s="1573"/>
    </row>
    <row r="33" spans="1:261" s="272" customFormat="1" ht="38.25" customHeight="1" x14ac:dyDescent="0.35">
      <c r="A33" s="1423">
        <v>22</v>
      </c>
      <c r="B33" s="1557"/>
      <c r="C33" s="1582">
        <v>5</v>
      </c>
      <c r="D33" s="1414" t="s">
        <v>616</v>
      </c>
      <c r="E33" s="1560"/>
      <c r="F33" s="1560"/>
      <c r="G33" s="1562"/>
      <c r="H33" s="1584" t="s">
        <v>24</v>
      </c>
      <c r="I33" s="1586"/>
      <c r="J33" s="1587"/>
      <c r="K33" s="1587"/>
      <c r="L33" s="1587"/>
      <c r="M33" s="1587"/>
      <c r="N33" s="1587"/>
      <c r="O33" s="1588"/>
      <c r="P33" s="1567"/>
      <c r="Q33" s="148"/>
      <c r="R33" s="148"/>
      <c r="S33" s="148"/>
      <c r="T33" s="148"/>
      <c r="U33" s="148"/>
      <c r="V33" s="148"/>
      <c r="W33" s="148"/>
      <c r="X33" s="148"/>
      <c r="Y33" s="148"/>
      <c r="Z33" s="148"/>
      <c r="AA33" s="148"/>
      <c r="AB33" s="148"/>
      <c r="AC33" s="148"/>
      <c r="AD33" s="148"/>
      <c r="AE33" s="148"/>
      <c r="AF33" s="148"/>
      <c r="AG33" s="148"/>
      <c r="AH33" s="148"/>
      <c r="AI33" s="148"/>
      <c r="AJ33" s="148"/>
      <c r="AK33" s="148"/>
      <c r="AL33" s="148"/>
      <c r="AM33" s="148"/>
      <c r="AN33" s="148"/>
      <c r="AO33" s="148"/>
      <c r="AP33" s="148"/>
      <c r="AQ33" s="148"/>
      <c r="AR33" s="148"/>
      <c r="AS33" s="148"/>
      <c r="AT33" s="148"/>
      <c r="AU33" s="148"/>
      <c r="AV33" s="148"/>
      <c r="AW33" s="148"/>
      <c r="AX33" s="148"/>
      <c r="AY33" s="148"/>
      <c r="AZ33" s="148"/>
      <c r="BA33" s="148"/>
      <c r="BB33" s="148"/>
      <c r="BC33" s="148"/>
      <c r="BD33" s="148"/>
      <c r="BE33" s="148"/>
      <c r="BF33" s="148"/>
      <c r="BG33" s="148"/>
      <c r="BH33" s="148"/>
      <c r="BI33" s="148"/>
      <c r="BJ33" s="148"/>
      <c r="BK33" s="148"/>
      <c r="BL33" s="148"/>
      <c r="BM33" s="148"/>
      <c r="BN33" s="148"/>
      <c r="BO33" s="148"/>
      <c r="BP33" s="148"/>
      <c r="BQ33" s="148"/>
      <c r="BR33" s="148"/>
      <c r="BS33" s="148"/>
      <c r="BT33" s="148"/>
      <c r="BU33" s="148"/>
      <c r="BV33" s="148"/>
      <c r="BW33" s="148"/>
      <c r="BX33" s="148"/>
      <c r="BY33" s="148"/>
      <c r="BZ33" s="148"/>
      <c r="CA33" s="148"/>
      <c r="CB33" s="148"/>
      <c r="CC33" s="148"/>
      <c r="CD33" s="148"/>
      <c r="CE33" s="148"/>
      <c r="CF33" s="148"/>
      <c r="CG33" s="148"/>
      <c r="CH33" s="148"/>
      <c r="CI33" s="148"/>
      <c r="CJ33" s="148"/>
      <c r="CK33" s="148"/>
      <c r="CL33" s="148"/>
      <c r="CM33" s="148"/>
      <c r="CN33" s="148"/>
      <c r="CO33" s="148"/>
      <c r="CP33" s="148"/>
      <c r="CQ33" s="148"/>
      <c r="CR33" s="148"/>
      <c r="CS33" s="148"/>
      <c r="CT33" s="148"/>
      <c r="CU33" s="148"/>
      <c r="CV33" s="148"/>
      <c r="CW33" s="148"/>
      <c r="CX33" s="148"/>
      <c r="CY33" s="148"/>
      <c r="CZ33" s="148"/>
      <c r="DA33" s="148"/>
      <c r="DB33" s="148"/>
      <c r="DC33" s="148"/>
      <c r="DD33" s="148"/>
      <c r="DE33" s="148"/>
      <c r="DF33" s="148"/>
      <c r="DG33" s="148"/>
      <c r="DH33" s="148"/>
      <c r="DI33" s="148"/>
      <c r="DJ33" s="148"/>
      <c r="DK33" s="148"/>
      <c r="DL33" s="148"/>
      <c r="DM33" s="148"/>
      <c r="DN33" s="148"/>
      <c r="DO33" s="148"/>
      <c r="DP33" s="148"/>
      <c r="DQ33" s="148"/>
      <c r="DR33" s="148"/>
      <c r="DS33" s="148"/>
      <c r="DT33" s="148"/>
      <c r="DU33" s="148"/>
      <c r="DV33" s="148"/>
      <c r="DW33" s="148"/>
      <c r="DX33" s="148"/>
      <c r="DY33" s="148"/>
      <c r="DZ33" s="148"/>
      <c r="EA33" s="148"/>
      <c r="EB33" s="148"/>
      <c r="EC33" s="148"/>
      <c r="ED33" s="148"/>
      <c r="EE33" s="148"/>
      <c r="EF33" s="148"/>
      <c r="EG33" s="148"/>
      <c r="EH33" s="148"/>
      <c r="EI33" s="148"/>
      <c r="EJ33" s="148"/>
      <c r="EK33" s="148"/>
      <c r="EL33" s="148"/>
      <c r="EM33" s="148"/>
      <c r="EN33" s="148"/>
      <c r="EO33" s="148"/>
      <c r="EP33" s="148"/>
      <c r="EQ33" s="148"/>
      <c r="ER33" s="148"/>
      <c r="ES33" s="148"/>
      <c r="ET33" s="148"/>
      <c r="EU33" s="148"/>
      <c r="EV33" s="148"/>
      <c r="EW33" s="148"/>
      <c r="EX33" s="148"/>
      <c r="EY33" s="148"/>
      <c r="EZ33" s="148"/>
      <c r="FA33" s="148"/>
      <c r="FB33" s="148"/>
      <c r="FC33" s="148"/>
      <c r="FD33" s="148"/>
      <c r="FE33" s="148"/>
      <c r="FF33" s="148"/>
      <c r="FG33" s="148"/>
      <c r="FH33" s="148"/>
      <c r="FI33" s="148"/>
      <c r="FJ33" s="148"/>
      <c r="FK33" s="148"/>
      <c r="FL33" s="148"/>
      <c r="FM33" s="148"/>
      <c r="FN33" s="148"/>
      <c r="FO33" s="148"/>
      <c r="FP33" s="148"/>
      <c r="FQ33" s="148"/>
      <c r="FR33" s="148"/>
      <c r="FS33" s="148"/>
      <c r="FT33" s="148"/>
      <c r="FU33" s="148"/>
      <c r="FV33" s="148"/>
      <c r="FW33" s="148"/>
      <c r="FX33" s="148"/>
      <c r="FY33" s="148"/>
      <c r="FZ33" s="148"/>
      <c r="GA33" s="148"/>
      <c r="GB33" s="148"/>
      <c r="GC33" s="148"/>
      <c r="GD33" s="148"/>
      <c r="GE33" s="148"/>
      <c r="GF33" s="148"/>
      <c r="GG33" s="148"/>
      <c r="GH33" s="148"/>
      <c r="GI33" s="148"/>
      <c r="GJ33" s="148"/>
      <c r="GK33" s="148"/>
      <c r="GL33" s="148"/>
      <c r="GM33" s="148"/>
      <c r="GN33" s="148"/>
      <c r="GO33" s="148"/>
      <c r="GP33" s="148"/>
      <c r="GQ33" s="148"/>
      <c r="GR33" s="148"/>
      <c r="GS33" s="148"/>
      <c r="GT33" s="148"/>
      <c r="GU33" s="148"/>
      <c r="GV33" s="148"/>
      <c r="GW33" s="148"/>
      <c r="GX33" s="148"/>
      <c r="GY33" s="148"/>
      <c r="GZ33" s="148"/>
      <c r="HA33" s="148"/>
      <c r="HB33" s="148"/>
      <c r="HC33" s="148"/>
      <c r="HD33" s="148"/>
      <c r="HE33" s="148"/>
      <c r="HF33" s="148"/>
      <c r="HG33" s="148"/>
      <c r="HH33" s="148"/>
      <c r="HI33" s="148"/>
      <c r="HJ33" s="148"/>
      <c r="HK33" s="148"/>
      <c r="HL33" s="148"/>
      <c r="HM33" s="148"/>
      <c r="HN33" s="148"/>
      <c r="HO33" s="148"/>
      <c r="HP33" s="148"/>
      <c r="HQ33" s="148"/>
      <c r="HR33" s="148"/>
      <c r="HS33" s="148"/>
      <c r="HT33" s="148"/>
      <c r="HU33" s="148"/>
      <c r="HV33" s="148"/>
      <c r="HW33" s="148"/>
      <c r="HX33" s="148"/>
      <c r="HY33" s="148"/>
      <c r="HZ33" s="148"/>
      <c r="IA33" s="148"/>
      <c r="IB33" s="148"/>
      <c r="IC33" s="148"/>
      <c r="ID33" s="148"/>
      <c r="IE33" s="148"/>
      <c r="IF33" s="148"/>
      <c r="IG33" s="148"/>
      <c r="IH33" s="148"/>
      <c r="II33" s="148"/>
      <c r="IJ33" s="148"/>
      <c r="IK33" s="148"/>
      <c r="IL33" s="148"/>
      <c r="IM33" s="148"/>
      <c r="IN33" s="148"/>
      <c r="IO33" s="148"/>
      <c r="IP33" s="148"/>
      <c r="IQ33" s="148"/>
      <c r="IR33" s="148"/>
      <c r="IS33" s="148"/>
      <c r="IT33" s="148"/>
      <c r="IU33" s="148"/>
      <c r="IV33" s="148"/>
      <c r="IW33" s="148"/>
      <c r="IX33" s="148"/>
      <c r="IY33" s="148"/>
      <c r="IZ33" s="148"/>
      <c r="JA33" s="148"/>
    </row>
    <row r="34" spans="1:261" ht="18" customHeight="1" x14ac:dyDescent="0.35">
      <c r="A34" s="1423">
        <v>23</v>
      </c>
      <c r="B34" s="1589"/>
      <c r="C34" s="1558"/>
      <c r="D34" s="1585" t="s">
        <v>311</v>
      </c>
      <c r="E34" s="1560">
        <f>F34+G34+O37+P37+3250</f>
        <v>175747</v>
      </c>
      <c r="F34" s="1560">
        <v>6541</v>
      </c>
      <c r="G34" s="1562"/>
      <c r="H34" s="1563"/>
      <c r="I34" s="1586"/>
      <c r="J34" s="1587"/>
      <c r="K34" s="1587">
        <v>382</v>
      </c>
      <c r="L34" s="1587"/>
      <c r="M34" s="1587">
        <f>34933+130641</f>
        <v>165574</v>
      </c>
      <c r="N34" s="1587"/>
      <c r="O34" s="1566">
        <f>SUM(I34:N34)</f>
        <v>165956</v>
      </c>
      <c r="P34" s="1567"/>
    </row>
    <row r="35" spans="1:261" ht="18" customHeight="1" x14ac:dyDescent="0.35">
      <c r="A35" s="1423">
        <v>24</v>
      </c>
      <c r="B35" s="1589"/>
      <c r="C35" s="1558"/>
      <c r="D35" s="1163" t="s">
        <v>1064</v>
      </c>
      <c r="E35" s="1560"/>
      <c r="F35" s="1560"/>
      <c r="G35" s="1562"/>
      <c r="H35" s="1563"/>
      <c r="I35" s="1586"/>
      <c r="J35" s="1587"/>
      <c r="K35" s="1560">
        <v>382</v>
      </c>
      <c r="L35" s="1560"/>
      <c r="M35" s="1560">
        <v>165574</v>
      </c>
      <c r="N35" s="1587"/>
      <c r="O35" s="1576">
        <f>SUM(I35:N35)</f>
        <v>165956</v>
      </c>
      <c r="P35" s="1567"/>
    </row>
    <row r="36" spans="1:261" ht="18" customHeight="1" x14ac:dyDescent="0.35">
      <c r="A36" s="1423">
        <v>25</v>
      </c>
      <c r="B36" s="1589"/>
      <c r="C36" s="1558"/>
      <c r="D36" s="1174" t="s">
        <v>999</v>
      </c>
      <c r="E36" s="1560"/>
      <c r="F36" s="1560"/>
      <c r="G36" s="1562"/>
      <c r="H36" s="1563"/>
      <c r="I36" s="1590"/>
      <c r="J36" s="1560"/>
      <c r="K36" s="1560"/>
      <c r="L36" s="1560"/>
      <c r="M36" s="1560"/>
      <c r="N36" s="1560"/>
      <c r="O36" s="1578">
        <f>SUM(I36:N36)</f>
        <v>0</v>
      </c>
      <c r="P36" s="1567"/>
    </row>
    <row r="37" spans="1:261" ht="18" customHeight="1" x14ac:dyDescent="0.35">
      <c r="A37" s="1423">
        <v>26</v>
      </c>
      <c r="B37" s="1589"/>
      <c r="C37" s="1558"/>
      <c r="D37" s="1163" t="s">
        <v>1116</v>
      </c>
      <c r="E37" s="1560"/>
      <c r="F37" s="1560"/>
      <c r="G37" s="1562"/>
      <c r="H37" s="1563"/>
      <c r="I37" s="1590"/>
      <c r="J37" s="1560"/>
      <c r="K37" s="1560">
        <f>SUM(K35:K36)</f>
        <v>382</v>
      </c>
      <c r="L37" s="1560"/>
      <c r="M37" s="1560">
        <f t="shared" ref="M37" si="4">SUM(M35:M36)</f>
        <v>165574</v>
      </c>
      <c r="N37" s="1560"/>
      <c r="O37" s="1576">
        <f>SUM(I37:N37)</f>
        <v>165956</v>
      </c>
      <c r="P37" s="1567"/>
    </row>
    <row r="38" spans="1:261" ht="33" x14ac:dyDescent="0.35">
      <c r="A38" s="1423">
        <v>27</v>
      </c>
      <c r="B38" s="1589"/>
      <c r="C38" s="1582">
        <v>6</v>
      </c>
      <c r="D38" s="1591" t="s">
        <v>690</v>
      </c>
      <c r="E38" s="1560"/>
      <c r="F38" s="1560"/>
      <c r="G38" s="1562"/>
      <c r="H38" s="1563" t="s">
        <v>24</v>
      </c>
      <c r="I38" s="1586"/>
      <c r="J38" s="1587"/>
      <c r="K38" s="1587"/>
      <c r="L38" s="1587"/>
      <c r="M38" s="1587"/>
      <c r="N38" s="1587"/>
      <c r="O38" s="1566"/>
      <c r="P38" s="1567"/>
    </row>
    <row r="39" spans="1:261" ht="18" customHeight="1" x14ac:dyDescent="0.35">
      <c r="A39" s="1423">
        <v>28</v>
      </c>
      <c r="B39" s="1589"/>
      <c r="C39" s="1558"/>
      <c r="D39" s="1585" t="s">
        <v>311</v>
      </c>
      <c r="E39" s="1560">
        <f>F39+G39+O42+P42</f>
        <v>50792</v>
      </c>
      <c r="F39" s="1560">
        <v>1956</v>
      </c>
      <c r="G39" s="1562"/>
      <c r="H39" s="1563"/>
      <c r="I39" s="1586"/>
      <c r="J39" s="1587"/>
      <c r="K39" s="1587">
        <v>270</v>
      </c>
      <c r="L39" s="1587"/>
      <c r="M39" s="1587">
        <f>7068+41498</f>
        <v>48566</v>
      </c>
      <c r="N39" s="1587"/>
      <c r="O39" s="1566">
        <f>SUM(I39:N39)</f>
        <v>48836</v>
      </c>
      <c r="P39" s="1567"/>
    </row>
    <row r="40" spans="1:261" ht="18" customHeight="1" x14ac:dyDescent="0.35">
      <c r="A40" s="1423">
        <v>29</v>
      </c>
      <c r="B40" s="1589"/>
      <c r="C40" s="1558"/>
      <c r="D40" s="1163" t="s">
        <v>1064</v>
      </c>
      <c r="E40" s="1560"/>
      <c r="F40" s="1560"/>
      <c r="G40" s="1562"/>
      <c r="H40" s="1563"/>
      <c r="I40" s="1586"/>
      <c r="J40" s="1587"/>
      <c r="K40" s="1560">
        <v>270</v>
      </c>
      <c r="L40" s="1560"/>
      <c r="M40" s="1560">
        <v>48566</v>
      </c>
      <c r="N40" s="1587"/>
      <c r="O40" s="1576">
        <f>SUM(I40:N40)</f>
        <v>48836</v>
      </c>
      <c r="P40" s="1567"/>
    </row>
    <row r="41" spans="1:261" ht="18" customHeight="1" x14ac:dyDescent="0.35">
      <c r="A41" s="1423">
        <v>30</v>
      </c>
      <c r="B41" s="1589"/>
      <c r="C41" s="1558"/>
      <c r="D41" s="1174" t="s">
        <v>999</v>
      </c>
      <c r="E41" s="1560"/>
      <c r="F41" s="1560"/>
      <c r="G41" s="1562"/>
      <c r="H41" s="1563"/>
      <c r="I41" s="1590"/>
      <c r="J41" s="1560"/>
      <c r="K41" s="1560"/>
      <c r="L41" s="1560"/>
      <c r="M41" s="1560"/>
      <c r="N41" s="1560"/>
      <c r="O41" s="1578">
        <f>SUM(I41:N41)</f>
        <v>0</v>
      </c>
      <c r="P41" s="1567"/>
    </row>
    <row r="42" spans="1:261" ht="18" customHeight="1" x14ac:dyDescent="0.35">
      <c r="A42" s="1423">
        <v>31</v>
      </c>
      <c r="B42" s="1589"/>
      <c r="C42" s="1558"/>
      <c r="D42" s="1163" t="s">
        <v>1116</v>
      </c>
      <c r="E42" s="1560"/>
      <c r="F42" s="1560"/>
      <c r="G42" s="1562"/>
      <c r="H42" s="1563"/>
      <c r="I42" s="1590"/>
      <c r="J42" s="1560"/>
      <c r="K42" s="1560">
        <f>SUM(K40:K41)</f>
        <v>270</v>
      </c>
      <c r="L42" s="1560"/>
      <c r="M42" s="1560">
        <f t="shared" ref="M42" si="5">SUM(M40:M41)</f>
        <v>48566</v>
      </c>
      <c r="N42" s="1560"/>
      <c r="O42" s="1576">
        <f>SUM(I42:N42)</f>
        <v>48836</v>
      </c>
      <c r="P42" s="1567"/>
    </row>
    <row r="43" spans="1:261" ht="33" x14ac:dyDescent="0.35">
      <c r="A43" s="1423">
        <v>32</v>
      </c>
      <c r="B43" s="1589"/>
      <c r="C43" s="1582">
        <v>7</v>
      </c>
      <c r="D43" s="1592" t="s">
        <v>691</v>
      </c>
      <c r="E43" s="1560"/>
      <c r="F43" s="1560"/>
      <c r="G43" s="1562"/>
      <c r="H43" s="1563" t="s">
        <v>24</v>
      </c>
      <c r="I43" s="1586"/>
      <c r="J43" s="1587"/>
      <c r="K43" s="1587"/>
      <c r="L43" s="1587"/>
      <c r="M43" s="1587"/>
      <c r="N43" s="1587"/>
      <c r="O43" s="1566"/>
      <c r="P43" s="1567"/>
    </row>
    <row r="44" spans="1:261" ht="18" customHeight="1" x14ac:dyDescent="0.35">
      <c r="A44" s="1423">
        <v>33</v>
      </c>
      <c r="B44" s="1589"/>
      <c r="C44" s="1558"/>
      <c r="D44" s="1585" t="s">
        <v>311</v>
      </c>
      <c r="E44" s="1560">
        <f>F44+G44+O47+P47</f>
        <v>93009</v>
      </c>
      <c r="F44" s="1560">
        <v>2459</v>
      </c>
      <c r="G44" s="1562"/>
      <c r="H44" s="1563"/>
      <c r="I44" s="1586"/>
      <c r="J44" s="1587"/>
      <c r="K44" s="1587">
        <v>270</v>
      </c>
      <c r="L44" s="1587"/>
      <c r="M44" s="1587">
        <f>37058+53222</f>
        <v>90280</v>
      </c>
      <c r="N44" s="1587"/>
      <c r="O44" s="1566">
        <f>SUM(I44:N44)</f>
        <v>90550</v>
      </c>
      <c r="P44" s="1567"/>
    </row>
    <row r="45" spans="1:261" ht="18" customHeight="1" x14ac:dyDescent="0.35">
      <c r="A45" s="1423">
        <v>34</v>
      </c>
      <c r="B45" s="1589"/>
      <c r="C45" s="1558"/>
      <c r="D45" s="1163" t="s">
        <v>1064</v>
      </c>
      <c r="E45" s="1560"/>
      <c r="F45" s="1560"/>
      <c r="G45" s="1562"/>
      <c r="H45" s="1563"/>
      <c r="I45" s="1586"/>
      <c r="J45" s="1587"/>
      <c r="K45" s="1560">
        <v>270</v>
      </c>
      <c r="L45" s="1560"/>
      <c r="M45" s="1560">
        <v>90280</v>
      </c>
      <c r="N45" s="1587"/>
      <c r="O45" s="1576">
        <f>SUM(I45:N45)</f>
        <v>90550</v>
      </c>
      <c r="P45" s="1567"/>
    </row>
    <row r="46" spans="1:261" ht="18" customHeight="1" x14ac:dyDescent="0.35">
      <c r="A46" s="1423">
        <v>35</v>
      </c>
      <c r="B46" s="1589"/>
      <c r="C46" s="1558"/>
      <c r="D46" s="1174" t="s">
        <v>999</v>
      </c>
      <c r="E46" s="1560"/>
      <c r="F46" s="1560"/>
      <c r="G46" s="1562"/>
      <c r="H46" s="1563"/>
      <c r="I46" s="1590"/>
      <c r="J46" s="1560"/>
      <c r="K46" s="1560"/>
      <c r="L46" s="1560"/>
      <c r="M46" s="1560"/>
      <c r="N46" s="1560"/>
      <c r="O46" s="1578">
        <f>SUM(I46:N46)</f>
        <v>0</v>
      </c>
      <c r="P46" s="1567"/>
    </row>
    <row r="47" spans="1:261" ht="18" customHeight="1" x14ac:dyDescent="0.35">
      <c r="A47" s="1423">
        <v>36</v>
      </c>
      <c r="B47" s="1589"/>
      <c r="C47" s="1558"/>
      <c r="D47" s="1163" t="s">
        <v>1116</v>
      </c>
      <c r="E47" s="1560"/>
      <c r="F47" s="1560"/>
      <c r="G47" s="1562"/>
      <c r="H47" s="1563"/>
      <c r="I47" s="1590"/>
      <c r="J47" s="1560"/>
      <c r="K47" s="1560">
        <f>SUM(K45:K46)</f>
        <v>270</v>
      </c>
      <c r="L47" s="1560"/>
      <c r="M47" s="1560">
        <f t="shared" ref="M47" si="6">SUM(M45:M46)</f>
        <v>90280</v>
      </c>
      <c r="N47" s="1560"/>
      <c r="O47" s="1576">
        <f>SUM(I47:N47)</f>
        <v>90550</v>
      </c>
      <c r="P47" s="1567"/>
    </row>
    <row r="48" spans="1:261" ht="22.5" customHeight="1" x14ac:dyDescent="0.35">
      <c r="A48" s="1423">
        <v>37</v>
      </c>
      <c r="B48" s="1589"/>
      <c r="C48" s="1558">
        <v>8</v>
      </c>
      <c r="D48" s="1593" t="s">
        <v>575</v>
      </c>
      <c r="E48" s="1560"/>
      <c r="F48" s="1560"/>
      <c r="G48" s="1562"/>
      <c r="H48" s="1563" t="s">
        <v>24</v>
      </c>
      <c r="I48" s="1586"/>
      <c r="J48" s="1587"/>
      <c r="K48" s="1587"/>
      <c r="L48" s="1587"/>
      <c r="M48" s="1587"/>
      <c r="N48" s="1587"/>
      <c r="O48" s="1566"/>
      <c r="P48" s="1567"/>
    </row>
    <row r="49" spans="1:261" ht="18" customHeight="1" x14ac:dyDescent="0.35">
      <c r="A49" s="1423">
        <v>38</v>
      </c>
      <c r="B49" s="1589"/>
      <c r="C49" s="1558"/>
      <c r="D49" s="1585" t="s">
        <v>311</v>
      </c>
      <c r="E49" s="1560">
        <f>F49+G49+O52+P52</f>
        <v>72672</v>
      </c>
      <c r="F49" s="1560">
        <v>4926</v>
      </c>
      <c r="G49" s="1562">
        <f>120+67252+329</f>
        <v>67701</v>
      </c>
      <c r="H49" s="1563"/>
      <c r="I49" s="1586"/>
      <c r="J49" s="1587"/>
      <c r="K49" s="1587">
        <v>45</v>
      </c>
      <c r="L49" s="1587"/>
      <c r="M49" s="1587"/>
      <c r="N49" s="1587"/>
      <c r="O49" s="1566">
        <f>SUM(I49:N49)</f>
        <v>45</v>
      </c>
      <c r="P49" s="1567"/>
    </row>
    <row r="50" spans="1:261" ht="18" customHeight="1" x14ac:dyDescent="0.35">
      <c r="A50" s="1423">
        <v>39</v>
      </c>
      <c r="B50" s="1589"/>
      <c r="C50" s="1558"/>
      <c r="D50" s="1163" t="s">
        <v>1064</v>
      </c>
      <c r="E50" s="1560"/>
      <c r="F50" s="1560"/>
      <c r="G50" s="1562"/>
      <c r="H50" s="1563"/>
      <c r="I50" s="1586"/>
      <c r="J50" s="1587"/>
      <c r="K50" s="1560">
        <v>0</v>
      </c>
      <c r="L50" s="1560">
        <v>45</v>
      </c>
      <c r="M50" s="1587"/>
      <c r="N50" s="1587"/>
      <c r="O50" s="1576">
        <f>SUM(I50:N50)</f>
        <v>45</v>
      </c>
      <c r="P50" s="1567"/>
    </row>
    <row r="51" spans="1:261" ht="18" customHeight="1" x14ac:dyDescent="0.35">
      <c r="A51" s="1423">
        <v>40</v>
      </c>
      <c r="B51" s="1589"/>
      <c r="C51" s="1558"/>
      <c r="D51" s="1174" t="s">
        <v>1012</v>
      </c>
      <c r="E51" s="1560"/>
      <c r="F51" s="1560"/>
      <c r="G51" s="1562"/>
      <c r="H51" s="1563"/>
      <c r="I51" s="1590"/>
      <c r="J51" s="1560"/>
      <c r="K51" s="1560"/>
      <c r="L51" s="1560"/>
      <c r="M51" s="1560"/>
      <c r="N51" s="1560"/>
      <c r="O51" s="1578">
        <f>SUM(I51:N51)</f>
        <v>0</v>
      </c>
      <c r="P51" s="1567"/>
    </row>
    <row r="52" spans="1:261" ht="18" customHeight="1" x14ac:dyDescent="0.35">
      <c r="A52" s="1423">
        <v>41</v>
      </c>
      <c r="B52" s="1589"/>
      <c r="C52" s="1558"/>
      <c r="D52" s="1163" t="s">
        <v>1116</v>
      </c>
      <c r="E52" s="1560"/>
      <c r="F52" s="1560"/>
      <c r="G52" s="1562"/>
      <c r="H52" s="1563"/>
      <c r="I52" s="1590"/>
      <c r="J52" s="1560"/>
      <c r="K52" s="1560">
        <f>SUM(K50:K51)</f>
        <v>0</v>
      </c>
      <c r="L52" s="1560">
        <f>SUM(L50:L51)</f>
        <v>45</v>
      </c>
      <c r="M52" s="1560"/>
      <c r="N52" s="1560"/>
      <c r="O52" s="1576">
        <f>SUM(I52:N52)</f>
        <v>45</v>
      </c>
      <c r="P52" s="1567"/>
    </row>
    <row r="53" spans="1:261" s="272" customFormat="1" ht="54.75" customHeight="1" x14ac:dyDescent="0.35">
      <c r="A53" s="1423">
        <v>42</v>
      </c>
      <c r="B53" s="1557"/>
      <c r="C53" s="1582">
        <v>9</v>
      </c>
      <c r="D53" s="1594" t="s">
        <v>617</v>
      </c>
      <c r="E53" s="1560"/>
      <c r="F53" s="1561"/>
      <c r="G53" s="1562"/>
      <c r="H53" s="1584" t="s">
        <v>24</v>
      </c>
      <c r="I53" s="1564"/>
      <c r="J53" s="1565"/>
      <c r="K53" s="1565"/>
      <c r="L53" s="1565"/>
      <c r="M53" s="1565"/>
      <c r="N53" s="1565"/>
      <c r="O53" s="1566"/>
      <c r="P53" s="1567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8"/>
      <c r="AF53" s="148"/>
      <c r="AG53" s="148"/>
      <c r="AH53" s="148"/>
      <c r="AI53" s="148"/>
      <c r="AJ53" s="148"/>
      <c r="AK53" s="148"/>
      <c r="AL53" s="148"/>
      <c r="AM53" s="148"/>
      <c r="AN53" s="148"/>
      <c r="AO53" s="148"/>
      <c r="AP53" s="148"/>
      <c r="AQ53" s="148"/>
      <c r="AR53" s="148"/>
      <c r="AS53" s="148"/>
      <c r="AT53" s="148"/>
      <c r="AU53" s="148"/>
      <c r="AV53" s="148"/>
      <c r="AW53" s="148"/>
      <c r="AX53" s="148"/>
      <c r="AY53" s="148"/>
      <c r="AZ53" s="148"/>
      <c r="BA53" s="148"/>
      <c r="BB53" s="148"/>
      <c r="BC53" s="148"/>
      <c r="BD53" s="148"/>
      <c r="BE53" s="148"/>
      <c r="BF53" s="148"/>
      <c r="BG53" s="148"/>
      <c r="BH53" s="148"/>
      <c r="BI53" s="148"/>
      <c r="BJ53" s="148"/>
      <c r="BK53" s="148"/>
      <c r="BL53" s="148"/>
      <c r="BM53" s="148"/>
      <c r="BN53" s="148"/>
      <c r="BO53" s="148"/>
      <c r="BP53" s="148"/>
      <c r="BQ53" s="148"/>
      <c r="BR53" s="148"/>
      <c r="BS53" s="148"/>
      <c r="BT53" s="148"/>
      <c r="BU53" s="148"/>
      <c r="BV53" s="148"/>
      <c r="BW53" s="148"/>
      <c r="BX53" s="148"/>
      <c r="BY53" s="148"/>
      <c r="BZ53" s="148"/>
      <c r="CA53" s="148"/>
      <c r="CB53" s="148"/>
      <c r="CC53" s="148"/>
      <c r="CD53" s="148"/>
      <c r="CE53" s="148"/>
      <c r="CF53" s="148"/>
      <c r="CG53" s="148"/>
      <c r="CH53" s="148"/>
      <c r="CI53" s="148"/>
      <c r="CJ53" s="148"/>
      <c r="CK53" s="148"/>
      <c r="CL53" s="148"/>
      <c r="CM53" s="148"/>
      <c r="CN53" s="148"/>
      <c r="CO53" s="148"/>
      <c r="CP53" s="148"/>
      <c r="CQ53" s="148"/>
      <c r="CR53" s="148"/>
      <c r="CS53" s="148"/>
      <c r="CT53" s="148"/>
      <c r="CU53" s="148"/>
      <c r="CV53" s="148"/>
      <c r="CW53" s="148"/>
      <c r="CX53" s="148"/>
      <c r="CY53" s="148"/>
      <c r="CZ53" s="148"/>
      <c r="DA53" s="148"/>
      <c r="DB53" s="148"/>
      <c r="DC53" s="148"/>
      <c r="DD53" s="148"/>
      <c r="DE53" s="148"/>
      <c r="DF53" s="148"/>
      <c r="DG53" s="148"/>
      <c r="DH53" s="148"/>
      <c r="DI53" s="148"/>
      <c r="DJ53" s="148"/>
      <c r="DK53" s="148"/>
      <c r="DL53" s="148"/>
      <c r="DM53" s="148"/>
      <c r="DN53" s="148"/>
      <c r="DO53" s="148"/>
      <c r="DP53" s="148"/>
      <c r="DQ53" s="148"/>
      <c r="DR53" s="148"/>
      <c r="DS53" s="148"/>
      <c r="DT53" s="148"/>
      <c r="DU53" s="148"/>
      <c r="DV53" s="148"/>
      <c r="DW53" s="148"/>
      <c r="DX53" s="148"/>
      <c r="DY53" s="148"/>
      <c r="DZ53" s="148"/>
      <c r="EA53" s="148"/>
      <c r="EB53" s="148"/>
      <c r="EC53" s="148"/>
      <c r="ED53" s="148"/>
      <c r="EE53" s="148"/>
      <c r="EF53" s="148"/>
      <c r="EG53" s="148"/>
      <c r="EH53" s="148"/>
      <c r="EI53" s="148"/>
      <c r="EJ53" s="148"/>
      <c r="EK53" s="148"/>
      <c r="EL53" s="148"/>
      <c r="EM53" s="148"/>
      <c r="EN53" s="148"/>
      <c r="EO53" s="148"/>
      <c r="EP53" s="148"/>
      <c r="EQ53" s="148"/>
      <c r="ER53" s="148"/>
      <c r="ES53" s="148"/>
      <c r="ET53" s="148"/>
      <c r="EU53" s="148"/>
      <c r="EV53" s="148"/>
      <c r="EW53" s="148"/>
      <c r="EX53" s="148"/>
      <c r="EY53" s="148"/>
      <c r="EZ53" s="148"/>
      <c r="FA53" s="148"/>
      <c r="FB53" s="148"/>
      <c r="FC53" s="148"/>
      <c r="FD53" s="148"/>
      <c r="FE53" s="148"/>
      <c r="FF53" s="148"/>
      <c r="FG53" s="148"/>
      <c r="FH53" s="148"/>
      <c r="FI53" s="148"/>
      <c r="FJ53" s="148"/>
      <c r="FK53" s="148"/>
      <c r="FL53" s="148"/>
      <c r="FM53" s="148"/>
      <c r="FN53" s="148"/>
      <c r="FO53" s="148"/>
      <c r="FP53" s="148"/>
      <c r="FQ53" s="148"/>
      <c r="FR53" s="148"/>
      <c r="FS53" s="148"/>
      <c r="FT53" s="148"/>
      <c r="FU53" s="148"/>
      <c r="FV53" s="148"/>
      <c r="FW53" s="148"/>
      <c r="FX53" s="148"/>
      <c r="FY53" s="148"/>
      <c r="FZ53" s="148"/>
      <c r="GA53" s="148"/>
      <c r="GB53" s="148"/>
      <c r="GC53" s="148"/>
      <c r="GD53" s="148"/>
      <c r="GE53" s="148"/>
      <c r="GF53" s="148"/>
      <c r="GG53" s="148"/>
      <c r="GH53" s="148"/>
      <c r="GI53" s="148"/>
      <c r="GJ53" s="148"/>
      <c r="GK53" s="148"/>
      <c r="GL53" s="148"/>
      <c r="GM53" s="148"/>
      <c r="GN53" s="148"/>
      <c r="GO53" s="148"/>
      <c r="GP53" s="148"/>
      <c r="GQ53" s="148"/>
      <c r="GR53" s="148"/>
      <c r="GS53" s="148"/>
      <c r="GT53" s="148"/>
      <c r="GU53" s="148"/>
      <c r="GV53" s="148"/>
      <c r="GW53" s="148"/>
      <c r="GX53" s="148"/>
      <c r="GY53" s="148"/>
      <c r="GZ53" s="148"/>
      <c r="HA53" s="148"/>
      <c r="HB53" s="148"/>
      <c r="HC53" s="148"/>
      <c r="HD53" s="148"/>
      <c r="HE53" s="148"/>
      <c r="HF53" s="148"/>
      <c r="HG53" s="148"/>
      <c r="HH53" s="148"/>
      <c r="HI53" s="148"/>
      <c r="HJ53" s="148"/>
      <c r="HK53" s="148"/>
      <c r="HL53" s="148"/>
      <c r="HM53" s="148"/>
      <c r="HN53" s="148"/>
      <c r="HO53" s="148"/>
      <c r="HP53" s="148"/>
      <c r="HQ53" s="148"/>
      <c r="HR53" s="148"/>
      <c r="HS53" s="148"/>
      <c r="HT53" s="148"/>
      <c r="HU53" s="148"/>
      <c r="HV53" s="148"/>
      <c r="HW53" s="148"/>
      <c r="HX53" s="148"/>
      <c r="HY53" s="148"/>
      <c r="HZ53" s="148"/>
      <c r="IA53" s="148"/>
      <c r="IB53" s="148"/>
      <c r="IC53" s="148"/>
      <c r="ID53" s="148"/>
      <c r="IE53" s="148"/>
      <c r="IF53" s="148"/>
      <c r="IG53" s="148"/>
      <c r="IH53" s="148"/>
      <c r="II53" s="148"/>
      <c r="IJ53" s="148"/>
      <c r="IK53" s="148"/>
      <c r="IL53" s="148"/>
      <c r="IM53" s="148"/>
      <c r="IN53" s="148"/>
      <c r="IO53" s="148"/>
      <c r="IP53" s="148"/>
      <c r="IQ53" s="148"/>
      <c r="IR53" s="148"/>
      <c r="IS53" s="148"/>
      <c r="IT53" s="148"/>
      <c r="IU53" s="148"/>
      <c r="IV53" s="148"/>
      <c r="IW53" s="148"/>
      <c r="IX53" s="148"/>
      <c r="IY53" s="148"/>
      <c r="IZ53" s="148"/>
      <c r="JA53" s="148"/>
    </row>
    <row r="54" spans="1:261" ht="18" customHeight="1" x14ac:dyDescent="0.35">
      <c r="A54" s="1423">
        <v>43</v>
      </c>
      <c r="B54" s="1589"/>
      <c r="C54" s="1558"/>
      <c r="D54" s="1585" t="s">
        <v>311</v>
      </c>
      <c r="E54" s="1560">
        <f>F54+G54+O57+P57</f>
        <v>91960</v>
      </c>
      <c r="F54" s="1561">
        <v>4834</v>
      </c>
      <c r="G54" s="1562">
        <v>40</v>
      </c>
      <c r="H54" s="1563"/>
      <c r="I54" s="1564"/>
      <c r="J54" s="1565"/>
      <c r="K54" s="1565">
        <v>395</v>
      </c>
      <c r="L54" s="1565"/>
      <c r="M54" s="1565">
        <f>760+194617</f>
        <v>195377</v>
      </c>
      <c r="N54" s="1565"/>
      <c r="O54" s="1566">
        <f>SUM(I54:N54)</f>
        <v>195772</v>
      </c>
      <c r="P54" s="1567"/>
    </row>
    <row r="55" spans="1:261" ht="18" customHeight="1" x14ac:dyDescent="0.35">
      <c r="A55" s="1423">
        <v>44</v>
      </c>
      <c r="B55" s="1589"/>
      <c r="C55" s="1558"/>
      <c r="D55" s="1163" t="s">
        <v>1064</v>
      </c>
      <c r="E55" s="1560"/>
      <c r="F55" s="1561"/>
      <c r="G55" s="1562"/>
      <c r="H55" s="1563"/>
      <c r="I55" s="1564"/>
      <c r="J55" s="1565"/>
      <c r="K55" s="1574">
        <v>0</v>
      </c>
      <c r="L55" s="1574">
        <v>435</v>
      </c>
      <c r="M55" s="1574">
        <v>0</v>
      </c>
      <c r="N55" s="1574">
        <v>86651</v>
      </c>
      <c r="O55" s="1576">
        <f>SUM(I55:N55)</f>
        <v>87086</v>
      </c>
      <c r="P55" s="1567"/>
    </row>
    <row r="56" spans="1:261" ht="18" customHeight="1" x14ac:dyDescent="0.35">
      <c r="A56" s="1423">
        <v>45</v>
      </c>
      <c r="B56" s="1589"/>
      <c r="C56" s="1558"/>
      <c r="D56" s="1174" t="s">
        <v>1012</v>
      </c>
      <c r="E56" s="1560"/>
      <c r="F56" s="1561"/>
      <c r="G56" s="1562"/>
      <c r="H56" s="1563"/>
      <c r="I56" s="1580"/>
      <c r="J56" s="1574"/>
      <c r="K56" s="1574"/>
      <c r="L56" s="1574"/>
      <c r="M56" s="1574"/>
      <c r="N56" s="1574"/>
      <c r="O56" s="1578">
        <f>SUM(I56:N56)</f>
        <v>0</v>
      </c>
      <c r="P56" s="1567"/>
    </row>
    <row r="57" spans="1:261" ht="18" customHeight="1" x14ac:dyDescent="0.35">
      <c r="A57" s="1423">
        <v>46</v>
      </c>
      <c r="B57" s="1589"/>
      <c r="C57" s="1558"/>
      <c r="D57" s="1163" t="s">
        <v>1116</v>
      </c>
      <c r="E57" s="1560"/>
      <c r="F57" s="1561"/>
      <c r="G57" s="1562"/>
      <c r="H57" s="1563"/>
      <c r="I57" s="1580"/>
      <c r="J57" s="1574"/>
      <c r="K57" s="1574">
        <f>SUM(K55:K56)</f>
        <v>0</v>
      </c>
      <c r="L57" s="1574">
        <f>SUM(L55:L56)</f>
        <v>435</v>
      </c>
      <c r="M57" s="1574">
        <f t="shared" ref="M57:N57" si="7">SUM(M55:M56)</f>
        <v>0</v>
      </c>
      <c r="N57" s="1574">
        <f t="shared" si="7"/>
        <v>86651</v>
      </c>
      <c r="O57" s="1576">
        <f>SUM(I57:N57)</f>
        <v>87086</v>
      </c>
      <c r="P57" s="1567"/>
    </row>
    <row r="58" spans="1:261" s="272" customFormat="1" ht="33" x14ac:dyDescent="0.35">
      <c r="A58" s="1423">
        <v>47</v>
      </c>
      <c r="B58" s="1557"/>
      <c r="C58" s="1582">
        <v>10</v>
      </c>
      <c r="D58" s="1414" t="s">
        <v>689</v>
      </c>
      <c r="E58" s="1560"/>
      <c r="F58" s="1561"/>
      <c r="G58" s="1562"/>
      <c r="H58" s="1584" t="s">
        <v>24</v>
      </c>
      <c r="I58" s="1564"/>
      <c r="J58" s="1565"/>
      <c r="K58" s="1565"/>
      <c r="L58" s="1565"/>
      <c r="M58" s="1565"/>
      <c r="N58" s="1565"/>
      <c r="O58" s="1566"/>
      <c r="P58" s="1567"/>
      <c r="Q58" s="148"/>
      <c r="R58" s="148"/>
      <c r="S58" s="148"/>
      <c r="T58" s="148"/>
      <c r="U58" s="148"/>
      <c r="V58" s="148"/>
      <c r="W58" s="148"/>
      <c r="X58" s="148"/>
      <c r="Y58" s="148"/>
      <c r="Z58" s="148"/>
      <c r="AA58" s="148"/>
      <c r="AB58" s="148"/>
      <c r="AC58" s="148"/>
      <c r="AD58" s="148"/>
      <c r="AE58" s="148"/>
      <c r="AF58" s="148"/>
      <c r="AG58" s="148"/>
      <c r="AH58" s="148"/>
      <c r="AI58" s="148"/>
      <c r="AJ58" s="148"/>
      <c r="AK58" s="148"/>
      <c r="AL58" s="148"/>
      <c r="AM58" s="148"/>
      <c r="AN58" s="148"/>
      <c r="AO58" s="148"/>
      <c r="AP58" s="148"/>
      <c r="AQ58" s="148"/>
      <c r="AR58" s="148"/>
      <c r="AS58" s="148"/>
      <c r="AT58" s="148"/>
      <c r="AU58" s="148"/>
      <c r="AV58" s="148"/>
      <c r="AW58" s="148"/>
      <c r="AX58" s="148"/>
      <c r="AY58" s="148"/>
      <c r="AZ58" s="148"/>
      <c r="BA58" s="148"/>
      <c r="BB58" s="148"/>
      <c r="BC58" s="148"/>
      <c r="BD58" s="148"/>
      <c r="BE58" s="148"/>
      <c r="BF58" s="148"/>
      <c r="BG58" s="148"/>
      <c r="BH58" s="148"/>
      <c r="BI58" s="148"/>
      <c r="BJ58" s="148"/>
      <c r="BK58" s="148"/>
      <c r="BL58" s="148"/>
      <c r="BM58" s="148"/>
      <c r="BN58" s="148"/>
      <c r="BO58" s="148"/>
      <c r="BP58" s="148"/>
      <c r="BQ58" s="148"/>
      <c r="BR58" s="148"/>
      <c r="BS58" s="148"/>
      <c r="BT58" s="148"/>
      <c r="BU58" s="148"/>
      <c r="BV58" s="148"/>
      <c r="BW58" s="148"/>
      <c r="BX58" s="148"/>
      <c r="BY58" s="148"/>
      <c r="BZ58" s="148"/>
      <c r="CA58" s="148"/>
      <c r="CB58" s="148"/>
      <c r="CC58" s="148"/>
      <c r="CD58" s="148"/>
      <c r="CE58" s="148"/>
      <c r="CF58" s="148"/>
      <c r="CG58" s="148"/>
      <c r="CH58" s="148"/>
      <c r="CI58" s="148"/>
      <c r="CJ58" s="148"/>
      <c r="CK58" s="148"/>
      <c r="CL58" s="148"/>
      <c r="CM58" s="148"/>
      <c r="CN58" s="148"/>
      <c r="CO58" s="148"/>
      <c r="CP58" s="148"/>
      <c r="CQ58" s="148"/>
      <c r="CR58" s="148"/>
      <c r="CS58" s="148"/>
      <c r="CT58" s="148"/>
      <c r="CU58" s="148"/>
      <c r="CV58" s="148"/>
      <c r="CW58" s="148"/>
      <c r="CX58" s="148"/>
      <c r="CY58" s="148"/>
      <c r="CZ58" s="148"/>
      <c r="DA58" s="148"/>
      <c r="DB58" s="148"/>
      <c r="DC58" s="148"/>
      <c r="DD58" s="148"/>
      <c r="DE58" s="148"/>
      <c r="DF58" s="148"/>
      <c r="DG58" s="148"/>
      <c r="DH58" s="148"/>
      <c r="DI58" s="148"/>
      <c r="DJ58" s="148"/>
      <c r="DK58" s="148"/>
      <c r="DL58" s="148"/>
      <c r="DM58" s="148"/>
      <c r="DN58" s="148"/>
      <c r="DO58" s="148"/>
      <c r="DP58" s="148"/>
      <c r="DQ58" s="148"/>
      <c r="DR58" s="148"/>
      <c r="DS58" s="148"/>
      <c r="DT58" s="148"/>
      <c r="DU58" s="148"/>
      <c r="DV58" s="148"/>
      <c r="DW58" s="148"/>
      <c r="DX58" s="148"/>
      <c r="DY58" s="148"/>
      <c r="DZ58" s="148"/>
      <c r="EA58" s="148"/>
      <c r="EB58" s="148"/>
      <c r="EC58" s="148"/>
      <c r="ED58" s="148"/>
      <c r="EE58" s="148"/>
      <c r="EF58" s="148"/>
      <c r="EG58" s="148"/>
      <c r="EH58" s="148"/>
      <c r="EI58" s="148"/>
      <c r="EJ58" s="148"/>
      <c r="EK58" s="148"/>
      <c r="EL58" s="148"/>
      <c r="EM58" s="148"/>
      <c r="EN58" s="148"/>
      <c r="EO58" s="148"/>
      <c r="EP58" s="148"/>
      <c r="EQ58" s="148"/>
      <c r="ER58" s="148"/>
      <c r="ES58" s="148"/>
      <c r="ET58" s="148"/>
      <c r="EU58" s="148"/>
      <c r="EV58" s="148"/>
      <c r="EW58" s="148"/>
      <c r="EX58" s="148"/>
      <c r="EY58" s="148"/>
      <c r="EZ58" s="148"/>
      <c r="FA58" s="148"/>
      <c r="FB58" s="148"/>
      <c r="FC58" s="148"/>
      <c r="FD58" s="148"/>
      <c r="FE58" s="148"/>
      <c r="FF58" s="148"/>
      <c r="FG58" s="148"/>
      <c r="FH58" s="148"/>
      <c r="FI58" s="148"/>
      <c r="FJ58" s="148"/>
      <c r="FK58" s="148"/>
      <c r="FL58" s="148"/>
      <c r="FM58" s="148"/>
      <c r="FN58" s="148"/>
      <c r="FO58" s="148"/>
      <c r="FP58" s="148"/>
      <c r="FQ58" s="148"/>
      <c r="FR58" s="148"/>
      <c r="FS58" s="148"/>
      <c r="FT58" s="148"/>
      <c r="FU58" s="148"/>
      <c r="FV58" s="148"/>
      <c r="FW58" s="148"/>
      <c r="FX58" s="148"/>
      <c r="FY58" s="148"/>
      <c r="FZ58" s="148"/>
      <c r="GA58" s="148"/>
      <c r="GB58" s="148"/>
      <c r="GC58" s="148"/>
      <c r="GD58" s="148"/>
      <c r="GE58" s="148"/>
      <c r="GF58" s="148"/>
      <c r="GG58" s="148"/>
      <c r="GH58" s="148"/>
      <c r="GI58" s="148"/>
      <c r="GJ58" s="148"/>
      <c r="GK58" s="148"/>
      <c r="GL58" s="148"/>
      <c r="GM58" s="148"/>
      <c r="GN58" s="148"/>
      <c r="GO58" s="148"/>
      <c r="GP58" s="148"/>
      <c r="GQ58" s="148"/>
      <c r="GR58" s="148"/>
      <c r="GS58" s="148"/>
      <c r="GT58" s="148"/>
      <c r="GU58" s="148"/>
      <c r="GV58" s="148"/>
      <c r="GW58" s="148"/>
      <c r="GX58" s="148"/>
      <c r="GY58" s="148"/>
      <c r="GZ58" s="148"/>
      <c r="HA58" s="148"/>
      <c r="HB58" s="148"/>
      <c r="HC58" s="148"/>
      <c r="HD58" s="148"/>
      <c r="HE58" s="148"/>
      <c r="HF58" s="148"/>
      <c r="HG58" s="148"/>
      <c r="HH58" s="148"/>
      <c r="HI58" s="148"/>
      <c r="HJ58" s="148"/>
      <c r="HK58" s="148"/>
      <c r="HL58" s="148"/>
      <c r="HM58" s="148"/>
      <c r="HN58" s="148"/>
      <c r="HO58" s="148"/>
      <c r="HP58" s="148"/>
      <c r="HQ58" s="148"/>
      <c r="HR58" s="148"/>
      <c r="HS58" s="148"/>
      <c r="HT58" s="148"/>
      <c r="HU58" s="148"/>
      <c r="HV58" s="148"/>
      <c r="HW58" s="148"/>
      <c r="HX58" s="148"/>
      <c r="HY58" s="148"/>
      <c r="HZ58" s="148"/>
      <c r="IA58" s="148"/>
      <c r="IB58" s="148"/>
      <c r="IC58" s="148"/>
      <c r="ID58" s="148"/>
      <c r="IE58" s="148"/>
      <c r="IF58" s="148"/>
      <c r="IG58" s="148"/>
      <c r="IH58" s="148"/>
      <c r="II58" s="148"/>
      <c r="IJ58" s="148"/>
      <c r="IK58" s="148"/>
      <c r="IL58" s="148"/>
      <c r="IM58" s="148"/>
      <c r="IN58" s="148"/>
      <c r="IO58" s="148"/>
      <c r="IP58" s="148"/>
      <c r="IQ58" s="148"/>
      <c r="IR58" s="148"/>
      <c r="IS58" s="148"/>
      <c r="IT58" s="148"/>
      <c r="IU58" s="148"/>
      <c r="IV58" s="148"/>
      <c r="IW58" s="148"/>
      <c r="IX58" s="148"/>
      <c r="IY58" s="148"/>
      <c r="IZ58" s="148"/>
      <c r="JA58" s="148"/>
    </row>
    <row r="59" spans="1:261" ht="18" customHeight="1" x14ac:dyDescent="0.35">
      <c r="A59" s="1423">
        <v>48</v>
      </c>
      <c r="B59" s="1589"/>
      <c r="C59" s="1558"/>
      <c r="D59" s="1585" t="s">
        <v>311</v>
      </c>
      <c r="E59" s="1560">
        <f>F59+G59+O62+P62</f>
        <v>334981</v>
      </c>
      <c r="F59" s="1561">
        <v>6401</v>
      </c>
      <c r="G59" s="1562">
        <v>100</v>
      </c>
      <c r="H59" s="1563"/>
      <c r="I59" s="1564"/>
      <c r="J59" s="1565"/>
      <c r="K59" s="1565">
        <v>278</v>
      </c>
      <c r="L59" s="1565"/>
      <c r="M59" s="1565">
        <f>29875+298327</f>
        <v>328202</v>
      </c>
      <c r="N59" s="1565"/>
      <c r="O59" s="1566">
        <f>SUM(I59:N59)</f>
        <v>328480</v>
      </c>
      <c r="P59" s="1567"/>
    </row>
    <row r="60" spans="1:261" ht="18" customHeight="1" x14ac:dyDescent="0.35">
      <c r="A60" s="1423">
        <v>49</v>
      </c>
      <c r="B60" s="1589"/>
      <c r="C60" s="1558"/>
      <c r="D60" s="1163" t="s">
        <v>1064</v>
      </c>
      <c r="E60" s="1560"/>
      <c r="F60" s="1561"/>
      <c r="G60" s="1562"/>
      <c r="H60" s="1563"/>
      <c r="I60" s="1564"/>
      <c r="J60" s="1565"/>
      <c r="K60" s="1574">
        <v>278</v>
      </c>
      <c r="L60" s="1574"/>
      <c r="M60" s="1574">
        <v>328202</v>
      </c>
      <c r="N60" s="1565"/>
      <c r="O60" s="1576">
        <f>SUM(I60:N60)</f>
        <v>328480</v>
      </c>
      <c r="P60" s="1567"/>
    </row>
    <row r="61" spans="1:261" ht="18" customHeight="1" x14ac:dyDescent="0.35">
      <c r="A61" s="1423">
        <v>50</v>
      </c>
      <c r="B61" s="1589"/>
      <c r="C61" s="1558"/>
      <c r="D61" s="1174" t="s">
        <v>999</v>
      </c>
      <c r="E61" s="1560"/>
      <c r="F61" s="1561"/>
      <c r="G61" s="1562"/>
      <c r="H61" s="1563"/>
      <c r="I61" s="1580"/>
      <c r="J61" s="1574"/>
      <c r="K61" s="1574"/>
      <c r="L61" s="1574"/>
      <c r="M61" s="1574"/>
      <c r="N61" s="1574"/>
      <c r="O61" s="1578">
        <f>SUM(I61:N61)</f>
        <v>0</v>
      </c>
      <c r="P61" s="1567"/>
    </row>
    <row r="62" spans="1:261" ht="18" customHeight="1" x14ac:dyDescent="0.35">
      <c r="A62" s="1423">
        <v>51</v>
      </c>
      <c r="B62" s="1589"/>
      <c r="C62" s="1558"/>
      <c r="D62" s="1163" t="s">
        <v>1116</v>
      </c>
      <c r="E62" s="1560"/>
      <c r="F62" s="1561"/>
      <c r="G62" s="1562"/>
      <c r="H62" s="1563"/>
      <c r="I62" s="1580"/>
      <c r="J62" s="1574"/>
      <c r="K62" s="1574">
        <f>SUM(K60:K61)</f>
        <v>278</v>
      </c>
      <c r="L62" s="1574"/>
      <c r="M62" s="1574">
        <f t="shared" ref="M62" si="8">SUM(M60:M61)</f>
        <v>328202</v>
      </c>
      <c r="N62" s="1574"/>
      <c r="O62" s="1576">
        <f>SUM(I62:N62)</f>
        <v>328480</v>
      </c>
      <c r="P62" s="1567"/>
    </row>
    <row r="63" spans="1:261" ht="33" x14ac:dyDescent="0.35">
      <c r="A63" s="1423">
        <v>52</v>
      </c>
      <c r="B63" s="1589"/>
      <c r="C63" s="1582">
        <v>11</v>
      </c>
      <c r="D63" s="1414" t="s">
        <v>692</v>
      </c>
      <c r="E63" s="1560"/>
      <c r="F63" s="1561"/>
      <c r="G63" s="1562"/>
      <c r="H63" s="1563" t="s">
        <v>24</v>
      </c>
      <c r="I63" s="1564"/>
      <c r="J63" s="1565"/>
      <c r="K63" s="1565"/>
      <c r="L63" s="1565"/>
      <c r="M63" s="1565"/>
      <c r="N63" s="1565"/>
      <c r="O63" s="1566"/>
      <c r="P63" s="1567"/>
    </row>
    <row r="64" spans="1:261" s="272" customFormat="1" ht="18" customHeight="1" x14ac:dyDescent="0.35">
      <c r="A64" s="1423">
        <v>53</v>
      </c>
      <c r="B64" s="1557"/>
      <c r="C64" s="1582"/>
      <c r="D64" s="1585" t="s">
        <v>311</v>
      </c>
      <c r="E64" s="1560">
        <f>F64+G64+O67+P67</f>
        <v>3597000</v>
      </c>
      <c r="F64" s="1561">
        <v>450951</v>
      </c>
      <c r="G64" s="1562">
        <f>1230725+544</f>
        <v>1231269</v>
      </c>
      <c r="H64" s="1563"/>
      <c r="I64" s="1564"/>
      <c r="J64" s="1565"/>
      <c r="K64" s="1565">
        <v>1422</v>
      </c>
      <c r="L64" s="1565"/>
      <c r="M64" s="1565">
        <f>294000+1619358</f>
        <v>1913358</v>
      </c>
      <c r="N64" s="1565"/>
      <c r="O64" s="1566">
        <f>SUM(I64:N64)</f>
        <v>1914780</v>
      </c>
      <c r="P64" s="1567"/>
      <c r="Q64" s="148"/>
      <c r="R64" s="148"/>
      <c r="S64" s="148"/>
      <c r="T64" s="148"/>
      <c r="U64" s="148"/>
      <c r="V64" s="148"/>
      <c r="W64" s="148"/>
      <c r="X64" s="148"/>
      <c r="Y64" s="148"/>
      <c r="Z64" s="148"/>
      <c r="AA64" s="148"/>
      <c r="AB64" s="148"/>
      <c r="AC64" s="148"/>
      <c r="AD64" s="148"/>
      <c r="AE64" s="148"/>
      <c r="AF64" s="148"/>
      <c r="AG64" s="148"/>
      <c r="AH64" s="148"/>
      <c r="AI64" s="148"/>
      <c r="AJ64" s="148"/>
      <c r="AK64" s="148"/>
      <c r="AL64" s="148"/>
      <c r="AM64" s="148"/>
      <c r="AN64" s="148"/>
      <c r="AO64" s="148"/>
      <c r="AP64" s="148"/>
      <c r="AQ64" s="148"/>
      <c r="AR64" s="148"/>
      <c r="AS64" s="148"/>
      <c r="AT64" s="148"/>
      <c r="AU64" s="148"/>
      <c r="AV64" s="148"/>
      <c r="AW64" s="148"/>
      <c r="AX64" s="148"/>
      <c r="AY64" s="148"/>
      <c r="AZ64" s="148"/>
      <c r="BA64" s="148"/>
      <c r="BB64" s="148"/>
      <c r="BC64" s="148"/>
      <c r="BD64" s="148"/>
      <c r="BE64" s="148"/>
      <c r="BF64" s="148"/>
      <c r="BG64" s="148"/>
      <c r="BH64" s="148"/>
      <c r="BI64" s="148"/>
      <c r="BJ64" s="148"/>
      <c r="BK64" s="148"/>
      <c r="BL64" s="148"/>
      <c r="BM64" s="148"/>
      <c r="BN64" s="148"/>
      <c r="BO64" s="148"/>
      <c r="BP64" s="148"/>
      <c r="BQ64" s="148"/>
      <c r="BR64" s="148"/>
      <c r="BS64" s="148"/>
      <c r="BT64" s="148"/>
      <c r="BU64" s="148"/>
      <c r="BV64" s="148"/>
      <c r="BW64" s="148"/>
      <c r="BX64" s="148"/>
      <c r="BY64" s="148"/>
      <c r="BZ64" s="148"/>
      <c r="CA64" s="148"/>
      <c r="CB64" s="148"/>
      <c r="CC64" s="148"/>
      <c r="CD64" s="148"/>
      <c r="CE64" s="148"/>
      <c r="CF64" s="148"/>
      <c r="CG64" s="148"/>
      <c r="CH64" s="148"/>
      <c r="CI64" s="148"/>
      <c r="CJ64" s="148"/>
      <c r="CK64" s="148"/>
      <c r="CL64" s="148"/>
      <c r="CM64" s="148"/>
      <c r="CN64" s="148"/>
      <c r="CO64" s="148"/>
      <c r="CP64" s="148"/>
      <c r="CQ64" s="148"/>
      <c r="CR64" s="148"/>
      <c r="CS64" s="148"/>
      <c r="CT64" s="148"/>
      <c r="CU64" s="148"/>
      <c r="CV64" s="148"/>
      <c r="CW64" s="148"/>
      <c r="CX64" s="148"/>
      <c r="CY64" s="148"/>
      <c r="CZ64" s="148"/>
      <c r="DA64" s="148"/>
      <c r="DB64" s="148"/>
      <c r="DC64" s="148"/>
      <c r="DD64" s="148"/>
      <c r="DE64" s="148"/>
      <c r="DF64" s="148"/>
      <c r="DG64" s="148"/>
      <c r="DH64" s="148"/>
      <c r="DI64" s="148"/>
      <c r="DJ64" s="148"/>
      <c r="DK64" s="148"/>
      <c r="DL64" s="148"/>
      <c r="DM64" s="148"/>
      <c r="DN64" s="148"/>
      <c r="DO64" s="148"/>
      <c r="DP64" s="148"/>
      <c r="DQ64" s="148"/>
      <c r="DR64" s="148"/>
      <c r="DS64" s="148"/>
      <c r="DT64" s="148"/>
      <c r="DU64" s="148"/>
      <c r="DV64" s="148"/>
      <c r="DW64" s="148"/>
      <c r="DX64" s="148"/>
      <c r="DY64" s="148"/>
      <c r="DZ64" s="148"/>
      <c r="EA64" s="148"/>
      <c r="EB64" s="148"/>
      <c r="EC64" s="148"/>
      <c r="ED64" s="148"/>
      <c r="EE64" s="148"/>
      <c r="EF64" s="148"/>
      <c r="EG64" s="148"/>
      <c r="EH64" s="148"/>
      <c r="EI64" s="148"/>
      <c r="EJ64" s="148"/>
      <c r="EK64" s="148"/>
      <c r="EL64" s="148"/>
      <c r="EM64" s="148"/>
      <c r="EN64" s="148"/>
      <c r="EO64" s="148"/>
      <c r="EP64" s="148"/>
      <c r="EQ64" s="148"/>
      <c r="ER64" s="148"/>
      <c r="ES64" s="148"/>
      <c r="ET64" s="148"/>
      <c r="EU64" s="148"/>
      <c r="EV64" s="148"/>
      <c r="EW64" s="148"/>
      <c r="EX64" s="148"/>
      <c r="EY64" s="148"/>
      <c r="EZ64" s="148"/>
      <c r="FA64" s="148"/>
      <c r="FB64" s="148"/>
      <c r="FC64" s="148"/>
      <c r="FD64" s="148"/>
      <c r="FE64" s="148"/>
      <c r="FF64" s="148"/>
      <c r="FG64" s="148"/>
      <c r="FH64" s="148"/>
      <c r="FI64" s="148"/>
      <c r="FJ64" s="148"/>
      <c r="FK64" s="148"/>
      <c r="FL64" s="148"/>
      <c r="FM64" s="148"/>
      <c r="FN64" s="148"/>
      <c r="FO64" s="148"/>
      <c r="FP64" s="148"/>
      <c r="FQ64" s="148"/>
      <c r="FR64" s="148"/>
      <c r="FS64" s="148"/>
      <c r="FT64" s="148"/>
      <c r="FU64" s="148"/>
      <c r="FV64" s="148"/>
      <c r="FW64" s="148"/>
      <c r="FX64" s="148"/>
      <c r="FY64" s="148"/>
      <c r="FZ64" s="148"/>
      <c r="GA64" s="148"/>
      <c r="GB64" s="148"/>
      <c r="GC64" s="148"/>
      <c r="GD64" s="148"/>
      <c r="GE64" s="148"/>
      <c r="GF64" s="148"/>
      <c r="GG64" s="148"/>
      <c r="GH64" s="148"/>
      <c r="GI64" s="148"/>
      <c r="GJ64" s="148"/>
      <c r="GK64" s="148"/>
      <c r="GL64" s="148"/>
      <c r="GM64" s="148"/>
      <c r="GN64" s="148"/>
      <c r="GO64" s="148"/>
      <c r="GP64" s="148"/>
      <c r="GQ64" s="148"/>
      <c r="GR64" s="148"/>
      <c r="GS64" s="148"/>
      <c r="GT64" s="148"/>
      <c r="GU64" s="148"/>
      <c r="GV64" s="148"/>
      <c r="GW64" s="148"/>
      <c r="GX64" s="148"/>
      <c r="GY64" s="148"/>
      <c r="GZ64" s="148"/>
      <c r="HA64" s="148"/>
      <c r="HB64" s="148"/>
      <c r="HC64" s="148"/>
      <c r="HD64" s="148"/>
      <c r="HE64" s="148"/>
      <c r="HF64" s="148"/>
      <c r="HG64" s="148"/>
      <c r="HH64" s="148"/>
      <c r="HI64" s="148"/>
      <c r="HJ64" s="148"/>
      <c r="HK64" s="148"/>
      <c r="HL64" s="148"/>
      <c r="HM64" s="148"/>
      <c r="HN64" s="148"/>
      <c r="HO64" s="148"/>
      <c r="HP64" s="148"/>
      <c r="HQ64" s="148"/>
      <c r="HR64" s="148"/>
      <c r="HS64" s="148"/>
      <c r="HT64" s="148"/>
      <c r="HU64" s="148"/>
      <c r="HV64" s="148"/>
      <c r="HW64" s="148"/>
      <c r="HX64" s="148"/>
      <c r="HY64" s="148"/>
      <c r="HZ64" s="148"/>
      <c r="IA64" s="148"/>
      <c r="IB64" s="148"/>
      <c r="IC64" s="148"/>
      <c r="ID64" s="148"/>
      <c r="IE64" s="148"/>
      <c r="IF64" s="148"/>
      <c r="IG64" s="148"/>
      <c r="IH64" s="148"/>
      <c r="II64" s="148"/>
      <c r="IJ64" s="148"/>
      <c r="IK64" s="148"/>
      <c r="IL64" s="148"/>
      <c r="IM64" s="148"/>
      <c r="IN64" s="148"/>
      <c r="IO64" s="148"/>
      <c r="IP64" s="148"/>
      <c r="IQ64" s="148"/>
      <c r="IR64" s="148"/>
      <c r="IS64" s="148"/>
      <c r="IT64" s="148"/>
      <c r="IU64" s="148"/>
      <c r="IV64" s="148"/>
      <c r="IW64" s="148"/>
      <c r="IX64" s="148"/>
      <c r="IY64" s="148"/>
      <c r="IZ64" s="148"/>
      <c r="JA64" s="148"/>
    </row>
    <row r="65" spans="1:261" s="272" customFormat="1" ht="18" customHeight="1" x14ac:dyDescent="0.35">
      <c r="A65" s="1423">
        <v>54</v>
      </c>
      <c r="B65" s="1557"/>
      <c r="C65" s="1582"/>
      <c r="D65" s="1163" t="s">
        <v>1064</v>
      </c>
      <c r="E65" s="1560"/>
      <c r="F65" s="1561"/>
      <c r="G65" s="1562"/>
      <c r="H65" s="1563"/>
      <c r="I65" s="1564"/>
      <c r="J65" s="1565"/>
      <c r="K65" s="1574">
        <v>1422</v>
      </c>
      <c r="L65" s="1574"/>
      <c r="M65" s="1574">
        <v>1913358</v>
      </c>
      <c r="N65" s="1565"/>
      <c r="O65" s="1576">
        <f>SUM(I65:N65)</f>
        <v>1914780</v>
      </c>
      <c r="P65" s="1567"/>
      <c r="Q65" s="148"/>
      <c r="R65" s="148"/>
      <c r="S65" s="148"/>
      <c r="T65" s="148"/>
      <c r="U65" s="148"/>
      <c r="V65" s="148"/>
      <c r="W65" s="148"/>
      <c r="X65" s="148"/>
      <c r="Y65" s="148"/>
      <c r="Z65" s="148"/>
      <c r="AA65" s="148"/>
      <c r="AB65" s="148"/>
      <c r="AC65" s="148"/>
      <c r="AD65" s="148"/>
      <c r="AE65" s="148"/>
      <c r="AF65" s="148"/>
      <c r="AG65" s="148"/>
      <c r="AH65" s="148"/>
      <c r="AI65" s="148"/>
      <c r="AJ65" s="148"/>
      <c r="AK65" s="148"/>
      <c r="AL65" s="148"/>
      <c r="AM65" s="148"/>
      <c r="AN65" s="148"/>
      <c r="AO65" s="148"/>
      <c r="AP65" s="148"/>
      <c r="AQ65" s="148"/>
      <c r="AR65" s="148"/>
      <c r="AS65" s="148"/>
      <c r="AT65" s="148"/>
      <c r="AU65" s="148"/>
      <c r="AV65" s="148"/>
      <c r="AW65" s="148"/>
      <c r="AX65" s="148"/>
      <c r="AY65" s="148"/>
      <c r="AZ65" s="148"/>
      <c r="BA65" s="148"/>
      <c r="BB65" s="148"/>
      <c r="BC65" s="148"/>
      <c r="BD65" s="148"/>
      <c r="BE65" s="148"/>
      <c r="BF65" s="148"/>
      <c r="BG65" s="148"/>
      <c r="BH65" s="148"/>
      <c r="BI65" s="148"/>
      <c r="BJ65" s="148"/>
      <c r="BK65" s="148"/>
      <c r="BL65" s="148"/>
      <c r="BM65" s="148"/>
      <c r="BN65" s="148"/>
      <c r="BO65" s="148"/>
      <c r="BP65" s="148"/>
      <c r="BQ65" s="148"/>
      <c r="BR65" s="148"/>
      <c r="BS65" s="148"/>
      <c r="BT65" s="148"/>
      <c r="BU65" s="148"/>
      <c r="BV65" s="148"/>
      <c r="BW65" s="148"/>
      <c r="BX65" s="148"/>
      <c r="BY65" s="148"/>
      <c r="BZ65" s="148"/>
      <c r="CA65" s="148"/>
      <c r="CB65" s="148"/>
      <c r="CC65" s="148"/>
      <c r="CD65" s="148"/>
      <c r="CE65" s="148"/>
      <c r="CF65" s="148"/>
      <c r="CG65" s="148"/>
      <c r="CH65" s="148"/>
      <c r="CI65" s="148"/>
      <c r="CJ65" s="148"/>
      <c r="CK65" s="148"/>
      <c r="CL65" s="148"/>
      <c r="CM65" s="148"/>
      <c r="CN65" s="148"/>
      <c r="CO65" s="148"/>
      <c r="CP65" s="148"/>
      <c r="CQ65" s="148"/>
      <c r="CR65" s="148"/>
      <c r="CS65" s="148"/>
      <c r="CT65" s="148"/>
      <c r="CU65" s="148"/>
      <c r="CV65" s="148"/>
      <c r="CW65" s="148"/>
      <c r="CX65" s="148"/>
      <c r="CY65" s="148"/>
      <c r="CZ65" s="148"/>
      <c r="DA65" s="148"/>
      <c r="DB65" s="148"/>
      <c r="DC65" s="148"/>
      <c r="DD65" s="148"/>
      <c r="DE65" s="148"/>
      <c r="DF65" s="148"/>
      <c r="DG65" s="148"/>
      <c r="DH65" s="148"/>
      <c r="DI65" s="148"/>
      <c r="DJ65" s="148"/>
      <c r="DK65" s="148"/>
      <c r="DL65" s="148"/>
      <c r="DM65" s="148"/>
      <c r="DN65" s="148"/>
      <c r="DO65" s="148"/>
      <c r="DP65" s="148"/>
      <c r="DQ65" s="148"/>
      <c r="DR65" s="148"/>
      <c r="DS65" s="148"/>
      <c r="DT65" s="148"/>
      <c r="DU65" s="148"/>
      <c r="DV65" s="148"/>
      <c r="DW65" s="148"/>
      <c r="DX65" s="148"/>
      <c r="DY65" s="148"/>
      <c r="DZ65" s="148"/>
      <c r="EA65" s="148"/>
      <c r="EB65" s="148"/>
      <c r="EC65" s="148"/>
      <c r="ED65" s="148"/>
      <c r="EE65" s="148"/>
      <c r="EF65" s="148"/>
      <c r="EG65" s="148"/>
      <c r="EH65" s="148"/>
      <c r="EI65" s="148"/>
      <c r="EJ65" s="148"/>
      <c r="EK65" s="148"/>
      <c r="EL65" s="148"/>
      <c r="EM65" s="148"/>
      <c r="EN65" s="148"/>
      <c r="EO65" s="148"/>
      <c r="EP65" s="148"/>
      <c r="EQ65" s="148"/>
      <c r="ER65" s="148"/>
      <c r="ES65" s="148"/>
      <c r="ET65" s="148"/>
      <c r="EU65" s="148"/>
      <c r="EV65" s="148"/>
      <c r="EW65" s="148"/>
      <c r="EX65" s="148"/>
      <c r="EY65" s="148"/>
      <c r="EZ65" s="148"/>
      <c r="FA65" s="148"/>
      <c r="FB65" s="148"/>
      <c r="FC65" s="148"/>
      <c r="FD65" s="148"/>
      <c r="FE65" s="148"/>
      <c r="FF65" s="148"/>
      <c r="FG65" s="148"/>
      <c r="FH65" s="148"/>
      <c r="FI65" s="148"/>
      <c r="FJ65" s="148"/>
      <c r="FK65" s="148"/>
      <c r="FL65" s="148"/>
      <c r="FM65" s="148"/>
      <c r="FN65" s="148"/>
      <c r="FO65" s="148"/>
      <c r="FP65" s="148"/>
      <c r="FQ65" s="148"/>
      <c r="FR65" s="148"/>
      <c r="FS65" s="148"/>
      <c r="FT65" s="148"/>
      <c r="FU65" s="148"/>
      <c r="FV65" s="148"/>
      <c r="FW65" s="148"/>
      <c r="FX65" s="148"/>
      <c r="FY65" s="148"/>
      <c r="FZ65" s="148"/>
      <c r="GA65" s="148"/>
      <c r="GB65" s="148"/>
      <c r="GC65" s="148"/>
      <c r="GD65" s="148"/>
      <c r="GE65" s="148"/>
      <c r="GF65" s="148"/>
      <c r="GG65" s="148"/>
      <c r="GH65" s="148"/>
      <c r="GI65" s="148"/>
      <c r="GJ65" s="148"/>
      <c r="GK65" s="148"/>
      <c r="GL65" s="148"/>
      <c r="GM65" s="148"/>
      <c r="GN65" s="148"/>
      <c r="GO65" s="148"/>
      <c r="GP65" s="148"/>
      <c r="GQ65" s="148"/>
      <c r="GR65" s="148"/>
      <c r="GS65" s="148"/>
      <c r="GT65" s="148"/>
      <c r="GU65" s="148"/>
      <c r="GV65" s="148"/>
      <c r="GW65" s="148"/>
      <c r="GX65" s="148"/>
      <c r="GY65" s="148"/>
      <c r="GZ65" s="148"/>
      <c r="HA65" s="148"/>
      <c r="HB65" s="148"/>
      <c r="HC65" s="148"/>
      <c r="HD65" s="148"/>
      <c r="HE65" s="148"/>
      <c r="HF65" s="148"/>
      <c r="HG65" s="148"/>
      <c r="HH65" s="148"/>
      <c r="HI65" s="148"/>
      <c r="HJ65" s="148"/>
      <c r="HK65" s="148"/>
      <c r="HL65" s="148"/>
      <c r="HM65" s="148"/>
      <c r="HN65" s="148"/>
      <c r="HO65" s="148"/>
      <c r="HP65" s="148"/>
      <c r="HQ65" s="148"/>
      <c r="HR65" s="148"/>
      <c r="HS65" s="148"/>
      <c r="HT65" s="148"/>
      <c r="HU65" s="148"/>
      <c r="HV65" s="148"/>
      <c r="HW65" s="148"/>
      <c r="HX65" s="148"/>
      <c r="HY65" s="148"/>
      <c r="HZ65" s="148"/>
      <c r="IA65" s="148"/>
      <c r="IB65" s="148"/>
      <c r="IC65" s="148"/>
      <c r="ID65" s="148"/>
      <c r="IE65" s="148"/>
      <c r="IF65" s="148"/>
      <c r="IG65" s="148"/>
      <c r="IH65" s="148"/>
      <c r="II65" s="148"/>
      <c r="IJ65" s="148"/>
      <c r="IK65" s="148"/>
      <c r="IL65" s="148"/>
      <c r="IM65" s="148"/>
      <c r="IN65" s="148"/>
      <c r="IO65" s="148"/>
      <c r="IP65" s="148"/>
      <c r="IQ65" s="148"/>
      <c r="IR65" s="148"/>
      <c r="IS65" s="148"/>
      <c r="IT65" s="148"/>
      <c r="IU65" s="148"/>
      <c r="IV65" s="148"/>
      <c r="IW65" s="148"/>
      <c r="IX65" s="148"/>
      <c r="IY65" s="148"/>
      <c r="IZ65" s="148"/>
      <c r="JA65" s="148"/>
    </row>
    <row r="66" spans="1:261" s="272" customFormat="1" ht="18" customHeight="1" x14ac:dyDescent="0.35">
      <c r="A66" s="1423">
        <v>55</v>
      </c>
      <c r="B66" s="1557"/>
      <c r="C66" s="1582"/>
      <c r="D66" s="1174" t="s">
        <v>999</v>
      </c>
      <c r="E66" s="1560"/>
      <c r="F66" s="1561"/>
      <c r="G66" s="1562"/>
      <c r="H66" s="1563"/>
      <c r="I66" s="1580"/>
      <c r="J66" s="1574"/>
      <c r="K66" s="1574"/>
      <c r="L66" s="1574"/>
      <c r="M66" s="1574"/>
      <c r="N66" s="1574"/>
      <c r="O66" s="1578">
        <f>SUM(I66:N66)</f>
        <v>0</v>
      </c>
      <c r="P66" s="1567"/>
      <c r="Q66" s="148"/>
      <c r="R66" s="148"/>
      <c r="S66" s="148"/>
      <c r="T66" s="148"/>
      <c r="U66" s="148"/>
      <c r="V66" s="148"/>
      <c r="W66" s="148"/>
      <c r="X66" s="148"/>
      <c r="Y66" s="148"/>
      <c r="Z66" s="148"/>
      <c r="AA66" s="148"/>
      <c r="AB66" s="148"/>
      <c r="AC66" s="148"/>
      <c r="AD66" s="148"/>
      <c r="AE66" s="148"/>
      <c r="AF66" s="148"/>
      <c r="AG66" s="148"/>
      <c r="AH66" s="148"/>
      <c r="AI66" s="148"/>
      <c r="AJ66" s="148"/>
      <c r="AK66" s="148"/>
      <c r="AL66" s="148"/>
      <c r="AM66" s="148"/>
      <c r="AN66" s="148"/>
      <c r="AO66" s="148"/>
      <c r="AP66" s="148"/>
      <c r="AQ66" s="148"/>
      <c r="AR66" s="148"/>
      <c r="AS66" s="148"/>
      <c r="AT66" s="148"/>
      <c r="AU66" s="148"/>
      <c r="AV66" s="148"/>
      <c r="AW66" s="148"/>
      <c r="AX66" s="148"/>
      <c r="AY66" s="148"/>
      <c r="AZ66" s="148"/>
      <c r="BA66" s="148"/>
      <c r="BB66" s="148"/>
      <c r="BC66" s="148"/>
      <c r="BD66" s="148"/>
      <c r="BE66" s="148"/>
      <c r="BF66" s="148"/>
      <c r="BG66" s="148"/>
      <c r="BH66" s="148"/>
      <c r="BI66" s="148"/>
      <c r="BJ66" s="148"/>
      <c r="BK66" s="148"/>
      <c r="BL66" s="148"/>
      <c r="BM66" s="148"/>
      <c r="BN66" s="148"/>
      <c r="BO66" s="148"/>
      <c r="BP66" s="148"/>
      <c r="BQ66" s="148"/>
      <c r="BR66" s="148"/>
      <c r="BS66" s="148"/>
      <c r="BT66" s="148"/>
      <c r="BU66" s="148"/>
      <c r="BV66" s="148"/>
      <c r="BW66" s="148"/>
      <c r="BX66" s="148"/>
      <c r="BY66" s="148"/>
      <c r="BZ66" s="148"/>
      <c r="CA66" s="148"/>
      <c r="CB66" s="148"/>
      <c r="CC66" s="148"/>
      <c r="CD66" s="148"/>
      <c r="CE66" s="148"/>
      <c r="CF66" s="148"/>
      <c r="CG66" s="148"/>
      <c r="CH66" s="148"/>
      <c r="CI66" s="148"/>
      <c r="CJ66" s="148"/>
      <c r="CK66" s="148"/>
      <c r="CL66" s="148"/>
      <c r="CM66" s="148"/>
      <c r="CN66" s="148"/>
      <c r="CO66" s="148"/>
      <c r="CP66" s="148"/>
      <c r="CQ66" s="148"/>
      <c r="CR66" s="148"/>
      <c r="CS66" s="148"/>
      <c r="CT66" s="148"/>
      <c r="CU66" s="148"/>
      <c r="CV66" s="148"/>
      <c r="CW66" s="148"/>
      <c r="CX66" s="148"/>
      <c r="CY66" s="148"/>
      <c r="CZ66" s="148"/>
      <c r="DA66" s="148"/>
      <c r="DB66" s="148"/>
      <c r="DC66" s="148"/>
      <c r="DD66" s="148"/>
      <c r="DE66" s="148"/>
      <c r="DF66" s="148"/>
      <c r="DG66" s="148"/>
      <c r="DH66" s="148"/>
      <c r="DI66" s="148"/>
      <c r="DJ66" s="148"/>
      <c r="DK66" s="148"/>
      <c r="DL66" s="148"/>
      <c r="DM66" s="148"/>
      <c r="DN66" s="148"/>
      <c r="DO66" s="148"/>
      <c r="DP66" s="148"/>
      <c r="DQ66" s="148"/>
      <c r="DR66" s="148"/>
      <c r="DS66" s="148"/>
      <c r="DT66" s="148"/>
      <c r="DU66" s="148"/>
      <c r="DV66" s="148"/>
      <c r="DW66" s="148"/>
      <c r="DX66" s="148"/>
      <c r="DY66" s="148"/>
      <c r="DZ66" s="148"/>
      <c r="EA66" s="148"/>
      <c r="EB66" s="148"/>
      <c r="EC66" s="148"/>
      <c r="ED66" s="148"/>
      <c r="EE66" s="148"/>
      <c r="EF66" s="148"/>
      <c r="EG66" s="148"/>
      <c r="EH66" s="148"/>
      <c r="EI66" s="148"/>
      <c r="EJ66" s="148"/>
      <c r="EK66" s="148"/>
      <c r="EL66" s="148"/>
      <c r="EM66" s="148"/>
      <c r="EN66" s="148"/>
      <c r="EO66" s="148"/>
      <c r="EP66" s="148"/>
      <c r="EQ66" s="148"/>
      <c r="ER66" s="148"/>
      <c r="ES66" s="148"/>
      <c r="ET66" s="148"/>
      <c r="EU66" s="148"/>
      <c r="EV66" s="148"/>
      <c r="EW66" s="148"/>
      <c r="EX66" s="148"/>
      <c r="EY66" s="148"/>
      <c r="EZ66" s="148"/>
      <c r="FA66" s="148"/>
      <c r="FB66" s="148"/>
      <c r="FC66" s="148"/>
      <c r="FD66" s="148"/>
      <c r="FE66" s="148"/>
      <c r="FF66" s="148"/>
      <c r="FG66" s="148"/>
      <c r="FH66" s="148"/>
      <c r="FI66" s="148"/>
      <c r="FJ66" s="148"/>
      <c r="FK66" s="148"/>
      <c r="FL66" s="148"/>
      <c r="FM66" s="148"/>
      <c r="FN66" s="148"/>
      <c r="FO66" s="148"/>
      <c r="FP66" s="148"/>
      <c r="FQ66" s="148"/>
      <c r="FR66" s="148"/>
      <c r="FS66" s="148"/>
      <c r="FT66" s="148"/>
      <c r="FU66" s="148"/>
      <c r="FV66" s="148"/>
      <c r="FW66" s="148"/>
      <c r="FX66" s="148"/>
      <c r="FY66" s="148"/>
      <c r="FZ66" s="148"/>
      <c r="GA66" s="148"/>
      <c r="GB66" s="148"/>
      <c r="GC66" s="148"/>
      <c r="GD66" s="148"/>
      <c r="GE66" s="148"/>
      <c r="GF66" s="148"/>
      <c r="GG66" s="148"/>
      <c r="GH66" s="148"/>
      <c r="GI66" s="148"/>
      <c r="GJ66" s="148"/>
      <c r="GK66" s="148"/>
      <c r="GL66" s="148"/>
      <c r="GM66" s="148"/>
      <c r="GN66" s="148"/>
      <c r="GO66" s="148"/>
      <c r="GP66" s="148"/>
      <c r="GQ66" s="148"/>
      <c r="GR66" s="148"/>
      <c r="GS66" s="148"/>
      <c r="GT66" s="148"/>
      <c r="GU66" s="148"/>
      <c r="GV66" s="148"/>
      <c r="GW66" s="148"/>
      <c r="GX66" s="148"/>
      <c r="GY66" s="148"/>
      <c r="GZ66" s="148"/>
      <c r="HA66" s="148"/>
      <c r="HB66" s="148"/>
      <c r="HC66" s="148"/>
      <c r="HD66" s="148"/>
      <c r="HE66" s="148"/>
      <c r="HF66" s="148"/>
      <c r="HG66" s="148"/>
      <c r="HH66" s="148"/>
      <c r="HI66" s="148"/>
      <c r="HJ66" s="148"/>
      <c r="HK66" s="148"/>
      <c r="HL66" s="148"/>
      <c r="HM66" s="148"/>
      <c r="HN66" s="148"/>
      <c r="HO66" s="148"/>
      <c r="HP66" s="148"/>
      <c r="HQ66" s="148"/>
      <c r="HR66" s="148"/>
      <c r="HS66" s="148"/>
      <c r="HT66" s="148"/>
      <c r="HU66" s="148"/>
      <c r="HV66" s="148"/>
      <c r="HW66" s="148"/>
      <c r="HX66" s="148"/>
      <c r="HY66" s="148"/>
      <c r="HZ66" s="148"/>
      <c r="IA66" s="148"/>
      <c r="IB66" s="148"/>
      <c r="IC66" s="148"/>
      <c r="ID66" s="148"/>
      <c r="IE66" s="148"/>
      <c r="IF66" s="148"/>
      <c r="IG66" s="148"/>
      <c r="IH66" s="148"/>
      <c r="II66" s="148"/>
      <c r="IJ66" s="148"/>
      <c r="IK66" s="148"/>
      <c r="IL66" s="148"/>
      <c r="IM66" s="148"/>
      <c r="IN66" s="148"/>
      <c r="IO66" s="148"/>
      <c r="IP66" s="148"/>
      <c r="IQ66" s="148"/>
      <c r="IR66" s="148"/>
      <c r="IS66" s="148"/>
      <c r="IT66" s="148"/>
      <c r="IU66" s="148"/>
      <c r="IV66" s="148"/>
      <c r="IW66" s="148"/>
      <c r="IX66" s="148"/>
      <c r="IY66" s="148"/>
      <c r="IZ66" s="148"/>
      <c r="JA66" s="148"/>
    </row>
    <row r="67" spans="1:261" s="272" customFormat="1" ht="18" customHeight="1" x14ac:dyDescent="0.35">
      <c r="A67" s="1423">
        <v>56</v>
      </c>
      <c r="B67" s="1557"/>
      <c r="C67" s="1582"/>
      <c r="D67" s="1163" t="s">
        <v>1116</v>
      </c>
      <c r="E67" s="1560"/>
      <c r="F67" s="1561"/>
      <c r="G67" s="1562"/>
      <c r="H67" s="1563"/>
      <c r="I67" s="1580"/>
      <c r="J67" s="1574"/>
      <c r="K67" s="1574">
        <f>SUM(K65:K66)</f>
        <v>1422</v>
      </c>
      <c r="L67" s="1574"/>
      <c r="M67" s="1574">
        <f t="shared" ref="M67" si="9">SUM(M65:M66)</f>
        <v>1913358</v>
      </c>
      <c r="N67" s="1574"/>
      <c r="O67" s="1576">
        <f>SUM(I67:N67)</f>
        <v>1914780</v>
      </c>
      <c r="P67" s="1567"/>
      <c r="Q67" s="148"/>
      <c r="R67" s="148"/>
      <c r="S67" s="148"/>
      <c r="T67" s="148"/>
      <c r="U67" s="148"/>
      <c r="V67" s="148"/>
      <c r="W67" s="148"/>
      <c r="X67" s="148"/>
      <c r="Y67" s="148"/>
      <c r="Z67" s="148"/>
      <c r="AA67" s="148"/>
      <c r="AB67" s="148"/>
      <c r="AC67" s="148"/>
      <c r="AD67" s="148"/>
      <c r="AE67" s="148"/>
      <c r="AF67" s="148"/>
      <c r="AG67" s="148"/>
      <c r="AH67" s="148"/>
      <c r="AI67" s="148"/>
      <c r="AJ67" s="148"/>
      <c r="AK67" s="148"/>
      <c r="AL67" s="148"/>
      <c r="AM67" s="148"/>
      <c r="AN67" s="148"/>
      <c r="AO67" s="148"/>
      <c r="AP67" s="148"/>
      <c r="AQ67" s="148"/>
      <c r="AR67" s="148"/>
      <c r="AS67" s="148"/>
      <c r="AT67" s="148"/>
      <c r="AU67" s="148"/>
      <c r="AV67" s="148"/>
      <c r="AW67" s="148"/>
      <c r="AX67" s="148"/>
      <c r="AY67" s="148"/>
      <c r="AZ67" s="148"/>
      <c r="BA67" s="148"/>
      <c r="BB67" s="148"/>
      <c r="BC67" s="148"/>
      <c r="BD67" s="148"/>
      <c r="BE67" s="148"/>
      <c r="BF67" s="148"/>
      <c r="BG67" s="148"/>
      <c r="BH67" s="148"/>
      <c r="BI67" s="148"/>
      <c r="BJ67" s="148"/>
      <c r="BK67" s="148"/>
      <c r="BL67" s="148"/>
      <c r="BM67" s="148"/>
      <c r="BN67" s="148"/>
      <c r="BO67" s="148"/>
      <c r="BP67" s="148"/>
      <c r="BQ67" s="148"/>
      <c r="BR67" s="148"/>
      <c r="BS67" s="148"/>
      <c r="BT67" s="148"/>
      <c r="BU67" s="148"/>
      <c r="BV67" s="148"/>
      <c r="BW67" s="148"/>
      <c r="BX67" s="148"/>
      <c r="BY67" s="148"/>
      <c r="BZ67" s="148"/>
      <c r="CA67" s="148"/>
      <c r="CB67" s="148"/>
      <c r="CC67" s="148"/>
      <c r="CD67" s="148"/>
      <c r="CE67" s="148"/>
      <c r="CF67" s="148"/>
      <c r="CG67" s="148"/>
      <c r="CH67" s="148"/>
      <c r="CI67" s="148"/>
      <c r="CJ67" s="148"/>
      <c r="CK67" s="148"/>
      <c r="CL67" s="148"/>
      <c r="CM67" s="148"/>
      <c r="CN67" s="148"/>
      <c r="CO67" s="148"/>
      <c r="CP67" s="148"/>
      <c r="CQ67" s="148"/>
      <c r="CR67" s="148"/>
      <c r="CS67" s="148"/>
      <c r="CT67" s="148"/>
      <c r="CU67" s="148"/>
      <c r="CV67" s="148"/>
      <c r="CW67" s="148"/>
      <c r="CX67" s="148"/>
      <c r="CY67" s="148"/>
      <c r="CZ67" s="148"/>
      <c r="DA67" s="148"/>
      <c r="DB67" s="148"/>
      <c r="DC67" s="148"/>
      <c r="DD67" s="148"/>
      <c r="DE67" s="148"/>
      <c r="DF67" s="148"/>
      <c r="DG67" s="148"/>
      <c r="DH67" s="148"/>
      <c r="DI67" s="148"/>
      <c r="DJ67" s="148"/>
      <c r="DK67" s="148"/>
      <c r="DL67" s="148"/>
      <c r="DM67" s="148"/>
      <c r="DN67" s="148"/>
      <c r="DO67" s="148"/>
      <c r="DP67" s="148"/>
      <c r="DQ67" s="148"/>
      <c r="DR67" s="148"/>
      <c r="DS67" s="148"/>
      <c r="DT67" s="148"/>
      <c r="DU67" s="148"/>
      <c r="DV67" s="148"/>
      <c r="DW67" s="148"/>
      <c r="DX67" s="148"/>
      <c r="DY67" s="148"/>
      <c r="DZ67" s="148"/>
      <c r="EA67" s="148"/>
      <c r="EB67" s="148"/>
      <c r="EC67" s="148"/>
      <c r="ED67" s="148"/>
      <c r="EE67" s="148"/>
      <c r="EF67" s="148"/>
      <c r="EG67" s="148"/>
      <c r="EH67" s="148"/>
      <c r="EI67" s="148"/>
      <c r="EJ67" s="148"/>
      <c r="EK67" s="148"/>
      <c r="EL67" s="148"/>
      <c r="EM67" s="148"/>
      <c r="EN67" s="148"/>
      <c r="EO67" s="148"/>
      <c r="EP67" s="148"/>
      <c r="EQ67" s="148"/>
      <c r="ER67" s="148"/>
      <c r="ES67" s="148"/>
      <c r="ET67" s="148"/>
      <c r="EU67" s="148"/>
      <c r="EV67" s="148"/>
      <c r="EW67" s="148"/>
      <c r="EX67" s="148"/>
      <c r="EY67" s="148"/>
      <c r="EZ67" s="148"/>
      <c r="FA67" s="148"/>
      <c r="FB67" s="148"/>
      <c r="FC67" s="148"/>
      <c r="FD67" s="148"/>
      <c r="FE67" s="148"/>
      <c r="FF67" s="148"/>
      <c r="FG67" s="148"/>
      <c r="FH67" s="148"/>
      <c r="FI67" s="148"/>
      <c r="FJ67" s="148"/>
      <c r="FK67" s="148"/>
      <c r="FL67" s="148"/>
      <c r="FM67" s="148"/>
      <c r="FN67" s="148"/>
      <c r="FO67" s="148"/>
      <c r="FP67" s="148"/>
      <c r="FQ67" s="148"/>
      <c r="FR67" s="148"/>
      <c r="FS67" s="148"/>
      <c r="FT67" s="148"/>
      <c r="FU67" s="148"/>
      <c r="FV67" s="148"/>
      <c r="FW67" s="148"/>
      <c r="FX67" s="148"/>
      <c r="FY67" s="148"/>
      <c r="FZ67" s="148"/>
      <c r="GA67" s="148"/>
      <c r="GB67" s="148"/>
      <c r="GC67" s="148"/>
      <c r="GD67" s="148"/>
      <c r="GE67" s="148"/>
      <c r="GF67" s="148"/>
      <c r="GG67" s="148"/>
      <c r="GH67" s="148"/>
      <c r="GI67" s="148"/>
      <c r="GJ67" s="148"/>
      <c r="GK67" s="148"/>
      <c r="GL67" s="148"/>
      <c r="GM67" s="148"/>
      <c r="GN67" s="148"/>
      <c r="GO67" s="148"/>
      <c r="GP67" s="148"/>
      <c r="GQ67" s="148"/>
      <c r="GR67" s="148"/>
      <c r="GS67" s="148"/>
      <c r="GT67" s="148"/>
      <c r="GU67" s="148"/>
      <c r="GV67" s="148"/>
      <c r="GW67" s="148"/>
      <c r="GX67" s="148"/>
      <c r="GY67" s="148"/>
      <c r="GZ67" s="148"/>
      <c r="HA67" s="148"/>
      <c r="HB67" s="148"/>
      <c r="HC67" s="148"/>
      <c r="HD67" s="148"/>
      <c r="HE67" s="148"/>
      <c r="HF67" s="148"/>
      <c r="HG67" s="148"/>
      <c r="HH67" s="148"/>
      <c r="HI67" s="148"/>
      <c r="HJ67" s="148"/>
      <c r="HK67" s="148"/>
      <c r="HL67" s="148"/>
      <c r="HM67" s="148"/>
      <c r="HN67" s="148"/>
      <c r="HO67" s="148"/>
      <c r="HP67" s="148"/>
      <c r="HQ67" s="148"/>
      <c r="HR67" s="148"/>
      <c r="HS67" s="148"/>
      <c r="HT67" s="148"/>
      <c r="HU67" s="148"/>
      <c r="HV67" s="148"/>
      <c r="HW67" s="148"/>
      <c r="HX67" s="148"/>
      <c r="HY67" s="148"/>
      <c r="HZ67" s="148"/>
      <c r="IA67" s="148"/>
      <c r="IB67" s="148"/>
      <c r="IC67" s="148"/>
      <c r="ID67" s="148"/>
      <c r="IE67" s="148"/>
      <c r="IF67" s="148"/>
      <c r="IG67" s="148"/>
      <c r="IH67" s="148"/>
      <c r="II67" s="148"/>
      <c r="IJ67" s="148"/>
      <c r="IK67" s="148"/>
      <c r="IL67" s="148"/>
      <c r="IM67" s="148"/>
      <c r="IN67" s="148"/>
      <c r="IO67" s="148"/>
      <c r="IP67" s="148"/>
      <c r="IQ67" s="148"/>
      <c r="IR67" s="148"/>
      <c r="IS67" s="148"/>
      <c r="IT67" s="148"/>
      <c r="IU67" s="148"/>
      <c r="IV67" s="148"/>
      <c r="IW67" s="148"/>
      <c r="IX67" s="148"/>
      <c r="IY67" s="148"/>
      <c r="IZ67" s="148"/>
      <c r="JA67" s="148"/>
    </row>
    <row r="68" spans="1:261" ht="33" x14ac:dyDescent="0.35">
      <c r="A68" s="1423">
        <v>57</v>
      </c>
      <c r="B68" s="1589"/>
      <c r="C68" s="1582">
        <v>12</v>
      </c>
      <c r="D68" s="402" t="s">
        <v>1095</v>
      </c>
      <c r="E68" s="1560"/>
      <c r="F68" s="1561"/>
      <c r="G68" s="1562"/>
      <c r="H68" s="1563" t="s">
        <v>24</v>
      </c>
      <c r="I68" s="1564"/>
      <c r="J68" s="1565"/>
      <c r="K68" s="1565"/>
      <c r="L68" s="1565"/>
      <c r="M68" s="1565"/>
      <c r="N68" s="1565"/>
      <c r="O68" s="1566"/>
      <c r="P68" s="1567"/>
    </row>
    <row r="69" spans="1:261" s="272" customFormat="1" ht="18" customHeight="1" x14ac:dyDescent="0.35">
      <c r="A69" s="1423">
        <v>58</v>
      </c>
      <c r="B69" s="1557"/>
      <c r="C69" s="1558"/>
      <c r="D69" s="1585" t="s">
        <v>311</v>
      </c>
      <c r="E69" s="1560">
        <f>F69+G69+O72+P72+6000</f>
        <v>240000</v>
      </c>
      <c r="F69" s="1561">
        <v>9749</v>
      </c>
      <c r="G69" s="1562">
        <f>2883+952</f>
        <v>3835</v>
      </c>
      <c r="H69" s="1563"/>
      <c r="I69" s="1564"/>
      <c r="J69" s="1565"/>
      <c r="K69" s="1565">
        <v>3015</v>
      </c>
      <c r="L69" s="1565"/>
      <c r="M69" s="1565">
        <f>12000+205401</f>
        <v>217401</v>
      </c>
      <c r="N69" s="1565"/>
      <c r="O69" s="1566">
        <f>SUM(I69:N69)</f>
        <v>220416</v>
      </c>
      <c r="P69" s="1567"/>
      <c r="Q69" s="148"/>
      <c r="R69" s="148"/>
      <c r="S69" s="148"/>
      <c r="T69" s="148"/>
      <c r="U69" s="148"/>
      <c r="V69" s="148"/>
      <c r="W69" s="148"/>
      <c r="X69" s="148"/>
      <c r="Y69" s="148"/>
      <c r="Z69" s="148"/>
      <c r="AA69" s="148"/>
      <c r="AB69" s="148"/>
      <c r="AC69" s="148"/>
      <c r="AD69" s="148"/>
      <c r="AE69" s="148"/>
      <c r="AF69" s="148"/>
      <c r="AG69" s="148"/>
      <c r="AH69" s="148"/>
      <c r="AI69" s="148"/>
      <c r="AJ69" s="148"/>
      <c r="AK69" s="148"/>
      <c r="AL69" s="148"/>
      <c r="AM69" s="148"/>
      <c r="AN69" s="148"/>
      <c r="AO69" s="148"/>
      <c r="AP69" s="148"/>
      <c r="AQ69" s="148"/>
      <c r="AR69" s="148"/>
      <c r="AS69" s="148"/>
      <c r="AT69" s="148"/>
      <c r="AU69" s="148"/>
      <c r="AV69" s="148"/>
      <c r="AW69" s="148"/>
      <c r="AX69" s="148"/>
      <c r="AY69" s="148"/>
      <c r="AZ69" s="148"/>
      <c r="BA69" s="148"/>
      <c r="BB69" s="148"/>
      <c r="BC69" s="148"/>
      <c r="BD69" s="148"/>
      <c r="BE69" s="148"/>
      <c r="BF69" s="148"/>
      <c r="BG69" s="148"/>
      <c r="BH69" s="148"/>
      <c r="BI69" s="148"/>
      <c r="BJ69" s="148"/>
      <c r="BK69" s="148"/>
      <c r="BL69" s="148"/>
      <c r="BM69" s="148"/>
      <c r="BN69" s="148"/>
      <c r="BO69" s="148"/>
      <c r="BP69" s="148"/>
      <c r="BQ69" s="148"/>
      <c r="BR69" s="148"/>
      <c r="BS69" s="148"/>
      <c r="BT69" s="148"/>
      <c r="BU69" s="148"/>
      <c r="BV69" s="148"/>
      <c r="BW69" s="148"/>
      <c r="BX69" s="148"/>
      <c r="BY69" s="148"/>
      <c r="BZ69" s="148"/>
      <c r="CA69" s="148"/>
      <c r="CB69" s="148"/>
      <c r="CC69" s="148"/>
      <c r="CD69" s="148"/>
      <c r="CE69" s="148"/>
      <c r="CF69" s="148"/>
      <c r="CG69" s="148"/>
      <c r="CH69" s="148"/>
      <c r="CI69" s="148"/>
      <c r="CJ69" s="148"/>
      <c r="CK69" s="148"/>
      <c r="CL69" s="148"/>
      <c r="CM69" s="148"/>
      <c r="CN69" s="148"/>
      <c r="CO69" s="148"/>
      <c r="CP69" s="148"/>
      <c r="CQ69" s="148"/>
      <c r="CR69" s="148"/>
      <c r="CS69" s="148"/>
      <c r="CT69" s="148"/>
      <c r="CU69" s="148"/>
      <c r="CV69" s="148"/>
      <c r="CW69" s="148"/>
      <c r="CX69" s="148"/>
      <c r="CY69" s="148"/>
      <c r="CZ69" s="148"/>
      <c r="DA69" s="148"/>
      <c r="DB69" s="148"/>
      <c r="DC69" s="148"/>
      <c r="DD69" s="148"/>
      <c r="DE69" s="148"/>
      <c r="DF69" s="148"/>
      <c r="DG69" s="148"/>
      <c r="DH69" s="148"/>
      <c r="DI69" s="148"/>
      <c r="DJ69" s="148"/>
      <c r="DK69" s="148"/>
      <c r="DL69" s="148"/>
      <c r="DM69" s="148"/>
      <c r="DN69" s="148"/>
      <c r="DO69" s="148"/>
      <c r="DP69" s="148"/>
      <c r="DQ69" s="148"/>
      <c r="DR69" s="148"/>
      <c r="DS69" s="148"/>
      <c r="DT69" s="148"/>
      <c r="DU69" s="148"/>
      <c r="DV69" s="148"/>
      <c r="DW69" s="148"/>
      <c r="DX69" s="148"/>
      <c r="DY69" s="148"/>
      <c r="DZ69" s="148"/>
      <c r="EA69" s="148"/>
      <c r="EB69" s="148"/>
      <c r="EC69" s="148"/>
      <c r="ED69" s="148"/>
      <c r="EE69" s="148"/>
      <c r="EF69" s="148"/>
      <c r="EG69" s="148"/>
      <c r="EH69" s="148"/>
      <c r="EI69" s="148"/>
      <c r="EJ69" s="148"/>
      <c r="EK69" s="148"/>
      <c r="EL69" s="148"/>
      <c r="EM69" s="148"/>
      <c r="EN69" s="148"/>
      <c r="EO69" s="148"/>
      <c r="EP69" s="148"/>
      <c r="EQ69" s="148"/>
      <c r="ER69" s="148"/>
      <c r="ES69" s="148"/>
      <c r="ET69" s="148"/>
      <c r="EU69" s="148"/>
      <c r="EV69" s="148"/>
      <c r="EW69" s="148"/>
      <c r="EX69" s="148"/>
      <c r="EY69" s="148"/>
      <c r="EZ69" s="148"/>
      <c r="FA69" s="148"/>
      <c r="FB69" s="148"/>
      <c r="FC69" s="148"/>
      <c r="FD69" s="148"/>
      <c r="FE69" s="148"/>
      <c r="FF69" s="148"/>
      <c r="FG69" s="148"/>
      <c r="FH69" s="148"/>
      <c r="FI69" s="148"/>
      <c r="FJ69" s="148"/>
      <c r="FK69" s="148"/>
      <c r="FL69" s="148"/>
      <c r="FM69" s="148"/>
      <c r="FN69" s="148"/>
      <c r="FO69" s="148"/>
      <c r="FP69" s="148"/>
      <c r="FQ69" s="148"/>
      <c r="FR69" s="148"/>
      <c r="FS69" s="148"/>
      <c r="FT69" s="148"/>
      <c r="FU69" s="148"/>
      <c r="FV69" s="148"/>
      <c r="FW69" s="148"/>
      <c r="FX69" s="148"/>
      <c r="FY69" s="148"/>
      <c r="FZ69" s="148"/>
      <c r="GA69" s="148"/>
      <c r="GB69" s="148"/>
      <c r="GC69" s="148"/>
      <c r="GD69" s="148"/>
      <c r="GE69" s="148"/>
      <c r="GF69" s="148"/>
      <c r="GG69" s="148"/>
      <c r="GH69" s="148"/>
      <c r="GI69" s="148"/>
      <c r="GJ69" s="148"/>
      <c r="GK69" s="148"/>
      <c r="GL69" s="148"/>
      <c r="GM69" s="148"/>
      <c r="GN69" s="148"/>
      <c r="GO69" s="148"/>
      <c r="GP69" s="148"/>
      <c r="GQ69" s="148"/>
      <c r="GR69" s="148"/>
      <c r="GS69" s="148"/>
      <c r="GT69" s="148"/>
      <c r="GU69" s="148"/>
      <c r="GV69" s="148"/>
      <c r="GW69" s="148"/>
      <c r="GX69" s="148"/>
      <c r="GY69" s="148"/>
      <c r="GZ69" s="148"/>
      <c r="HA69" s="148"/>
      <c r="HB69" s="148"/>
      <c r="HC69" s="148"/>
      <c r="HD69" s="148"/>
      <c r="HE69" s="148"/>
      <c r="HF69" s="148"/>
      <c r="HG69" s="148"/>
      <c r="HH69" s="148"/>
      <c r="HI69" s="148"/>
      <c r="HJ69" s="148"/>
      <c r="HK69" s="148"/>
      <c r="HL69" s="148"/>
      <c r="HM69" s="148"/>
      <c r="HN69" s="148"/>
      <c r="HO69" s="148"/>
      <c r="HP69" s="148"/>
      <c r="HQ69" s="148"/>
      <c r="HR69" s="148"/>
      <c r="HS69" s="148"/>
      <c r="HT69" s="148"/>
      <c r="HU69" s="148"/>
      <c r="HV69" s="148"/>
      <c r="HW69" s="148"/>
      <c r="HX69" s="148"/>
      <c r="HY69" s="148"/>
      <c r="HZ69" s="148"/>
      <c r="IA69" s="148"/>
      <c r="IB69" s="148"/>
      <c r="IC69" s="148"/>
      <c r="ID69" s="148"/>
      <c r="IE69" s="148"/>
      <c r="IF69" s="148"/>
      <c r="IG69" s="148"/>
      <c r="IH69" s="148"/>
      <c r="II69" s="148"/>
      <c r="IJ69" s="148"/>
      <c r="IK69" s="148"/>
      <c r="IL69" s="148"/>
      <c r="IM69" s="148"/>
      <c r="IN69" s="148"/>
      <c r="IO69" s="148"/>
      <c r="IP69" s="148"/>
      <c r="IQ69" s="148"/>
      <c r="IR69" s="148"/>
      <c r="IS69" s="148"/>
      <c r="IT69" s="148"/>
      <c r="IU69" s="148"/>
      <c r="IV69" s="148"/>
      <c r="IW69" s="148"/>
      <c r="IX69" s="148"/>
      <c r="IY69" s="148"/>
      <c r="IZ69" s="148"/>
      <c r="JA69" s="148"/>
    </row>
    <row r="70" spans="1:261" s="272" customFormat="1" ht="18" customHeight="1" x14ac:dyDescent="0.35">
      <c r="A70" s="1423">
        <v>59</v>
      </c>
      <c r="B70" s="1557"/>
      <c r="C70" s="1558"/>
      <c r="D70" s="1163" t="s">
        <v>1064</v>
      </c>
      <c r="E70" s="1560"/>
      <c r="F70" s="1561"/>
      <c r="G70" s="1562"/>
      <c r="H70" s="1563"/>
      <c r="I70" s="1564"/>
      <c r="J70" s="1565"/>
      <c r="K70" s="1574">
        <v>3015</v>
      </c>
      <c r="L70" s="1574"/>
      <c r="M70" s="1574">
        <v>217401</v>
      </c>
      <c r="N70" s="1565"/>
      <c r="O70" s="1576">
        <f>SUM(I70:N70)</f>
        <v>220416</v>
      </c>
      <c r="P70" s="1567"/>
      <c r="Q70" s="148"/>
      <c r="R70" s="148"/>
      <c r="S70" s="148"/>
      <c r="T70" s="148"/>
      <c r="U70" s="148"/>
      <c r="V70" s="148"/>
      <c r="W70" s="148"/>
      <c r="X70" s="148"/>
      <c r="Y70" s="148"/>
      <c r="Z70" s="148"/>
      <c r="AA70" s="148"/>
      <c r="AB70" s="148"/>
      <c r="AC70" s="148"/>
      <c r="AD70" s="148"/>
      <c r="AE70" s="148"/>
      <c r="AF70" s="148"/>
      <c r="AG70" s="148"/>
      <c r="AH70" s="148"/>
      <c r="AI70" s="148"/>
      <c r="AJ70" s="148"/>
      <c r="AK70" s="148"/>
      <c r="AL70" s="148"/>
      <c r="AM70" s="148"/>
      <c r="AN70" s="148"/>
      <c r="AO70" s="148"/>
      <c r="AP70" s="148"/>
      <c r="AQ70" s="148"/>
      <c r="AR70" s="148"/>
      <c r="AS70" s="148"/>
      <c r="AT70" s="148"/>
      <c r="AU70" s="148"/>
      <c r="AV70" s="148"/>
      <c r="AW70" s="148"/>
      <c r="AX70" s="148"/>
      <c r="AY70" s="148"/>
      <c r="AZ70" s="148"/>
      <c r="BA70" s="148"/>
      <c r="BB70" s="148"/>
      <c r="BC70" s="148"/>
      <c r="BD70" s="148"/>
      <c r="BE70" s="148"/>
      <c r="BF70" s="148"/>
      <c r="BG70" s="148"/>
      <c r="BH70" s="148"/>
      <c r="BI70" s="148"/>
      <c r="BJ70" s="148"/>
      <c r="BK70" s="148"/>
      <c r="BL70" s="148"/>
      <c r="BM70" s="148"/>
      <c r="BN70" s="148"/>
      <c r="BO70" s="148"/>
      <c r="BP70" s="148"/>
      <c r="BQ70" s="148"/>
      <c r="BR70" s="148"/>
      <c r="BS70" s="148"/>
      <c r="BT70" s="148"/>
      <c r="BU70" s="148"/>
      <c r="BV70" s="148"/>
      <c r="BW70" s="148"/>
      <c r="BX70" s="148"/>
      <c r="BY70" s="148"/>
      <c r="BZ70" s="148"/>
      <c r="CA70" s="148"/>
      <c r="CB70" s="148"/>
      <c r="CC70" s="148"/>
      <c r="CD70" s="148"/>
      <c r="CE70" s="148"/>
      <c r="CF70" s="148"/>
      <c r="CG70" s="148"/>
      <c r="CH70" s="148"/>
      <c r="CI70" s="148"/>
      <c r="CJ70" s="148"/>
      <c r="CK70" s="148"/>
      <c r="CL70" s="148"/>
      <c r="CM70" s="148"/>
      <c r="CN70" s="148"/>
      <c r="CO70" s="148"/>
      <c r="CP70" s="148"/>
      <c r="CQ70" s="148"/>
      <c r="CR70" s="148"/>
      <c r="CS70" s="148"/>
      <c r="CT70" s="148"/>
      <c r="CU70" s="148"/>
      <c r="CV70" s="148"/>
      <c r="CW70" s="148"/>
      <c r="CX70" s="148"/>
      <c r="CY70" s="148"/>
      <c r="CZ70" s="148"/>
      <c r="DA70" s="148"/>
      <c r="DB70" s="148"/>
      <c r="DC70" s="148"/>
      <c r="DD70" s="148"/>
      <c r="DE70" s="148"/>
      <c r="DF70" s="148"/>
      <c r="DG70" s="148"/>
      <c r="DH70" s="148"/>
      <c r="DI70" s="148"/>
      <c r="DJ70" s="148"/>
      <c r="DK70" s="148"/>
      <c r="DL70" s="148"/>
      <c r="DM70" s="148"/>
      <c r="DN70" s="148"/>
      <c r="DO70" s="148"/>
      <c r="DP70" s="148"/>
      <c r="DQ70" s="148"/>
      <c r="DR70" s="148"/>
      <c r="DS70" s="148"/>
      <c r="DT70" s="148"/>
      <c r="DU70" s="148"/>
      <c r="DV70" s="148"/>
      <c r="DW70" s="148"/>
      <c r="DX70" s="148"/>
      <c r="DY70" s="148"/>
      <c r="DZ70" s="148"/>
      <c r="EA70" s="148"/>
      <c r="EB70" s="148"/>
      <c r="EC70" s="148"/>
      <c r="ED70" s="148"/>
      <c r="EE70" s="148"/>
      <c r="EF70" s="148"/>
      <c r="EG70" s="148"/>
      <c r="EH70" s="148"/>
      <c r="EI70" s="148"/>
      <c r="EJ70" s="148"/>
      <c r="EK70" s="148"/>
      <c r="EL70" s="148"/>
      <c r="EM70" s="148"/>
      <c r="EN70" s="148"/>
      <c r="EO70" s="148"/>
      <c r="EP70" s="148"/>
      <c r="EQ70" s="148"/>
      <c r="ER70" s="148"/>
      <c r="ES70" s="148"/>
      <c r="ET70" s="148"/>
      <c r="EU70" s="148"/>
      <c r="EV70" s="148"/>
      <c r="EW70" s="148"/>
      <c r="EX70" s="148"/>
      <c r="EY70" s="148"/>
      <c r="EZ70" s="148"/>
      <c r="FA70" s="148"/>
      <c r="FB70" s="148"/>
      <c r="FC70" s="148"/>
      <c r="FD70" s="148"/>
      <c r="FE70" s="148"/>
      <c r="FF70" s="148"/>
      <c r="FG70" s="148"/>
      <c r="FH70" s="148"/>
      <c r="FI70" s="148"/>
      <c r="FJ70" s="148"/>
      <c r="FK70" s="148"/>
      <c r="FL70" s="148"/>
      <c r="FM70" s="148"/>
      <c r="FN70" s="148"/>
      <c r="FO70" s="148"/>
      <c r="FP70" s="148"/>
      <c r="FQ70" s="148"/>
      <c r="FR70" s="148"/>
      <c r="FS70" s="148"/>
      <c r="FT70" s="148"/>
      <c r="FU70" s="148"/>
      <c r="FV70" s="148"/>
      <c r="FW70" s="148"/>
      <c r="FX70" s="148"/>
      <c r="FY70" s="148"/>
      <c r="FZ70" s="148"/>
      <c r="GA70" s="148"/>
      <c r="GB70" s="148"/>
      <c r="GC70" s="148"/>
      <c r="GD70" s="148"/>
      <c r="GE70" s="148"/>
      <c r="GF70" s="148"/>
      <c r="GG70" s="148"/>
      <c r="GH70" s="148"/>
      <c r="GI70" s="148"/>
      <c r="GJ70" s="148"/>
      <c r="GK70" s="148"/>
      <c r="GL70" s="148"/>
      <c r="GM70" s="148"/>
      <c r="GN70" s="148"/>
      <c r="GO70" s="148"/>
      <c r="GP70" s="148"/>
      <c r="GQ70" s="148"/>
      <c r="GR70" s="148"/>
      <c r="GS70" s="148"/>
      <c r="GT70" s="148"/>
      <c r="GU70" s="148"/>
      <c r="GV70" s="148"/>
      <c r="GW70" s="148"/>
      <c r="GX70" s="148"/>
      <c r="GY70" s="148"/>
      <c r="GZ70" s="148"/>
      <c r="HA70" s="148"/>
      <c r="HB70" s="148"/>
      <c r="HC70" s="148"/>
      <c r="HD70" s="148"/>
      <c r="HE70" s="148"/>
      <c r="HF70" s="148"/>
      <c r="HG70" s="148"/>
      <c r="HH70" s="148"/>
      <c r="HI70" s="148"/>
      <c r="HJ70" s="148"/>
      <c r="HK70" s="148"/>
      <c r="HL70" s="148"/>
      <c r="HM70" s="148"/>
      <c r="HN70" s="148"/>
      <c r="HO70" s="148"/>
      <c r="HP70" s="148"/>
      <c r="HQ70" s="148"/>
      <c r="HR70" s="148"/>
      <c r="HS70" s="148"/>
      <c r="HT70" s="148"/>
      <c r="HU70" s="148"/>
      <c r="HV70" s="148"/>
      <c r="HW70" s="148"/>
      <c r="HX70" s="148"/>
      <c r="HY70" s="148"/>
      <c r="HZ70" s="148"/>
      <c r="IA70" s="148"/>
      <c r="IB70" s="148"/>
      <c r="IC70" s="148"/>
      <c r="ID70" s="148"/>
      <c r="IE70" s="148"/>
      <c r="IF70" s="148"/>
      <c r="IG70" s="148"/>
      <c r="IH70" s="148"/>
      <c r="II70" s="148"/>
      <c r="IJ70" s="148"/>
      <c r="IK70" s="148"/>
      <c r="IL70" s="148"/>
      <c r="IM70" s="148"/>
      <c r="IN70" s="148"/>
      <c r="IO70" s="148"/>
      <c r="IP70" s="148"/>
      <c r="IQ70" s="148"/>
      <c r="IR70" s="148"/>
      <c r="IS70" s="148"/>
      <c r="IT70" s="148"/>
      <c r="IU70" s="148"/>
      <c r="IV70" s="148"/>
      <c r="IW70" s="148"/>
      <c r="IX70" s="148"/>
      <c r="IY70" s="148"/>
      <c r="IZ70" s="148"/>
      <c r="JA70" s="148"/>
    </row>
    <row r="71" spans="1:261" s="272" customFormat="1" ht="18" customHeight="1" x14ac:dyDescent="0.35">
      <c r="A71" s="1423">
        <v>60</v>
      </c>
      <c r="B71" s="1557"/>
      <c r="C71" s="1558"/>
      <c r="D71" s="1174" t="s">
        <v>999</v>
      </c>
      <c r="E71" s="1560"/>
      <c r="F71" s="1561"/>
      <c r="G71" s="1562"/>
      <c r="H71" s="1563"/>
      <c r="I71" s="1580"/>
      <c r="J71" s="1574"/>
      <c r="K71" s="1574"/>
      <c r="L71" s="1574"/>
      <c r="M71" s="1574"/>
      <c r="N71" s="1574"/>
      <c r="O71" s="1578">
        <f>SUM(I71:N71)</f>
        <v>0</v>
      </c>
      <c r="P71" s="1567"/>
      <c r="Q71" s="148"/>
      <c r="R71" s="148"/>
      <c r="S71" s="148"/>
      <c r="T71" s="148"/>
      <c r="U71" s="148"/>
      <c r="V71" s="148"/>
      <c r="W71" s="148"/>
      <c r="X71" s="148"/>
      <c r="Y71" s="148"/>
      <c r="Z71" s="148"/>
      <c r="AA71" s="148"/>
      <c r="AB71" s="148"/>
      <c r="AC71" s="148"/>
      <c r="AD71" s="148"/>
      <c r="AE71" s="148"/>
      <c r="AF71" s="148"/>
      <c r="AG71" s="148"/>
      <c r="AH71" s="148"/>
      <c r="AI71" s="148"/>
      <c r="AJ71" s="148"/>
      <c r="AK71" s="148"/>
      <c r="AL71" s="148"/>
      <c r="AM71" s="148"/>
      <c r="AN71" s="148"/>
      <c r="AO71" s="148"/>
      <c r="AP71" s="148"/>
      <c r="AQ71" s="148"/>
      <c r="AR71" s="148"/>
      <c r="AS71" s="148"/>
      <c r="AT71" s="148"/>
      <c r="AU71" s="148"/>
      <c r="AV71" s="148"/>
      <c r="AW71" s="148"/>
      <c r="AX71" s="148"/>
      <c r="AY71" s="148"/>
      <c r="AZ71" s="148"/>
      <c r="BA71" s="148"/>
      <c r="BB71" s="148"/>
      <c r="BC71" s="148"/>
      <c r="BD71" s="148"/>
      <c r="BE71" s="148"/>
      <c r="BF71" s="148"/>
      <c r="BG71" s="148"/>
      <c r="BH71" s="148"/>
      <c r="BI71" s="148"/>
      <c r="BJ71" s="148"/>
      <c r="BK71" s="148"/>
      <c r="BL71" s="148"/>
      <c r="BM71" s="148"/>
      <c r="BN71" s="148"/>
      <c r="BO71" s="148"/>
      <c r="BP71" s="148"/>
      <c r="BQ71" s="148"/>
      <c r="BR71" s="148"/>
      <c r="BS71" s="148"/>
      <c r="BT71" s="148"/>
      <c r="BU71" s="148"/>
      <c r="BV71" s="148"/>
      <c r="BW71" s="148"/>
      <c r="BX71" s="148"/>
      <c r="BY71" s="148"/>
      <c r="BZ71" s="148"/>
      <c r="CA71" s="148"/>
      <c r="CB71" s="148"/>
      <c r="CC71" s="148"/>
      <c r="CD71" s="148"/>
      <c r="CE71" s="148"/>
      <c r="CF71" s="148"/>
      <c r="CG71" s="148"/>
      <c r="CH71" s="148"/>
      <c r="CI71" s="148"/>
      <c r="CJ71" s="148"/>
      <c r="CK71" s="148"/>
      <c r="CL71" s="148"/>
      <c r="CM71" s="148"/>
      <c r="CN71" s="148"/>
      <c r="CO71" s="148"/>
      <c r="CP71" s="148"/>
      <c r="CQ71" s="148"/>
      <c r="CR71" s="148"/>
      <c r="CS71" s="148"/>
      <c r="CT71" s="148"/>
      <c r="CU71" s="148"/>
      <c r="CV71" s="148"/>
      <c r="CW71" s="148"/>
      <c r="CX71" s="148"/>
      <c r="CY71" s="148"/>
      <c r="CZ71" s="148"/>
      <c r="DA71" s="148"/>
      <c r="DB71" s="148"/>
      <c r="DC71" s="148"/>
      <c r="DD71" s="148"/>
      <c r="DE71" s="148"/>
      <c r="DF71" s="148"/>
      <c r="DG71" s="148"/>
      <c r="DH71" s="148"/>
      <c r="DI71" s="148"/>
      <c r="DJ71" s="148"/>
      <c r="DK71" s="148"/>
      <c r="DL71" s="148"/>
      <c r="DM71" s="148"/>
      <c r="DN71" s="148"/>
      <c r="DO71" s="148"/>
      <c r="DP71" s="148"/>
      <c r="DQ71" s="148"/>
      <c r="DR71" s="148"/>
      <c r="DS71" s="148"/>
      <c r="DT71" s="148"/>
      <c r="DU71" s="148"/>
      <c r="DV71" s="148"/>
      <c r="DW71" s="148"/>
      <c r="DX71" s="148"/>
      <c r="DY71" s="148"/>
      <c r="DZ71" s="148"/>
      <c r="EA71" s="148"/>
      <c r="EB71" s="148"/>
      <c r="EC71" s="148"/>
      <c r="ED71" s="148"/>
      <c r="EE71" s="148"/>
      <c r="EF71" s="148"/>
      <c r="EG71" s="148"/>
      <c r="EH71" s="148"/>
      <c r="EI71" s="148"/>
      <c r="EJ71" s="148"/>
      <c r="EK71" s="148"/>
      <c r="EL71" s="148"/>
      <c r="EM71" s="148"/>
      <c r="EN71" s="148"/>
      <c r="EO71" s="148"/>
      <c r="EP71" s="148"/>
      <c r="EQ71" s="148"/>
      <c r="ER71" s="148"/>
      <c r="ES71" s="148"/>
      <c r="ET71" s="148"/>
      <c r="EU71" s="148"/>
      <c r="EV71" s="148"/>
      <c r="EW71" s="148"/>
      <c r="EX71" s="148"/>
      <c r="EY71" s="148"/>
      <c r="EZ71" s="148"/>
      <c r="FA71" s="148"/>
      <c r="FB71" s="148"/>
      <c r="FC71" s="148"/>
      <c r="FD71" s="148"/>
      <c r="FE71" s="148"/>
      <c r="FF71" s="148"/>
      <c r="FG71" s="148"/>
      <c r="FH71" s="148"/>
      <c r="FI71" s="148"/>
      <c r="FJ71" s="148"/>
      <c r="FK71" s="148"/>
      <c r="FL71" s="148"/>
      <c r="FM71" s="148"/>
      <c r="FN71" s="148"/>
      <c r="FO71" s="148"/>
      <c r="FP71" s="148"/>
      <c r="FQ71" s="148"/>
      <c r="FR71" s="148"/>
      <c r="FS71" s="148"/>
      <c r="FT71" s="148"/>
      <c r="FU71" s="148"/>
      <c r="FV71" s="148"/>
      <c r="FW71" s="148"/>
      <c r="FX71" s="148"/>
      <c r="FY71" s="148"/>
      <c r="FZ71" s="148"/>
      <c r="GA71" s="148"/>
      <c r="GB71" s="148"/>
      <c r="GC71" s="148"/>
      <c r="GD71" s="148"/>
      <c r="GE71" s="148"/>
      <c r="GF71" s="148"/>
      <c r="GG71" s="148"/>
      <c r="GH71" s="148"/>
      <c r="GI71" s="148"/>
      <c r="GJ71" s="148"/>
      <c r="GK71" s="148"/>
      <c r="GL71" s="148"/>
      <c r="GM71" s="148"/>
      <c r="GN71" s="148"/>
      <c r="GO71" s="148"/>
      <c r="GP71" s="148"/>
      <c r="GQ71" s="148"/>
      <c r="GR71" s="148"/>
      <c r="GS71" s="148"/>
      <c r="GT71" s="148"/>
      <c r="GU71" s="148"/>
      <c r="GV71" s="148"/>
      <c r="GW71" s="148"/>
      <c r="GX71" s="148"/>
      <c r="GY71" s="148"/>
      <c r="GZ71" s="148"/>
      <c r="HA71" s="148"/>
      <c r="HB71" s="148"/>
      <c r="HC71" s="148"/>
      <c r="HD71" s="148"/>
      <c r="HE71" s="148"/>
      <c r="HF71" s="148"/>
      <c r="HG71" s="148"/>
      <c r="HH71" s="148"/>
      <c r="HI71" s="148"/>
      <c r="HJ71" s="148"/>
      <c r="HK71" s="148"/>
      <c r="HL71" s="148"/>
      <c r="HM71" s="148"/>
      <c r="HN71" s="148"/>
      <c r="HO71" s="148"/>
      <c r="HP71" s="148"/>
      <c r="HQ71" s="148"/>
      <c r="HR71" s="148"/>
      <c r="HS71" s="148"/>
      <c r="HT71" s="148"/>
      <c r="HU71" s="148"/>
      <c r="HV71" s="148"/>
      <c r="HW71" s="148"/>
      <c r="HX71" s="148"/>
      <c r="HY71" s="148"/>
      <c r="HZ71" s="148"/>
      <c r="IA71" s="148"/>
      <c r="IB71" s="148"/>
      <c r="IC71" s="148"/>
      <c r="ID71" s="148"/>
      <c r="IE71" s="148"/>
      <c r="IF71" s="148"/>
      <c r="IG71" s="148"/>
      <c r="IH71" s="148"/>
      <c r="II71" s="148"/>
      <c r="IJ71" s="148"/>
      <c r="IK71" s="148"/>
      <c r="IL71" s="148"/>
      <c r="IM71" s="148"/>
      <c r="IN71" s="148"/>
      <c r="IO71" s="148"/>
      <c r="IP71" s="148"/>
      <c r="IQ71" s="148"/>
      <c r="IR71" s="148"/>
      <c r="IS71" s="148"/>
      <c r="IT71" s="148"/>
      <c r="IU71" s="148"/>
      <c r="IV71" s="148"/>
      <c r="IW71" s="148"/>
      <c r="IX71" s="148"/>
      <c r="IY71" s="148"/>
      <c r="IZ71" s="148"/>
      <c r="JA71" s="148"/>
    </row>
    <row r="72" spans="1:261" s="272" customFormat="1" ht="18" customHeight="1" x14ac:dyDescent="0.35">
      <c r="A72" s="1423">
        <v>61</v>
      </c>
      <c r="B72" s="1557"/>
      <c r="C72" s="1558"/>
      <c r="D72" s="1163" t="s">
        <v>1116</v>
      </c>
      <c r="E72" s="1560"/>
      <c r="F72" s="1561"/>
      <c r="G72" s="1562"/>
      <c r="H72" s="1563"/>
      <c r="I72" s="1580"/>
      <c r="J72" s="1574"/>
      <c r="K72" s="1574">
        <f>SUM(K70:K71)</f>
        <v>3015</v>
      </c>
      <c r="L72" s="1574"/>
      <c r="M72" s="1574">
        <f t="shared" ref="M72" si="10">SUM(M70:M71)</f>
        <v>217401</v>
      </c>
      <c r="N72" s="1574"/>
      <c r="O72" s="1576">
        <f>SUM(I72:N72)</f>
        <v>220416</v>
      </c>
      <c r="P72" s="1567"/>
      <c r="Q72" s="148"/>
      <c r="R72" s="148"/>
      <c r="S72" s="148"/>
      <c r="T72" s="148"/>
      <c r="U72" s="148"/>
      <c r="V72" s="148"/>
      <c r="W72" s="148"/>
      <c r="X72" s="148"/>
      <c r="Y72" s="148"/>
      <c r="Z72" s="148"/>
      <c r="AA72" s="148"/>
      <c r="AB72" s="148"/>
      <c r="AC72" s="148"/>
      <c r="AD72" s="148"/>
      <c r="AE72" s="148"/>
      <c r="AF72" s="148"/>
      <c r="AG72" s="148"/>
      <c r="AH72" s="148"/>
      <c r="AI72" s="148"/>
      <c r="AJ72" s="148"/>
      <c r="AK72" s="148"/>
      <c r="AL72" s="148"/>
      <c r="AM72" s="148"/>
      <c r="AN72" s="148"/>
      <c r="AO72" s="148"/>
      <c r="AP72" s="148"/>
      <c r="AQ72" s="148"/>
      <c r="AR72" s="148"/>
      <c r="AS72" s="148"/>
      <c r="AT72" s="148"/>
      <c r="AU72" s="148"/>
      <c r="AV72" s="148"/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  <c r="BI72" s="148"/>
      <c r="BJ72" s="148"/>
      <c r="BK72" s="148"/>
      <c r="BL72" s="148"/>
      <c r="BM72" s="148"/>
      <c r="BN72" s="148"/>
      <c r="BO72" s="148"/>
      <c r="BP72" s="148"/>
      <c r="BQ72" s="148"/>
      <c r="BR72" s="148"/>
      <c r="BS72" s="148"/>
      <c r="BT72" s="148"/>
      <c r="BU72" s="148"/>
      <c r="BV72" s="148"/>
      <c r="BW72" s="148"/>
      <c r="BX72" s="148"/>
      <c r="BY72" s="148"/>
      <c r="BZ72" s="148"/>
      <c r="CA72" s="148"/>
      <c r="CB72" s="148"/>
      <c r="CC72" s="148"/>
      <c r="CD72" s="148"/>
      <c r="CE72" s="148"/>
      <c r="CF72" s="148"/>
      <c r="CG72" s="148"/>
      <c r="CH72" s="148"/>
      <c r="CI72" s="148"/>
      <c r="CJ72" s="148"/>
      <c r="CK72" s="148"/>
      <c r="CL72" s="148"/>
      <c r="CM72" s="148"/>
      <c r="CN72" s="148"/>
      <c r="CO72" s="148"/>
      <c r="CP72" s="148"/>
      <c r="CQ72" s="148"/>
      <c r="CR72" s="148"/>
      <c r="CS72" s="148"/>
      <c r="CT72" s="148"/>
      <c r="CU72" s="148"/>
      <c r="CV72" s="148"/>
      <c r="CW72" s="148"/>
      <c r="CX72" s="148"/>
      <c r="CY72" s="148"/>
      <c r="CZ72" s="148"/>
      <c r="DA72" s="148"/>
      <c r="DB72" s="148"/>
      <c r="DC72" s="148"/>
      <c r="DD72" s="148"/>
      <c r="DE72" s="148"/>
      <c r="DF72" s="148"/>
      <c r="DG72" s="148"/>
      <c r="DH72" s="148"/>
      <c r="DI72" s="148"/>
      <c r="DJ72" s="148"/>
      <c r="DK72" s="148"/>
      <c r="DL72" s="148"/>
      <c r="DM72" s="148"/>
      <c r="DN72" s="148"/>
      <c r="DO72" s="148"/>
      <c r="DP72" s="148"/>
      <c r="DQ72" s="148"/>
      <c r="DR72" s="148"/>
      <c r="DS72" s="148"/>
      <c r="DT72" s="148"/>
      <c r="DU72" s="148"/>
      <c r="DV72" s="148"/>
      <c r="DW72" s="148"/>
      <c r="DX72" s="148"/>
      <c r="DY72" s="148"/>
      <c r="DZ72" s="148"/>
      <c r="EA72" s="148"/>
      <c r="EB72" s="148"/>
      <c r="EC72" s="148"/>
      <c r="ED72" s="148"/>
      <c r="EE72" s="148"/>
      <c r="EF72" s="148"/>
      <c r="EG72" s="148"/>
      <c r="EH72" s="148"/>
      <c r="EI72" s="148"/>
      <c r="EJ72" s="148"/>
      <c r="EK72" s="148"/>
      <c r="EL72" s="148"/>
      <c r="EM72" s="148"/>
      <c r="EN72" s="148"/>
      <c r="EO72" s="148"/>
      <c r="EP72" s="148"/>
      <c r="EQ72" s="148"/>
      <c r="ER72" s="148"/>
      <c r="ES72" s="148"/>
      <c r="ET72" s="148"/>
      <c r="EU72" s="148"/>
      <c r="EV72" s="148"/>
      <c r="EW72" s="148"/>
      <c r="EX72" s="148"/>
      <c r="EY72" s="148"/>
      <c r="EZ72" s="148"/>
      <c r="FA72" s="148"/>
      <c r="FB72" s="148"/>
      <c r="FC72" s="148"/>
      <c r="FD72" s="148"/>
      <c r="FE72" s="148"/>
      <c r="FF72" s="148"/>
      <c r="FG72" s="148"/>
      <c r="FH72" s="148"/>
      <c r="FI72" s="148"/>
      <c r="FJ72" s="148"/>
      <c r="FK72" s="148"/>
      <c r="FL72" s="148"/>
      <c r="FM72" s="148"/>
      <c r="FN72" s="148"/>
      <c r="FO72" s="148"/>
      <c r="FP72" s="148"/>
      <c r="FQ72" s="148"/>
      <c r="FR72" s="148"/>
      <c r="FS72" s="148"/>
      <c r="FT72" s="148"/>
      <c r="FU72" s="148"/>
      <c r="FV72" s="148"/>
      <c r="FW72" s="148"/>
      <c r="FX72" s="148"/>
      <c r="FY72" s="148"/>
      <c r="FZ72" s="148"/>
      <c r="GA72" s="148"/>
      <c r="GB72" s="148"/>
      <c r="GC72" s="148"/>
      <c r="GD72" s="148"/>
      <c r="GE72" s="148"/>
      <c r="GF72" s="148"/>
      <c r="GG72" s="148"/>
      <c r="GH72" s="148"/>
      <c r="GI72" s="148"/>
      <c r="GJ72" s="148"/>
      <c r="GK72" s="148"/>
      <c r="GL72" s="148"/>
      <c r="GM72" s="148"/>
      <c r="GN72" s="148"/>
      <c r="GO72" s="148"/>
      <c r="GP72" s="148"/>
      <c r="GQ72" s="148"/>
      <c r="GR72" s="148"/>
      <c r="GS72" s="148"/>
      <c r="GT72" s="148"/>
      <c r="GU72" s="148"/>
      <c r="GV72" s="148"/>
      <c r="GW72" s="148"/>
      <c r="GX72" s="148"/>
      <c r="GY72" s="148"/>
      <c r="GZ72" s="148"/>
      <c r="HA72" s="148"/>
      <c r="HB72" s="148"/>
      <c r="HC72" s="148"/>
      <c r="HD72" s="148"/>
      <c r="HE72" s="148"/>
      <c r="HF72" s="148"/>
      <c r="HG72" s="148"/>
      <c r="HH72" s="148"/>
      <c r="HI72" s="148"/>
      <c r="HJ72" s="148"/>
      <c r="HK72" s="148"/>
      <c r="HL72" s="148"/>
      <c r="HM72" s="148"/>
      <c r="HN72" s="148"/>
      <c r="HO72" s="148"/>
      <c r="HP72" s="148"/>
      <c r="HQ72" s="148"/>
      <c r="HR72" s="148"/>
      <c r="HS72" s="148"/>
      <c r="HT72" s="148"/>
      <c r="HU72" s="148"/>
      <c r="HV72" s="148"/>
      <c r="HW72" s="148"/>
      <c r="HX72" s="148"/>
      <c r="HY72" s="148"/>
      <c r="HZ72" s="148"/>
      <c r="IA72" s="148"/>
      <c r="IB72" s="148"/>
      <c r="IC72" s="148"/>
      <c r="ID72" s="148"/>
      <c r="IE72" s="148"/>
      <c r="IF72" s="148"/>
      <c r="IG72" s="148"/>
      <c r="IH72" s="148"/>
      <c r="II72" s="148"/>
      <c r="IJ72" s="148"/>
      <c r="IK72" s="148"/>
      <c r="IL72" s="148"/>
      <c r="IM72" s="148"/>
      <c r="IN72" s="148"/>
      <c r="IO72" s="148"/>
      <c r="IP72" s="148"/>
      <c r="IQ72" s="148"/>
      <c r="IR72" s="148"/>
      <c r="IS72" s="148"/>
      <c r="IT72" s="148"/>
      <c r="IU72" s="148"/>
      <c r="IV72" s="148"/>
      <c r="IW72" s="148"/>
      <c r="IX72" s="148"/>
      <c r="IY72" s="148"/>
      <c r="IZ72" s="148"/>
      <c r="JA72" s="148"/>
    </row>
    <row r="73" spans="1:261" ht="33" x14ac:dyDescent="0.35">
      <c r="A73" s="1423">
        <v>62</v>
      </c>
      <c r="B73" s="1589"/>
      <c r="C73" s="1582">
        <v>13</v>
      </c>
      <c r="D73" s="1414" t="s">
        <v>693</v>
      </c>
      <c r="E73" s="1560"/>
      <c r="F73" s="1561"/>
      <c r="G73" s="1562"/>
      <c r="H73" s="1563" t="s">
        <v>24</v>
      </c>
      <c r="I73" s="1564"/>
      <c r="J73" s="1565"/>
      <c r="K73" s="1565"/>
      <c r="L73" s="1565"/>
      <c r="M73" s="1565"/>
      <c r="N73" s="1565"/>
      <c r="O73" s="1566"/>
      <c r="P73" s="1567"/>
    </row>
    <row r="74" spans="1:261" s="272" customFormat="1" ht="18" customHeight="1" x14ac:dyDescent="0.35">
      <c r="A74" s="1423">
        <v>63</v>
      </c>
      <c r="B74" s="1557"/>
      <c r="C74" s="1582"/>
      <c r="D74" s="1585" t="s">
        <v>311</v>
      </c>
      <c r="E74" s="1560">
        <f>F74+G74+O77+P77+12000</f>
        <v>501600</v>
      </c>
      <c r="F74" s="1561">
        <v>326</v>
      </c>
      <c r="G74" s="1562">
        <f>16713+414</f>
        <v>17127</v>
      </c>
      <c r="H74" s="1563"/>
      <c r="I74" s="1564"/>
      <c r="J74" s="1565"/>
      <c r="K74" s="1565">
        <v>9860</v>
      </c>
      <c r="L74" s="1565"/>
      <c r="M74" s="1565">
        <v>462287</v>
      </c>
      <c r="N74" s="1565"/>
      <c r="O74" s="1566">
        <f>SUM(I74:N74)</f>
        <v>472147</v>
      </c>
      <c r="P74" s="1567"/>
      <c r="Q74" s="148"/>
      <c r="R74" s="148"/>
      <c r="S74" s="148"/>
      <c r="T74" s="148"/>
      <c r="U74" s="148"/>
      <c r="V74" s="148"/>
      <c r="W74" s="148"/>
      <c r="X74" s="148"/>
      <c r="Y74" s="148"/>
      <c r="Z74" s="148"/>
      <c r="AA74" s="148"/>
      <c r="AB74" s="148"/>
      <c r="AC74" s="148"/>
      <c r="AD74" s="148"/>
      <c r="AE74" s="148"/>
      <c r="AF74" s="148"/>
      <c r="AG74" s="148"/>
      <c r="AH74" s="148"/>
      <c r="AI74" s="148"/>
      <c r="AJ74" s="148"/>
      <c r="AK74" s="148"/>
      <c r="AL74" s="148"/>
      <c r="AM74" s="148"/>
      <c r="AN74" s="148"/>
      <c r="AO74" s="148"/>
      <c r="AP74" s="148"/>
      <c r="AQ74" s="148"/>
      <c r="AR74" s="148"/>
      <c r="AS74" s="148"/>
      <c r="AT74" s="148"/>
      <c r="AU74" s="148"/>
      <c r="AV74" s="148"/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  <c r="BI74" s="148"/>
      <c r="BJ74" s="148"/>
      <c r="BK74" s="148"/>
      <c r="BL74" s="148"/>
      <c r="BM74" s="148"/>
      <c r="BN74" s="148"/>
      <c r="BO74" s="148"/>
      <c r="BP74" s="148"/>
      <c r="BQ74" s="148"/>
      <c r="BR74" s="148"/>
      <c r="BS74" s="148"/>
      <c r="BT74" s="148"/>
      <c r="BU74" s="148"/>
      <c r="BV74" s="148"/>
      <c r="BW74" s="148"/>
      <c r="BX74" s="148"/>
      <c r="BY74" s="148"/>
      <c r="BZ74" s="148"/>
      <c r="CA74" s="148"/>
      <c r="CB74" s="148"/>
      <c r="CC74" s="148"/>
      <c r="CD74" s="148"/>
      <c r="CE74" s="148"/>
      <c r="CF74" s="148"/>
      <c r="CG74" s="148"/>
      <c r="CH74" s="148"/>
      <c r="CI74" s="148"/>
      <c r="CJ74" s="148"/>
      <c r="CK74" s="148"/>
      <c r="CL74" s="148"/>
      <c r="CM74" s="148"/>
      <c r="CN74" s="148"/>
      <c r="CO74" s="148"/>
      <c r="CP74" s="148"/>
      <c r="CQ74" s="148"/>
      <c r="CR74" s="148"/>
      <c r="CS74" s="148"/>
      <c r="CT74" s="148"/>
      <c r="CU74" s="148"/>
      <c r="CV74" s="148"/>
      <c r="CW74" s="148"/>
      <c r="CX74" s="148"/>
      <c r="CY74" s="148"/>
      <c r="CZ74" s="148"/>
      <c r="DA74" s="148"/>
      <c r="DB74" s="148"/>
      <c r="DC74" s="148"/>
      <c r="DD74" s="148"/>
      <c r="DE74" s="148"/>
      <c r="DF74" s="148"/>
      <c r="DG74" s="148"/>
      <c r="DH74" s="148"/>
      <c r="DI74" s="148"/>
      <c r="DJ74" s="148"/>
      <c r="DK74" s="148"/>
      <c r="DL74" s="148"/>
      <c r="DM74" s="148"/>
      <c r="DN74" s="148"/>
      <c r="DO74" s="148"/>
      <c r="DP74" s="148"/>
      <c r="DQ74" s="148"/>
      <c r="DR74" s="148"/>
      <c r="DS74" s="148"/>
      <c r="DT74" s="148"/>
      <c r="DU74" s="148"/>
      <c r="DV74" s="148"/>
      <c r="DW74" s="148"/>
      <c r="DX74" s="148"/>
      <c r="DY74" s="148"/>
      <c r="DZ74" s="148"/>
      <c r="EA74" s="148"/>
      <c r="EB74" s="148"/>
      <c r="EC74" s="148"/>
      <c r="ED74" s="148"/>
      <c r="EE74" s="148"/>
      <c r="EF74" s="148"/>
      <c r="EG74" s="148"/>
      <c r="EH74" s="148"/>
      <c r="EI74" s="148"/>
      <c r="EJ74" s="148"/>
      <c r="EK74" s="148"/>
      <c r="EL74" s="148"/>
      <c r="EM74" s="148"/>
      <c r="EN74" s="148"/>
      <c r="EO74" s="148"/>
      <c r="EP74" s="148"/>
      <c r="EQ74" s="148"/>
      <c r="ER74" s="148"/>
      <c r="ES74" s="148"/>
      <c r="ET74" s="148"/>
      <c r="EU74" s="148"/>
      <c r="EV74" s="148"/>
      <c r="EW74" s="148"/>
      <c r="EX74" s="148"/>
      <c r="EY74" s="148"/>
      <c r="EZ74" s="148"/>
      <c r="FA74" s="148"/>
      <c r="FB74" s="148"/>
      <c r="FC74" s="148"/>
      <c r="FD74" s="148"/>
      <c r="FE74" s="148"/>
      <c r="FF74" s="148"/>
      <c r="FG74" s="148"/>
      <c r="FH74" s="148"/>
      <c r="FI74" s="148"/>
      <c r="FJ74" s="148"/>
      <c r="FK74" s="148"/>
      <c r="FL74" s="148"/>
      <c r="FM74" s="148"/>
      <c r="FN74" s="148"/>
      <c r="FO74" s="148"/>
      <c r="FP74" s="148"/>
      <c r="FQ74" s="148"/>
      <c r="FR74" s="148"/>
      <c r="FS74" s="148"/>
      <c r="FT74" s="148"/>
      <c r="FU74" s="148"/>
      <c r="FV74" s="148"/>
      <c r="FW74" s="148"/>
      <c r="FX74" s="148"/>
      <c r="FY74" s="148"/>
      <c r="FZ74" s="148"/>
      <c r="GA74" s="148"/>
      <c r="GB74" s="148"/>
      <c r="GC74" s="148"/>
      <c r="GD74" s="148"/>
      <c r="GE74" s="148"/>
      <c r="GF74" s="148"/>
      <c r="GG74" s="148"/>
      <c r="GH74" s="148"/>
      <c r="GI74" s="148"/>
      <c r="GJ74" s="148"/>
      <c r="GK74" s="148"/>
      <c r="GL74" s="148"/>
      <c r="GM74" s="148"/>
      <c r="GN74" s="148"/>
      <c r="GO74" s="148"/>
      <c r="GP74" s="148"/>
      <c r="GQ74" s="148"/>
      <c r="GR74" s="148"/>
      <c r="GS74" s="148"/>
      <c r="GT74" s="148"/>
      <c r="GU74" s="148"/>
      <c r="GV74" s="148"/>
      <c r="GW74" s="148"/>
      <c r="GX74" s="148"/>
      <c r="GY74" s="148"/>
      <c r="GZ74" s="148"/>
      <c r="HA74" s="148"/>
      <c r="HB74" s="148"/>
      <c r="HC74" s="148"/>
      <c r="HD74" s="148"/>
      <c r="HE74" s="148"/>
      <c r="HF74" s="148"/>
      <c r="HG74" s="148"/>
      <c r="HH74" s="148"/>
      <c r="HI74" s="148"/>
      <c r="HJ74" s="148"/>
      <c r="HK74" s="148"/>
      <c r="HL74" s="148"/>
      <c r="HM74" s="148"/>
      <c r="HN74" s="148"/>
      <c r="HO74" s="148"/>
      <c r="HP74" s="148"/>
      <c r="HQ74" s="148"/>
      <c r="HR74" s="148"/>
      <c r="HS74" s="148"/>
      <c r="HT74" s="148"/>
      <c r="HU74" s="148"/>
      <c r="HV74" s="148"/>
      <c r="HW74" s="148"/>
      <c r="HX74" s="148"/>
      <c r="HY74" s="148"/>
      <c r="HZ74" s="148"/>
      <c r="IA74" s="148"/>
      <c r="IB74" s="148"/>
      <c r="IC74" s="148"/>
      <c r="ID74" s="148"/>
      <c r="IE74" s="148"/>
      <c r="IF74" s="148"/>
      <c r="IG74" s="148"/>
      <c r="IH74" s="148"/>
      <c r="II74" s="148"/>
      <c r="IJ74" s="148"/>
      <c r="IK74" s="148"/>
      <c r="IL74" s="148"/>
      <c r="IM74" s="148"/>
      <c r="IN74" s="148"/>
      <c r="IO74" s="148"/>
      <c r="IP74" s="148"/>
      <c r="IQ74" s="148"/>
      <c r="IR74" s="148"/>
      <c r="IS74" s="148"/>
      <c r="IT74" s="148"/>
      <c r="IU74" s="148"/>
      <c r="IV74" s="148"/>
      <c r="IW74" s="148"/>
      <c r="IX74" s="148"/>
      <c r="IY74" s="148"/>
      <c r="IZ74" s="148"/>
      <c r="JA74" s="148"/>
    </row>
    <row r="75" spans="1:261" s="272" customFormat="1" ht="18" customHeight="1" x14ac:dyDescent="0.35">
      <c r="A75" s="1423">
        <v>64</v>
      </c>
      <c r="B75" s="1557"/>
      <c r="C75" s="1582"/>
      <c r="D75" s="1163" t="s">
        <v>1064</v>
      </c>
      <c r="E75" s="1560"/>
      <c r="F75" s="1561"/>
      <c r="G75" s="1562"/>
      <c r="H75" s="1563"/>
      <c r="I75" s="1564"/>
      <c r="J75" s="1565"/>
      <c r="K75" s="1574">
        <v>9860</v>
      </c>
      <c r="L75" s="1574"/>
      <c r="M75" s="1574">
        <v>462287</v>
      </c>
      <c r="N75" s="1565"/>
      <c r="O75" s="1576">
        <f>SUM(I75:N75)</f>
        <v>472147</v>
      </c>
      <c r="P75" s="1567"/>
      <c r="Q75" s="148"/>
      <c r="R75" s="148"/>
      <c r="S75" s="148"/>
      <c r="T75" s="148"/>
      <c r="U75" s="148"/>
      <c r="V75" s="148"/>
      <c r="W75" s="148"/>
      <c r="X75" s="148"/>
      <c r="Y75" s="148"/>
      <c r="Z75" s="148"/>
      <c r="AA75" s="148"/>
      <c r="AB75" s="148"/>
      <c r="AC75" s="148"/>
      <c r="AD75" s="148"/>
      <c r="AE75" s="148"/>
      <c r="AF75" s="148"/>
      <c r="AG75" s="148"/>
      <c r="AH75" s="148"/>
      <c r="AI75" s="148"/>
      <c r="AJ75" s="148"/>
      <c r="AK75" s="148"/>
      <c r="AL75" s="148"/>
      <c r="AM75" s="148"/>
      <c r="AN75" s="148"/>
      <c r="AO75" s="148"/>
      <c r="AP75" s="148"/>
      <c r="AQ75" s="148"/>
      <c r="AR75" s="148"/>
      <c r="AS75" s="148"/>
      <c r="AT75" s="148"/>
      <c r="AU75" s="148"/>
      <c r="AV75" s="148"/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  <c r="BI75" s="148"/>
      <c r="BJ75" s="148"/>
      <c r="BK75" s="148"/>
      <c r="BL75" s="148"/>
      <c r="BM75" s="148"/>
      <c r="BN75" s="148"/>
      <c r="BO75" s="148"/>
      <c r="BP75" s="148"/>
      <c r="BQ75" s="148"/>
      <c r="BR75" s="148"/>
      <c r="BS75" s="148"/>
      <c r="BT75" s="148"/>
      <c r="BU75" s="148"/>
      <c r="BV75" s="148"/>
      <c r="BW75" s="148"/>
      <c r="BX75" s="148"/>
      <c r="BY75" s="148"/>
      <c r="BZ75" s="148"/>
      <c r="CA75" s="148"/>
      <c r="CB75" s="148"/>
      <c r="CC75" s="148"/>
      <c r="CD75" s="148"/>
      <c r="CE75" s="148"/>
      <c r="CF75" s="148"/>
      <c r="CG75" s="148"/>
      <c r="CH75" s="148"/>
      <c r="CI75" s="148"/>
      <c r="CJ75" s="148"/>
      <c r="CK75" s="148"/>
      <c r="CL75" s="148"/>
      <c r="CM75" s="148"/>
      <c r="CN75" s="148"/>
      <c r="CO75" s="148"/>
      <c r="CP75" s="148"/>
      <c r="CQ75" s="148"/>
      <c r="CR75" s="148"/>
      <c r="CS75" s="148"/>
      <c r="CT75" s="148"/>
      <c r="CU75" s="148"/>
      <c r="CV75" s="148"/>
      <c r="CW75" s="148"/>
      <c r="CX75" s="148"/>
      <c r="CY75" s="148"/>
      <c r="CZ75" s="148"/>
      <c r="DA75" s="148"/>
      <c r="DB75" s="148"/>
      <c r="DC75" s="148"/>
      <c r="DD75" s="148"/>
      <c r="DE75" s="148"/>
      <c r="DF75" s="148"/>
      <c r="DG75" s="148"/>
      <c r="DH75" s="148"/>
      <c r="DI75" s="148"/>
      <c r="DJ75" s="148"/>
      <c r="DK75" s="148"/>
      <c r="DL75" s="148"/>
      <c r="DM75" s="148"/>
      <c r="DN75" s="148"/>
      <c r="DO75" s="148"/>
      <c r="DP75" s="148"/>
      <c r="DQ75" s="148"/>
      <c r="DR75" s="148"/>
      <c r="DS75" s="148"/>
      <c r="DT75" s="148"/>
      <c r="DU75" s="148"/>
      <c r="DV75" s="148"/>
      <c r="DW75" s="148"/>
      <c r="DX75" s="148"/>
      <c r="DY75" s="148"/>
      <c r="DZ75" s="148"/>
      <c r="EA75" s="148"/>
      <c r="EB75" s="148"/>
      <c r="EC75" s="148"/>
      <c r="ED75" s="148"/>
      <c r="EE75" s="148"/>
      <c r="EF75" s="148"/>
      <c r="EG75" s="148"/>
      <c r="EH75" s="148"/>
      <c r="EI75" s="148"/>
      <c r="EJ75" s="148"/>
      <c r="EK75" s="148"/>
      <c r="EL75" s="148"/>
      <c r="EM75" s="148"/>
      <c r="EN75" s="148"/>
      <c r="EO75" s="148"/>
      <c r="EP75" s="148"/>
      <c r="EQ75" s="148"/>
      <c r="ER75" s="148"/>
      <c r="ES75" s="148"/>
      <c r="ET75" s="148"/>
      <c r="EU75" s="148"/>
      <c r="EV75" s="148"/>
      <c r="EW75" s="148"/>
      <c r="EX75" s="148"/>
      <c r="EY75" s="148"/>
      <c r="EZ75" s="148"/>
      <c r="FA75" s="148"/>
      <c r="FB75" s="148"/>
      <c r="FC75" s="148"/>
      <c r="FD75" s="148"/>
      <c r="FE75" s="148"/>
      <c r="FF75" s="148"/>
      <c r="FG75" s="148"/>
      <c r="FH75" s="148"/>
      <c r="FI75" s="148"/>
      <c r="FJ75" s="148"/>
      <c r="FK75" s="148"/>
      <c r="FL75" s="148"/>
      <c r="FM75" s="148"/>
      <c r="FN75" s="148"/>
      <c r="FO75" s="148"/>
      <c r="FP75" s="148"/>
      <c r="FQ75" s="148"/>
      <c r="FR75" s="148"/>
      <c r="FS75" s="148"/>
      <c r="FT75" s="148"/>
      <c r="FU75" s="148"/>
      <c r="FV75" s="148"/>
      <c r="FW75" s="148"/>
      <c r="FX75" s="148"/>
      <c r="FY75" s="148"/>
      <c r="FZ75" s="148"/>
      <c r="GA75" s="148"/>
      <c r="GB75" s="148"/>
      <c r="GC75" s="148"/>
      <c r="GD75" s="148"/>
      <c r="GE75" s="148"/>
      <c r="GF75" s="148"/>
      <c r="GG75" s="148"/>
      <c r="GH75" s="148"/>
      <c r="GI75" s="148"/>
      <c r="GJ75" s="148"/>
      <c r="GK75" s="148"/>
      <c r="GL75" s="148"/>
      <c r="GM75" s="148"/>
      <c r="GN75" s="148"/>
      <c r="GO75" s="148"/>
      <c r="GP75" s="148"/>
      <c r="GQ75" s="148"/>
      <c r="GR75" s="148"/>
      <c r="GS75" s="148"/>
      <c r="GT75" s="148"/>
      <c r="GU75" s="148"/>
      <c r="GV75" s="148"/>
      <c r="GW75" s="148"/>
      <c r="GX75" s="148"/>
      <c r="GY75" s="148"/>
      <c r="GZ75" s="148"/>
      <c r="HA75" s="148"/>
      <c r="HB75" s="148"/>
      <c r="HC75" s="148"/>
      <c r="HD75" s="148"/>
      <c r="HE75" s="148"/>
      <c r="HF75" s="148"/>
      <c r="HG75" s="148"/>
      <c r="HH75" s="148"/>
      <c r="HI75" s="148"/>
      <c r="HJ75" s="148"/>
      <c r="HK75" s="148"/>
      <c r="HL75" s="148"/>
      <c r="HM75" s="148"/>
      <c r="HN75" s="148"/>
      <c r="HO75" s="148"/>
      <c r="HP75" s="148"/>
      <c r="HQ75" s="148"/>
      <c r="HR75" s="148"/>
      <c r="HS75" s="148"/>
      <c r="HT75" s="148"/>
      <c r="HU75" s="148"/>
      <c r="HV75" s="148"/>
      <c r="HW75" s="148"/>
      <c r="HX75" s="148"/>
      <c r="HY75" s="148"/>
      <c r="HZ75" s="148"/>
      <c r="IA75" s="148"/>
      <c r="IB75" s="148"/>
      <c r="IC75" s="148"/>
      <c r="ID75" s="148"/>
      <c r="IE75" s="148"/>
      <c r="IF75" s="148"/>
      <c r="IG75" s="148"/>
      <c r="IH75" s="148"/>
      <c r="II75" s="148"/>
      <c r="IJ75" s="148"/>
      <c r="IK75" s="148"/>
      <c r="IL75" s="148"/>
      <c r="IM75" s="148"/>
      <c r="IN75" s="148"/>
      <c r="IO75" s="148"/>
      <c r="IP75" s="148"/>
      <c r="IQ75" s="148"/>
      <c r="IR75" s="148"/>
      <c r="IS75" s="148"/>
      <c r="IT75" s="148"/>
      <c r="IU75" s="148"/>
      <c r="IV75" s="148"/>
      <c r="IW75" s="148"/>
      <c r="IX75" s="148"/>
      <c r="IY75" s="148"/>
      <c r="IZ75" s="148"/>
      <c r="JA75" s="148"/>
    </row>
    <row r="76" spans="1:261" s="272" customFormat="1" ht="18" customHeight="1" x14ac:dyDescent="0.35">
      <c r="A76" s="1423">
        <v>65</v>
      </c>
      <c r="B76" s="1557"/>
      <c r="C76" s="1582"/>
      <c r="D76" s="1174" t="s">
        <v>999</v>
      </c>
      <c r="E76" s="1560"/>
      <c r="F76" s="1561"/>
      <c r="G76" s="1562"/>
      <c r="H76" s="1563"/>
      <c r="I76" s="1580"/>
      <c r="J76" s="1574"/>
      <c r="K76" s="1574"/>
      <c r="L76" s="1574"/>
      <c r="M76" s="1574"/>
      <c r="N76" s="1574"/>
      <c r="O76" s="1578">
        <f>SUM(I76:N76)</f>
        <v>0</v>
      </c>
      <c r="P76" s="1567"/>
      <c r="Q76" s="148"/>
      <c r="R76" s="148"/>
      <c r="S76" s="148"/>
      <c r="T76" s="148"/>
      <c r="U76" s="148"/>
      <c r="V76" s="148"/>
      <c r="W76" s="148"/>
      <c r="X76" s="148"/>
      <c r="Y76" s="148"/>
      <c r="Z76" s="148"/>
      <c r="AA76" s="148"/>
      <c r="AB76" s="148"/>
      <c r="AC76" s="148"/>
      <c r="AD76" s="148"/>
      <c r="AE76" s="148"/>
      <c r="AF76" s="148"/>
      <c r="AG76" s="148"/>
      <c r="AH76" s="148"/>
      <c r="AI76" s="148"/>
      <c r="AJ76" s="148"/>
      <c r="AK76" s="148"/>
      <c r="AL76" s="148"/>
      <c r="AM76" s="148"/>
      <c r="AN76" s="148"/>
      <c r="AO76" s="148"/>
      <c r="AP76" s="148"/>
      <c r="AQ76" s="148"/>
      <c r="AR76" s="148"/>
      <c r="AS76" s="148"/>
      <c r="AT76" s="148"/>
      <c r="AU76" s="148"/>
      <c r="AV76" s="148"/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  <c r="BI76" s="148"/>
      <c r="BJ76" s="148"/>
      <c r="BK76" s="148"/>
      <c r="BL76" s="148"/>
      <c r="BM76" s="148"/>
      <c r="BN76" s="148"/>
      <c r="BO76" s="148"/>
      <c r="BP76" s="148"/>
      <c r="BQ76" s="148"/>
      <c r="BR76" s="148"/>
      <c r="BS76" s="148"/>
      <c r="BT76" s="148"/>
      <c r="BU76" s="148"/>
      <c r="BV76" s="148"/>
      <c r="BW76" s="148"/>
      <c r="BX76" s="148"/>
      <c r="BY76" s="148"/>
      <c r="BZ76" s="148"/>
      <c r="CA76" s="148"/>
      <c r="CB76" s="148"/>
      <c r="CC76" s="148"/>
      <c r="CD76" s="148"/>
      <c r="CE76" s="148"/>
      <c r="CF76" s="148"/>
      <c r="CG76" s="148"/>
      <c r="CH76" s="148"/>
      <c r="CI76" s="148"/>
      <c r="CJ76" s="148"/>
      <c r="CK76" s="148"/>
      <c r="CL76" s="148"/>
      <c r="CM76" s="148"/>
      <c r="CN76" s="148"/>
      <c r="CO76" s="148"/>
      <c r="CP76" s="148"/>
      <c r="CQ76" s="148"/>
      <c r="CR76" s="148"/>
      <c r="CS76" s="148"/>
      <c r="CT76" s="148"/>
      <c r="CU76" s="148"/>
      <c r="CV76" s="148"/>
      <c r="CW76" s="148"/>
      <c r="CX76" s="148"/>
      <c r="CY76" s="148"/>
      <c r="CZ76" s="148"/>
      <c r="DA76" s="148"/>
      <c r="DB76" s="148"/>
      <c r="DC76" s="148"/>
      <c r="DD76" s="148"/>
      <c r="DE76" s="148"/>
      <c r="DF76" s="148"/>
      <c r="DG76" s="148"/>
      <c r="DH76" s="148"/>
      <c r="DI76" s="148"/>
      <c r="DJ76" s="148"/>
      <c r="DK76" s="148"/>
      <c r="DL76" s="148"/>
      <c r="DM76" s="148"/>
      <c r="DN76" s="148"/>
      <c r="DO76" s="148"/>
      <c r="DP76" s="148"/>
      <c r="DQ76" s="148"/>
      <c r="DR76" s="148"/>
      <c r="DS76" s="148"/>
      <c r="DT76" s="148"/>
      <c r="DU76" s="148"/>
      <c r="DV76" s="148"/>
      <c r="DW76" s="148"/>
      <c r="DX76" s="148"/>
      <c r="DY76" s="148"/>
      <c r="DZ76" s="148"/>
      <c r="EA76" s="148"/>
      <c r="EB76" s="148"/>
      <c r="EC76" s="148"/>
      <c r="ED76" s="148"/>
      <c r="EE76" s="148"/>
      <c r="EF76" s="148"/>
      <c r="EG76" s="148"/>
      <c r="EH76" s="148"/>
      <c r="EI76" s="148"/>
      <c r="EJ76" s="148"/>
      <c r="EK76" s="148"/>
      <c r="EL76" s="148"/>
      <c r="EM76" s="148"/>
      <c r="EN76" s="148"/>
      <c r="EO76" s="148"/>
      <c r="EP76" s="148"/>
      <c r="EQ76" s="148"/>
      <c r="ER76" s="148"/>
      <c r="ES76" s="148"/>
      <c r="ET76" s="148"/>
      <c r="EU76" s="148"/>
      <c r="EV76" s="148"/>
      <c r="EW76" s="148"/>
      <c r="EX76" s="148"/>
      <c r="EY76" s="148"/>
      <c r="EZ76" s="148"/>
      <c r="FA76" s="148"/>
      <c r="FB76" s="148"/>
      <c r="FC76" s="148"/>
      <c r="FD76" s="148"/>
      <c r="FE76" s="148"/>
      <c r="FF76" s="148"/>
      <c r="FG76" s="148"/>
      <c r="FH76" s="148"/>
      <c r="FI76" s="148"/>
      <c r="FJ76" s="148"/>
      <c r="FK76" s="148"/>
      <c r="FL76" s="148"/>
      <c r="FM76" s="148"/>
      <c r="FN76" s="148"/>
      <c r="FO76" s="148"/>
      <c r="FP76" s="148"/>
      <c r="FQ76" s="148"/>
      <c r="FR76" s="148"/>
      <c r="FS76" s="148"/>
      <c r="FT76" s="148"/>
      <c r="FU76" s="148"/>
      <c r="FV76" s="148"/>
      <c r="FW76" s="148"/>
      <c r="FX76" s="148"/>
      <c r="FY76" s="148"/>
      <c r="FZ76" s="148"/>
      <c r="GA76" s="148"/>
      <c r="GB76" s="148"/>
      <c r="GC76" s="148"/>
      <c r="GD76" s="148"/>
      <c r="GE76" s="148"/>
      <c r="GF76" s="148"/>
      <c r="GG76" s="148"/>
      <c r="GH76" s="148"/>
      <c r="GI76" s="148"/>
      <c r="GJ76" s="148"/>
      <c r="GK76" s="148"/>
      <c r="GL76" s="148"/>
      <c r="GM76" s="148"/>
      <c r="GN76" s="148"/>
      <c r="GO76" s="148"/>
      <c r="GP76" s="148"/>
      <c r="GQ76" s="148"/>
      <c r="GR76" s="148"/>
      <c r="GS76" s="148"/>
      <c r="GT76" s="148"/>
      <c r="GU76" s="148"/>
      <c r="GV76" s="148"/>
      <c r="GW76" s="148"/>
      <c r="GX76" s="148"/>
      <c r="GY76" s="148"/>
      <c r="GZ76" s="148"/>
      <c r="HA76" s="148"/>
      <c r="HB76" s="148"/>
      <c r="HC76" s="148"/>
      <c r="HD76" s="148"/>
      <c r="HE76" s="148"/>
      <c r="HF76" s="148"/>
      <c r="HG76" s="148"/>
      <c r="HH76" s="148"/>
      <c r="HI76" s="148"/>
      <c r="HJ76" s="148"/>
      <c r="HK76" s="148"/>
      <c r="HL76" s="148"/>
      <c r="HM76" s="148"/>
      <c r="HN76" s="148"/>
      <c r="HO76" s="148"/>
      <c r="HP76" s="148"/>
      <c r="HQ76" s="148"/>
      <c r="HR76" s="148"/>
      <c r="HS76" s="148"/>
      <c r="HT76" s="148"/>
      <c r="HU76" s="148"/>
      <c r="HV76" s="148"/>
      <c r="HW76" s="148"/>
      <c r="HX76" s="148"/>
      <c r="HY76" s="148"/>
      <c r="HZ76" s="148"/>
      <c r="IA76" s="148"/>
      <c r="IB76" s="148"/>
      <c r="IC76" s="148"/>
      <c r="ID76" s="148"/>
      <c r="IE76" s="148"/>
      <c r="IF76" s="148"/>
      <c r="IG76" s="148"/>
      <c r="IH76" s="148"/>
      <c r="II76" s="148"/>
      <c r="IJ76" s="148"/>
      <c r="IK76" s="148"/>
      <c r="IL76" s="148"/>
      <c r="IM76" s="148"/>
      <c r="IN76" s="148"/>
      <c r="IO76" s="148"/>
      <c r="IP76" s="148"/>
      <c r="IQ76" s="148"/>
      <c r="IR76" s="148"/>
      <c r="IS76" s="148"/>
      <c r="IT76" s="148"/>
      <c r="IU76" s="148"/>
      <c r="IV76" s="148"/>
      <c r="IW76" s="148"/>
      <c r="IX76" s="148"/>
      <c r="IY76" s="148"/>
      <c r="IZ76" s="148"/>
      <c r="JA76" s="148"/>
    </row>
    <row r="77" spans="1:261" s="272" customFormat="1" ht="18" customHeight="1" x14ac:dyDescent="0.35">
      <c r="A77" s="1423">
        <v>66</v>
      </c>
      <c r="B77" s="1557"/>
      <c r="C77" s="1582"/>
      <c r="D77" s="1163" t="s">
        <v>1116</v>
      </c>
      <c r="E77" s="1560"/>
      <c r="F77" s="1561"/>
      <c r="G77" s="1562"/>
      <c r="H77" s="1563"/>
      <c r="I77" s="1580"/>
      <c r="J77" s="1574"/>
      <c r="K77" s="1574">
        <f>SUM(K75:K76)</f>
        <v>9860</v>
      </c>
      <c r="L77" s="1574"/>
      <c r="M77" s="1574">
        <f t="shared" ref="M77" si="11">SUM(M75:M76)</f>
        <v>462287</v>
      </c>
      <c r="N77" s="1574"/>
      <c r="O77" s="1576">
        <f>SUM(I77:N77)</f>
        <v>472147</v>
      </c>
      <c r="P77" s="1567"/>
      <c r="Q77" s="148"/>
      <c r="R77" s="148"/>
      <c r="S77" s="148"/>
      <c r="T77" s="148"/>
      <c r="U77" s="148"/>
      <c r="V77" s="148"/>
      <c r="W77" s="148"/>
      <c r="X77" s="148"/>
      <c r="Y77" s="148"/>
      <c r="Z77" s="148"/>
      <c r="AA77" s="148"/>
      <c r="AB77" s="148"/>
      <c r="AC77" s="148"/>
      <c r="AD77" s="148"/>
      <c r="AE77" s="148"/>
      <c r="AF77" s="148"/>
      <c r="AG77" s="148"/>
      <c r="AH77" s="148"/>
      <c r="AI77" s="148"/>
      <c r="AJ77" s="148"/>
      <c r="AK77" s="148"/>
      <c r="AL77" s="148"/>
      <c r="AM77" s="148"/>
      <c r="AN77" s="148"/>
      <c r="AO77" s="148"/>
      <c r="AP77" s="148"/>
      <c r="AQ77" s="148"/>
      <c r="AR77" s="148"/>
      <c r="AS77" s="148"/>
      <c r="AT77" s="148"/>
      <c r="AU77" s="148"/>
      <c r="AV77" s="148"/>
      <c r="AW77" s="148"/>
      <c r="AX77" s="148"/>
      <c r="AY77" s="148"/>
      <c r="AZ77" s="148"/>
      <c r="BA77" s="148"/>
      <c r="BB77" s="148"/>
      <c r="BC77" s="148"/>
      <c r="BD77" s="148"/>
      <c r="BE77" s="148"/>
      <c r="BF77" s="148"/>
      <c r="BG77" s="148"/>
      <c r="BH77" s="148"/>
      <c r="BI77" s="148"/>
      <c r="BJ77" s="148"/>
      <c r="BK77" s="148"/>
      <c r="BL77" s="148"/>
      <c r="BM77" s="148"/>
      <c r="BN77" s="148"/>
      <c r="BO77" s="148"/>
      <c r="BP77" s="148"/>
      <c r="BQ77" s="148"/>
      <c r="BR77" s="148"/>
      <c r="BS77" s="148"/>
      <c r="BT77" s="148"/>
      <c r="BU77" s="148"/>
      <c r="BV77" s="148"/>
      <c r="BW77" s="148"/>
      <c r="BX77" s="148"/>
      <c r="BY77" s="148"/>
      <c r="BZ77" s="148"/>
      <c r="CA77" s="148"/>
      <c r="CB77" s="148"/>
      <c r="CC77" s="148"/>
      <c r="CD77" s="148"/>
      <c r="CE77" s="148"/>
      <c r="CF77" s="148"/>
      <c r="CG77" s="148"/>
      <c r="CH77" s="148"/>
      <c r="CI77" s="148"/>
      <c r="CJ77" s="148"/>
      <c r="CK77" s="148"/>
      <c r="CL77" s="148"/>
      <c r="CM77" s="148"/>
      <c r="CN77" s="148"/>
      <c r="CO77" s="148"/>
      <c r="CP77" s="148"/>
      <c r="CQ77" s="148"/>
      <c r="CR77" s="148"/>
      <c r="CS77" s="148"/>
      <c r="CT77" s="148"/>
      <c r="CU77" s="148"/>
      <c r="CV77" s="148"/>
      <c r="CW77" s="148"/>
      <c r="CX77" s="148"/>
      <c r="CY77" s="148"/>
      <c r="CZ77" s="148"/>
      <c r="DA77" s="148"/>
      <c r="DB77" s="148"/>
      <c r="DC77" s="148"/>
      <c r="DD77" s="148"/>
      <c r="DE77" s="148"/>
      <c r="DF77" s="148"/>
      <c r="DG77" s="148"/>
      <c r="DH77" s="148"/>
      <c r="DI77" s="148"/>
      <c r="DJ77" s="148"/>
      <c r="DK77" s="148"/>
      <c r="DL77" s="148"/>
      <c r="DM77" s="148"/>
      <c r="DN77" s="148"/>
      <c r="DO77" s="148"/>
      <c r="DP77" s="148"/>
      <c r="DQ77" s="148"/>
      <c r="DR77" s="148"/>
      <c r="DS77" s="148"/>
      <c r="DT77" s="148"/>
      <c r="DU77" s="148"/>
      <c r="DV77" s="148"/>
      <c r="DW77" s="148"/>
      <c r="DX77" s="148"/>
      <c r="DY77" s="148"/>
      <c r="DZ77" s="148"/>
      <c r="EA77" s="148"/>
      <c r="EB77" s="148"/>
      <c r="EC77" s="148"/>
      <c r="ED77" s="148"/>
      <c r="EE77" s="148"/>
      <c r="EF77" s="148"/>
      <c r="EG77" s="148"/>
      <c r="EH77" s="148"/>
      <c r="EI77" s="148"/>
      <c r="EJ77" s="148"/>
      <c r="EK77" s="148"/>
      <c r="EL77" s="148"/>
      <c r="EM77" s="148"/>
      <c r="EN77" s="148"/>
      <c r="EO77" s="148"/>
      <c r="EP77" s="148"/>
      <c r="EQ77" s="148"/>
      <c r="ER77" s="148"/>
      <c r="ES77" s="148"/>
      <c r="ET77" s="148"/>
      <c r="EU77" s="148"/>
      <c r="EV77" s="148"/>
      <c r="EW77" s="148"/>
      <c r="EX77" s="148"/>
      <c r="EY77" s="148"/>
      <c r="EZ77" s="148"/>
      <c r="FA77" s="148"/>
      <c r="FB77" s="148"/>
      <c r="FC77" s="148"/>
      <c r="FD77" s="148"/>
      <c r="FE77" s="148"/>
      <c r="FF77" s="148"/>
      <c r="FG77" s="148"/>
      <c r="FH77" s="148"/>
      <c r="FI77" s="148"/>
      <c r="FJ77" s="148"/>
      <c r="FK77" s="148"/>
      <c r="FL77" s="148"/>
      <c r="FM77" s="148"/>
      <c r="FN77" s="148"/>
      <c r="FO77" s="148"/>
      <c r="FP77" s="148"/>
      <c r="FQ77" s="148"/>
      <c r="FR77" s="148"/>
      <c r="FS77" s="148"/>
      <c r="FT77" s="148"/>
      <c r="FU77" s="148"/>
      <c r="FV77" s="148"/>
      <c r="FW77" s="148"/>
      <c r="FX77" s="148"/>
      <c r="FY77" s="148"/>
      <c r="FZ77" s="148"/>
      <c r="GA77" s="148"/>
      <c r="GB77" s="148"/>
      <c r="GC77" s="148"/>
      <c r="GD77" s="148"/>
      <c r="GE77" s="148"/>
      <c r="GF77" s="148"/>
      <c r="GG77" s="148"/>
      <c r="GH77" s="148"/>
      <c r="GI77" s="148"/>
      <c r="GJ77" s="148"/>
      <c r="GK77" s="148"/>
      <c r="GL77" s="148"/>
      <c r="GM77" s="148"/>
      <c r="GN77" s="148"/>
      <c r="GO77" s="148"/>
      <c r="GP77" s="148"/>
      <c r="GQ77" s="148"/>
      <c r="GR77" s="148"/>
      <c r="GS77" s="148"/>
      <c r="GT77" s="148"/>
      <c r="GU77" s="148"/>
      <c r="GV77" s="148"/>
      <c r="GW77" s="148"/>
      <c r="GX77" s="148"/>
      <c r="GY77" s="148"/>
      <c r="GZ77" s="148"/>
      <c r="HA77" s="148"/>
      <c r="HB77" s="148"/>
      <c r="HC77" s="148"/>
      <c r="HD77" s="148"/>
      <c r="HE77" s="148"/>
      <c r="HF77" s="148"/>
      <c r="HG77" s="148"/>
      <c r="HH77" s="148"/>
      <c r="HI77" s="148"/>
      <c r="HJ77" s="148"/>
      <c r="HK77" s="148"/>
      <c r="HL77" s="148"/>
      <c r="HM77" s="148"/>
      <c r="HN77" s="148"/>
      <c r="HO77" s="148"/>
      <c r="HP77" s="148"/>
      <c r="HQ77" s="148"/>
      <c r="HR77" s="148"/>
      <c r="HS77" s="148"/>
      <c r="HT77" s="148"/>
      <c r="HU77" s="148"/>
      <c r="HV77" s="148"/>
      <c r="HW77" s="148"/>
      <c r="HX77" s="148"/>
      <c r="HY77" s="148"/>
      <c r="HZ77" s="148"/>
      <c r="IA77" s="148"/>
      <c r="IB77" s="148"/>
      <c r="IC77" s="148"/>
      <c r="ID77" s="148"/>
      <c r="IE77" s="148"/>
      <c r="IF77" s="148"/>
      <c r="IG77" s="148"/>
      <c r="IH77" s="148"/>
      <c r="II77" s="148"/>
      <c r="IJ77" s="148"/>
      <c r="IK77" s="148"/>
      <c r="IL77" s="148"/>
      <c r="IM77" s="148"/>
      <c r="IN77" s="148"/>
      <c r="IO77" s="148"/>
      <c r="IP77" s="148"/>
      <c r="IQ77" s="148"/>
      <c r="IR77" s="148"/>
      <c r="IS77" s="148"/>
      <c r="IT77" s="148"/>
      <c r="IU77" s="148"/>
      <c r="IV77" s="148"/>
      <c r="IW77" s="148"/>
      <c r="IX77" s="148"/>
      <c r="IY77" s="148"/>
      <c r="IZ77" s="148"/>
      <c r="JA77" s="148"/>
    </row>
    <row r="78" spans="1:261" s="272" customFormat="1" ht="49.5" x14ac:dyDescent="0.35">
      <c r="A78" s="1423">
        <v>67</v>
      </c>
      <c r="B78" s="1557"/>
      <c r="C78" s="1582">
        <v>14</v>
      </c>
      <c r="D78" s="1414" t="s">
        <v>460</v>
      </c>
      <c r="E78" s="1560"/>
      <c r="F78" s="1561"/>
      <c r="G78" s="1562"/>
      <c r="H78" s="1584" t="s">
        <v>24</v>
      </c>
      <c r="I78" s="1564"/>
      <c r="J78" s="1565"/>
      <c r="K78" s="1565"/>
      <c r="L78" s="1565"/>
      <c r="M78" s="1565"/>
      <c r="N78" s="1565"/>
      <c r="O78" s="1566"/>
      <c r="P78" s="1567"/>
      <c r="Q78" s="148"/>
      <c r="R78" s="148"/>
      <c r="S78" s="148"/>
      <c r="T78" s="148"/>
      <c r="U78" s="148"/>
      <c r="V78" s="148"/>
      <c r="W78" s="148"/>
      <c r="X78" s="148"/>
      <c r="Y78" s="148"/>
      <c r="Z78" s="148"/>
      <c r="AA78" s="148"/>
      <c r="AB78" s="148"/>
      <c r="AC78" s="148"/>
      <c r="AD78" s="148"/>
      <c r="AE78" s="148"/>
      <c r="AF78" s="148"/>
      <c r="AG78" s="148"/>
      <c r="AH78" s="148"/>
      <c r="AI78" s="148"/>
      <c r="AJ78" s="148"/>
      <c r="AK78" s="148"/>
      <c r="AL78" s="148"/>
      <c r="AM78" s="148"/>
      <c r="AN78" s="148"/>
      <c r="AO78" s="148"/>
      <c r="AP78" s="148"/>
      <c r="AQ78" s="148"/>
      <c r="AR78" s="148"/>
      <c r="AS78" s="148"/>
      <c r="AT78" s="148"/>
      <c r="AU78" s="148"/>
      <c r="AV78" s="148"/>
      <c r="AW78" s="148"/>
      <c r="AX78" s="148"/>
      <c r="AY78" s="148"/>
      <c r="AZ78" s="148"/>
      <c r="BA78" s="148"/>
      <c r="BB78" s="148"/>
      <c r="BC78" s="148"/>
      <c r="BD78" s="148"/>
      <c r="BE78" s="148"/>
      <c r="BF78" s="148"/>
      <c r="BG78" s="148"/>
      <c r="BH78" s="148"/>
      <c r="BI78" s="148"/>
      <c r="BJ78" s="148"/>
      <c r="BK78" s="148"/>
      <c r="BL78" s="148"/>
      <c r="BM78" s="148"/>
      <c r="BN78" s="148"/>
      <c r="BO78" s="148"/>
      <c r="BP78" s="148"/>
      <c r="BQ78" s="148"/>
      <c r="BR78" s="148"/>
      <c r="BS78" s="148"/>
      <c r="BT78" s="148"/>
      <c r="BU78" s="148"/>
      <c r="BV78" s="148"/>
      <c r="BW78" s="148"/>
      <c r="BX78" s="148"/>
      <c r="BY78" s="148"/>
      <c r="BZ78" s="148"/>
      <c r="CA78" s="148"/>
      <c r="CB78" s="148"/>
      <c r="CC78" s="148"/>
      <c r="CD78" s="148"/>
      <c r="CE78" s="148"/>
      <c r="CF78" s="148"/>
      <c r="CG78" s="148"/>
      <c r="CH78" s="148"/>
      <c r="CI78" s="148"/>
      <c r="CJ78" s="148"/>
      <c r="CK78" s="148"/>
      <c r="CL78" s="148"/>
      <c r="CM78" s="148"/>
      <c r="CN78" s="148"/>
      <c r="CO78" s="148"/>
      <c r="CP78" s="148"/>
      <c r="CQ78" s="148"/>
      <c r="CR78" s="148"/>
      <c r="CS78" s="148"/>
      <c r="CT78" s="148"/>
      <c r="CU78" s="148"/>
      <c r="CV78" s="148"/>
      <c r="CW78" s="148"/>
      <c r="CX78" s="148"/>
      <c r="CY78" s="148"/>
      <c r="CZ78" s="148"/>
      <c r="DA78" s="148"/>
      <c r="DB78" s="148"/>
      <c r="DC78" s="148"/>
      <c r="DD78" s="148"/>
      <c r="DE78" s="148"/>
      <c r="DF78" s="148"/>
      <c r="DG78" s="148"/>
      <c r="DH78" s="148"/>
      <c r="DI78" s="148"/>
      <c r="DJ78" s="148"/>
      <c r="DK78" s="148"/>
      <c r="DL78" s="148"/>
      <c r="DM78" s="148"/>
      <c r="DN78" s="148"/>
      <c r="DO78" s="148"/>
      <c r="DP78" s="148"/>
      <c r="DQ78" s="148"/>
      <c r="DR78" s="148"/>
      <c r="DS78" s="148"/>
      <c r="DT78" s="148"/>
      <c r="DU78" s="148"/>
      <c r="DV78" s="148"/>
      <c r="DW78" s="148"/>
      <c r="DX78" s="148"/>
      <c r="DY78" s="148"/>
      <c r="DZ78" s="148"/>
      <c r="EA78" s="148"/>
      <c r="EB78" s="148"/>
      <c r="EC78" s="148"/>
      <c r="ED78" s="148"/>
      <c r="EE78" s="148"/>
      <c r="EF78" s="148"/>
      <c r="EG78" s="148"/>
      <c r="EH78" s="148"/>
      <c r="EI78" s="148"/>
      <c r="EJ78" s="148"/>
      <c r="EK78" s="148"/>
      <c r="EL78" s="148"/>
      <c r="EM78" s="148"/>
      <c r="EN78" s="148"/>
      <c r="EO78" s="148"/>
      <c r="EP78" s="148"/>
      <c r="EQ78" s="148"/>
      <c r="ER78" s="148"/>
      <c r="ES78" s="148"/>
      <c r="ET78" s="148"/>
      <c r="EU78" s="148"/>
      <c r="EV78" s="148"/>
      <c r="EW78" s="148"/>
      <c r="EX78" s="148"/>
      <c r="EY78" s="148"/>
      <c r="EZ78" s="148"/>
      <c r="FA78" s="148"/>
      <c r="FB78" s="148"/>
      <c r="FC78" s="148"/>
      <c r="FD78" s="148"/>
      <c r="FE78" s="148"/>
      <c r="FF78" s="148"/>
      <c r="FG78" s="148"/>
      <c r="FH78" s="148"/>
      <c r="FI78" s="148"/>
      <c r="FJ78" s="148"/>
      <c r="FK78" s="148"/>
      <c r="FL78" s="148"/>
      <c r="FM78" s="148"/>
      <c r="FN78" s="148"/>
      <c r="FO78" s="148"/>
      <c r="FP78" s="148"/>
      <c r="FQ78" s="148"/>
      <c r="FR78" s="148"/>
      <c r="FS78" s="148"/>
      <c r="FT78" s="148"/>
      <c r="FU78" s="148"/>
      <c r="FV78" s="148"/>
      <c r="FW78" s="148"/>
      <c r="FX78" s="148"/>
      <c r="FY78" s="148"/>
      <c r="FZ78" s="148"/>
      <c r="GA78" s="148"/>
      <c r="GB78" s="148"/>
      <c r="GC78" s="148"/>
      <c r="GD78" s="148"/>
      <c r="GE78" s="148"/>
      <c r="GF78" s="148"/>
      <c r="GG78" s="148"/>
      <c r="GH78" s="148"/>
      <c r="GI78" s="148"/>
      <c r="GJ78" s="148"/>
      <c r="GK78" s="148"/>
      <c r="GL78" s="148"/>
      <c r="GM78" s="148"/>
      <c r="GN78" s="148"/>
      <c r="GO78" s="148"/>
      <c r="GP78" s="148"/>
      <c r="GQ78" s="148"/>
      <c r="GR78" s="148"/>
      <c r="GS78" s="148"/>
      <c r="GT78" s="148"/>
      <c r="GU78" s="148"/>
      <c r="GV78" s="148"/>
      <c r="GW78" s="148"/>
      <c r="GX78" s="148"/>
      <c r="GY78" s="148"/>
      <c r="GZ78" s="148"/>
      <c r="HA78" s="148"/>
      <c r="HB78" s="148"/>
      <c r="HC78" s="148"/>
      <c r="HD78" s="148"/>
      <c r="HE78" s="148"/>
      <c r="HF78" s="148"/>
      <c r="HG78" s="148"/>
      <c r="HH78" s="148"/>
      <c r="HI78" s="148"/>
      <c r="HJ78" s="148"/>
      <c r="HK78" s="148"/>
      <c r="HL78" s="148"/>
      <c r="HM78" s="148"/>
      <c r="HN78" s="148"/>
      <c r="HO78" s="148"/>
      <c r="HP78" s="148"/>
      <c r="HQ78" s="148"/>
      <c r="HR78" s="148"/>
      <c r="HS78" s="148"/>
      <c r="HT78" s="148"/>
      <c r="HU78" s="148"/>
      <c r="HV78" s="148"/>
      <c r="HW78" s="148"/>
      <c r="HX78" s="148"/>
      <c r="HY78" s="148"/>
      <c r="HZ78" s="148"/>
      <c r="IA78" s="148"/>
      <c r="IB78" s="148"/>
      <c r="IC78" s="148"/>
      <c r="ID78" s="148"/>
      <c r="IE78" s="148"/>
      <c r="IF78" s="148"/>
      <c r="IG78" s="148"/>
      <c r="IH78" s="148"/>
      <c r="II78" s="148"/>
      <c r="IJ78" s="148"/>
      <c r="IK78" s="148"/>
      <c r="IL78" s="148"/>
      <c r="IM78" s="148"/>
      <c r="IN78" s="148"/>
      <c r="IO78" s="148"/>
      <c r="IP78" s="148"/>
      <c r="IQ78" s="148"/>
      <c r="IR78" s="148"/>
      <c r="IS78" s="148"/>
      <c r="IT78" s="148"/>
      <c r="IU78" s="148"/>
      <c r="IV78" s="148"/>
      <c r="IW78" s="148"/>
      <c r="IX78" s="148"/>
      <c r="IY78" s="148"/>
      <c r="IZ78" s="148"/>
      <c r="JA78" s="148"/>
    </row>
    <row r="79" spans="1:261" s="272" customFormat="1" ht="18" customHeight="1" x14ac:dyDescent="0.35">
      <c r="A79" s="1423">
        <v>68</v>
      </c>
      <c r="B79" s="1557"/>
      <c r="C79" s="1582"/>
      <c r="D79" s="1585" t="s">
        <v>311</v>
      </c>
      <c r="E79" s="1560">
        <f>F79+G79+O82+P82</f>
        <v>1147594</v>
      </c>
      <c r="F79" s="1561">
        <f>25062+32060+393153</f>
        <v>450275</v>
      </c>
      <c r="G79" s="1562">
        <f>682686+5740+11</f>
        <v>688437</v>
      </c>
      <c r="H79" s="1563"/>
      <c r="I79" s="1564"/>
      <c r="J79" s="1565"/>
      <c r="K79" s="1565">
        <v>8968</v>
      </c>
      <c r="L79" s="1565"/>
      <c r="M79" s="1565"/>
      <c r="N79" s="1565"/>
      <c r="O79" s="1566">
        <f>SUM(I79:N79)</f>
        <v>8968</v>
      </c>
      <c r="P79" s="1567"/>
      <c r="Q79" s="148"/>
      <c r="R79" s="148"/>
      <c r="S79" s="148"/>
      <c r="T79" s="148"/>
      <c r="U79" s="148"/>
      <c r="V79" s="148"/>
      <c r="W79" s="148"/>
      <c r="X79" s="148"/>
      <c r="Y79" s="148"/>
      <c r="Z79" s="148"/>
      <c r="AA79" s="148"/>
      <c r="AB79" s="148"/>
      <c r="AC79" s="148"/>
      <c r="AD79" s="148"/>
      <c r="AE79" s="148"/>
      <c r="AF79" s="148"/>
      <c r="AG79" s="148"/>
      <c r="AH79" s="148"/>
      <c r="AI79" s="148"/>
      <c r="AJ79" s="148"/>
      <c r="AK79" s="148"/>
      <c r="AL79" s="148"/>
      <c r="AM79" s="148"/>
      <c r="AN79" s="148"/>
      <c r="AO79" s="148"/>
      <c r="AP79" s="148"/>
      <c r="AQ79" s="148"/>
      <c r="AR79" s="148"/>
      <c r="AS79" s="148"/>
      <c r="AT79" s="148"/>
      <c r="AU79" s="148"/>
      <c r="AV79" s="148"/>
      <c r="AW79" s="148"/>
      <c r="AX79" s="148"/>
      <c r="AY79" s="148"/>
      <c r="AZ79" s="148"/>
      <c r="BA79" s="148"/>
      <c r="BB79" s="148"/>
      <c r="BC79" s="148"/>
      <c r="BD79" s="148"/>
      <c r="BE79" s="148"/>
      <c r="BF79" s="148"/>
      <c r="BG79" s="148"/>
      <c r="BH79" s="148"/>
      <c r="BI79" s="148"/>
      <c r="BJ79" s="148"/>
      <c r="BK79" s="148"/>
      <c r="BL79" s="148"/>
      <c r="BM79" s="148"/>
      <c r="BN79" s="148"/>
      <c r="BO79" s="148"/>
      <c r="BP79" s="148"/>
      <c r="BQ79" s="148"/>
      <c r="BR79" s="148"/>
      <c r="BS79" s="148"/>
      <c r="BT79" s="148"/>
      <c r="BU79" s="148"/>
      <c r="BV79" s="148"/>
      <c r="BW79" s="148"/>
      <c r="BX79" s="148"/>
      <c r="BY79" s="148"/>
      <c r="BZ79" s="148"/>
      <c r="CA79" s="148"/>
      <c r="CB79" s="148"/>
      <c r="CC79" s="148"/>
      <c r="CD79" s="148"/>
      <c r="CE79" s="148"/>
      <c r="CF79" s="148"/>
      <c r="CG79" s="148"/>
      <c r="CH79" s="148"/>
      <c r="CI79" s="148"/>
      <c r="CJ79" s="148"/>
      <c r="CK79" s="148"/>
      <c r="CL79" s="148"/>
      <c r="CM79" s="148"/>
      <c r="CN79" s="148"/>
      <c r="CO79" s="148"/>
      <c r="CP79" s="148"/>
      <c r="CQ79" s="148"/>
      <c r="CR79" s="148"/>
      <c r="CS79" s="148"/>
      <c r="CT79" s="148"/>
      <c r="CU79" s="148"/>
      <c r="CV79" s="148"/>
      <c r="CW79" s="148"/>
      <c r="CX79" s="148"/>
      <c r="CY79" s="148"/>
      <c r="CZ79" s="148"/>
      <c r="DA79" s="148"/>
      <c r="DB79" s="148"/>
      <c r="DC79" s="148"/>
      <c r="DD79" s="148"/>
      <c r="DE79" s="148"/>
      <c r="DF79" s="148"/>
      <c r="DG79" s="148"/>
      <c r="DH79" s="148"/>
      <c r="DI79" s="148"/>
      <c r="DJ79" s="148"/>
      <c r="DK79" s="148"/>
      <c r="DL79" s="148"/>
      <c r="DM79" s="148"/>
      <c r="DN79" s="148"/>
      <c r="DO79" s="148"/>
      <c r="DP79" s="148"/>
      <c r="DQ79" s="148"/>
      <c r="DR79" s="148"/>
      <c r="DS79" s="148"/>
      <c r="DT79" s="148"/>
      <c r="DU79" s="148"/>
      <c r="DV79" s="148"/>
      <c r="DW79" s="148"/>
      <c r="DX79" s="148"/>
      <c r="DY79" s="148"/>
      <c r="DZ79" s="148"/>
      <c r="EA79" s="148"/>
      <c r="EB79" s="148"/>
      <c r="EC79" s="148"/>
      <c r="ED79" s="148"/>
      <c r="EE79" s="148"/>
      <c r="EF79" s="148"/>
      <c r="EG79" s="148"/>
      <c r="EH79" s="148"/>
      <c r="EI79" s="148"/>
      <c r="EJ79" s="148"/>
      <c r="EK79" s="148"/>
      <c r="EL79" s="148"/>
      <c r="EM79" s="148"/>
      <c r="EN79" s="148"/>
      <c r="EO79" s="148"/>
      <c r="EP79" s="148"/>
      <c r="EQ79" s="148"/>
      <c r="ER79" s="148"/>
      <c r="ES79" s="148"/>
      <c r="ET79" s="148"/>
      <c r="EU79" s="148"/>
      <c r="EV79" s="148"/>
      <c r="EW79" s="148"/>
      <c r="EX79" s="148"/>
      <c r="EY79" s="148"/>
      <c r="EZ79" s="148"/>
      <c r="FA79" s="148"/>
      <c r="FB79" s="148"/>
      <c r="FC79" s="148"/>
      <c r="FD79" s="148"/>
      <c r="FE79" s="148"/>
      <c r="FF79" s="148"/>
      <c r="FG79" s="148"/>
      <c r="FH79" s="148"/>
      <c r="FI79" s="148"/>
      <c r="FJ79" s="148"/>
      <c r="FK79" s="148"/>
      <c r="FL79" s="148"/>
      <c r="FM79" s="148"/>
      <c r="FN79" s="148"/>
      <c r="FO79" s="148"/>
      <c r="FP79" s="148"/>
      <c r="FQ79" s="148"/>
      <c r="FR79" s="148"/>
      <c r="FS79" s="148"/>
      <c r="FT79" s="148"/>
      <c r="FU79" s="148"/>
      <c r="FV79" s="148"/>
      <c r="FW79" s="148"/>
      <c r="FX79" s="148"/>
      <c r="FY79" s="148"/>
      <c r="FZ79" s="148"/>
      <c r="GA79" s="148"/>
      <c r="GB79" s="148"/>
      <c r="GC79" s="148"/>
      <c r="GD79" s="148"/>
      <c r="GE79" s="148"/>
      <c r="GF79" s="148"/>
      <c r="GG79" s="148"/>
      <c r="GH79" s="148"/>
      <c r="GI79" s="148"/>
      <c r="GJ79" s="148"/>
      <c r="GK79" s="148"/>
      <c r="GL79" s="148"/>
      <c r="GM79" s="148"/>
      <c r="GN79" s="148"/>
      <c r="GO79" s="148"/>
      <c r="GP79" s="148"/>
      <c r="GQ79" s="148"/>
      <c r="GR79" s="148"/>
      <c r="GS79" s="148"/>
      <c r="GT79" s="148"/>
      <c r="GU79" s="148"/>
      <c r="GV79" s="148"/>
      <c r="GW79" s="148"/>
      <c r="GX79" s="148"/>
      <c r="GY79" s="148"/>
      <c r="GZ79" s="148"/>
      <c r="HA79" s="148"/>
      <c r="HB79" s="148"/>
      <c r="HC79" s="148"/>
      <c r="HD79" s="148"/>
      <c r="HE79" s="148"/>
      <c r="HF79" s="148"/>
      <c r="HG79" s="148"/>
      <c r="HH79" s="148"/>
      <c r="HI79" s="148"/>
      <c r="HJ79" s="148"/>
      <c r="HK79" s="148"/>
      <c r="HL79" s="148"/>
      <c r="HM79" s="148"/>
      <c r="HN79" s="148"/>
      <c r="HO79" s="148"/>
      <c r="HP79" s="148"/>
      <c r="HQ79" s="148"/>
      <c r="HR79" s="148"/>
      <c r="HS79" s="148"/>
      <c r="HT79" s="148"/>
      <c r="HU79" s="148"/>
      <c r="HV79" s="148"/>
      <c r="HW79" s="148"/>
      <c r="HX79" s="148"/>
      <c r="HY79" s="148"/>
      <c r="HZ79" s="148"/>
      <c r="IA79" s="148"/>
      <c r="IB79" s="148"/>
      <c r="IC79" s="148"/>
      <c r="ID79" s="148"/>
      <c r="IE79" s="148"/>
      <c r="IF79" s="148"/>
      <c r="IG79" s="148"/>
      <c r="IH79" s="148"/>
      <c r="II79" s="148"/>
      <c r="IJ79" s="148"/>
      <c r="IK79" s="148"/>
      <c r="IL79" s="148"/>
      <c r="IM79" s="148"/>
      <c r="IN79" s="148"/>
      <c r="IO79" s="148"/>
      <c r="IP79" s="148"/>
      <c r="IQ79" s="148"/>
      <c r="IR79" s="148"/>
      <c r="IS79" s="148"/>
      <c r="IT79" s="148"/>
      <c r="IU79" s="148"/>
      <c r="IV79" s="148"/>
      <c r="IW79" s="148"/>
      <c r="IX79" s="148"/>
      <c r="IY79" s="148"/>
      <c r="IZ79" s="148"/>
      <c r="JA79" s="148"/>
    </row>
    <row r="80" spans="1:261" s="272" customFormat="1" ht="18" customHeight="1" x14ac:dyDescent="0.35">
      <c r="A80" s="1423">
        <v>69</v>
      </c>
      <c r="B80" s="1557"/>
      <c r="C80" s="1582"/>
      <c r="D80" s="1163" t="s">
        <v>1064</v>
      </c>
      <c r="E80" s="1560"/>
      <c r="F80" s="1561"/>
      <c r="G80" s="1562"/>
      <c r="H80" s="1563"/>
      <c r="I80" s="1564"/>
      <c r="J80" s="1565"/>
      <c r="K80" s="1574">
        <v>8968</v>
      </c>
      <c r="L80" s="1565"/>
      <c r="M80" s="1565"/>
      <c r="N80" s="1565"/>
      <c r="O80" s="1576">
        <f>SUM(I80:N80)</f>
        <v>8968</v>
      </c>
      <c r="P80" s="1567"/>
      <c r="Q80" s="148"/>
      <c r="R80" s="148"/>
      <c r="S80" s="148"/>
      <c r="T80" s="148"/>
      <c r="U80" s="148"/>
      <c r="V80" s="148"/>
      <c r="W80" s="148"/>
      <c r="X80" s="148"/>
      <c r="Y80" s="148"/>
      <c r="Z80" s="148"/>
      <c r="AA80" s="148"/>
      <c r="AB80" s="148"/>
      <c r="AC80" s="148"/>
      <c r="AD80" s="148"/>
      <c r="AE80" s="148"/>
      <c r="AF80" s="148"/>
      <c r="AG80" s="148"/>
      <c r="AH80" s="148"/>
      <c r="AI80" s="148"/>
      <c r="AJ80" s="148"/>
      <c r="AK80" s="148"/>
      <c r="AL80" s="148"/>
      <c r="AM80" s="148"/>
      <c r="AN80" s="148"/>
      <c r="AO80" s="148"/>
      <c r="AP80" s="148"/>
      <c r="AQ80" s="148"/>
      <c r="AR80" s="148"/>
      <c r="AS80" s="148"/>
      <c r="AT80" s="148"/>
      <c r="AU80" s="148"/>
      <c r="AV80" s="148"/>
      <c r="AW80" s="148"/>
      <c r="AX80" s="148"/>
      <c r="AY80" s="148"/>
      <c r="AZ80" s="148"/>
      <c r="BA80" s="148"/>
      <c r="BB80" s="148"/>
      <c r="BC80" s="148"/>
      <c r="BD80" s="148"/>
      <c r="BE80" s="148"/>
      <c r="BF80" s="148"/>
      <c r="BG80" s="148"/>
      <c r="BH80" s="148"/>
      <c r="BI80" s="148"/>
      <c r="BJ80" s="148"/>
      <c r="BK80" s="148"/>
      <c r="BL80" s="148"/>
      <c r="BM80" s="148"/>
      <c r="BN80" s="148"/>
      <c r="BO80" s="148"/>
      <c r="BP80" s="148"/>
      <c r="BQ80" s="148"/>
      <c r="BR80" s="148"/>
      <c r="BS80" s="148"/>
      <c r="BT80" s="148"/>
      <c r="BU80" s="148"/>
      <c r="BV80" s="148"/>
      <c r="BW80" s="148"/>
      <c r="BX80" s="148"/>
      <c r="BY80" s="148"/>
      <c r="BZ80" s="148"/>
      <c r="CA80" s="148"/>
      <c r="CB80" s="148"/>
      <c r="CC80" s="148"/>
      <c r="CD80" s="148"/>
      <c r="CE80" s="148"/>
      <c r="CF80" s="148"/>
      <c r="CG80" s="148"/>
      <c r="CH80" s="148"/>
      <c r="CI80" s="148"/>
      <c r="CJ80" s="148"/>
      <c r="CK80" s="148"/>
      <c r="CL80" s="148"/>
      <c r="CM80" s="148"/>
      <c r="CN80" s="148"/>
      <c r="CO80" s="148"/>
      <c r="CP80" s="148"/>
      <c r="CQ80" s="148"/>
      <c r="CR80" s="148"/>
      <c r="CS80" s="148"/>
      <c r="CT80" s="148"/>
      <c r="CU80" s="148"/>
      <c r="CV80" s="148"/>
      <c r="CW80" s="148"/>
      <c r="CX80" s="148"/>
      <c r="CY80" s="148"/>
      <c r="CZ80" s="148"/>
      <c r="DA80" s="148"/>
      <c r="DB80" s="148"/>
      <c r="DC80" s="148"/>
      <c r="DD80" s="148"/>
      <c r="DE80" s="148"/>
      <c r="DF80" s="148"/>
      <c r="DG80" s="148"/>
      <c r="DH80" s="148"/>
      <c r="DI80" s="148"/>
      <c r="DJ80" s="148"/>
      <c r="DK80" s="148"/>
      <c r="DL80" s="148"/>
      <c r="DM80" s="148"/>
      <c r="DN80" s="148"/>
      <c r="DO80" s="148"/>
      <c r="DP80" s="148"/>
      <c r="DQ80" s="148"/>
      <c r="DR80" s="148"/>
      <c r="DS80" s="148"/>
      <c r="DT80" s="148"/>
      <c r="DU80" s="148"/>
      <c r="DV80" s="148"/>
      <c r="DW80" s="148"/>
      <c r="DX80" s="148"/>
      <c r="DY80" s="148"/>
      <c r="DZ80" s="148"/>
      <c r="EA80" s="148"/>
      <c r="EB80" s="148"/>
      <c r="EC80" s="148"/>
      <c r="ED80" s="148"/>
      <c r="EE80" s="148"/>
      <c r="EF80" s="148"/>
      <c r="EG80" s="148"/>
      <c r="EH80" s="148"/>
      <c r="EI80" s="148"/>
      <c r="EJ80" s="148"/>
      <c r="EK80" s="148"/>
      <c r="EL80" s="148"/>
      <c r="EM80" s="148"/>
      <c r="EN80" s="148"/>
      <c r="EO80" s="148"/>
      <c r="EP80" s="148"/>
      <c r="EQ80" s="148"/>
      <c r="ER80" s="148"/>
      <c r="ES80" s="148"/>
      <c r="ET80" s="148"/>
      <c r="EU80" s="148"/>
      <c r="EV80" s="148"/>
      <c r="EW80" s="148"/>
      <c r="EX80" s="148"/>
      <c r="EY80" s="148"/>
      <c r="EZ80" s="148"/>
      <c r="FA80" s="148"/>
      <c r="FB80" s="148"/>
      <c r="FC80" s="148"/>
      <c r="FD80" s="148"/>
      <c r="FE80" s="148"/>
      <c r="FF80" s="148"/>
      <c r="FG80" s="148"/>
      <c r="FH80" s="148"/>
      <c r="FI80" s="148"/>
      <c r="FJ80" s="148"/>
      <c r="FK80" s="148"/>
      <c r="FL80" s="148"/>
      <c r="FM80" s="148"/>
      <c r="FN80" s="148"/>
      <c r="FO80" s="148"/>
      <c r="FP80" s="148"/>
      <c r="FQ80" s="148"/>
      <c r="FR80" s="148"/>
      <c r="FS80" s="148"/>
      <c r="FT80" s="148"/>
      <c r="FU80" s="148"/>
      <c r="FV80" s="148"/>
      <c r="FW80" s="148"/>
      <c r="FX80" s="148"/>
      <c r="FY80" s="148"/>
      <c r="FZ80" s="148"/>
      <c r="GA80" s="148"/>
      <c r="GB80" s="148"/>
      <c r="GC80" s="148"/>
      <c r="GD80" s="148"/>
      <c r="GE80" s="148"/>
      <c r="GF80" s="148"/>
      <c r="GG80" s="148"/>
      <c r="GH80" s="148"/>
      <c r="GI80" s="148"/>
      <c r="GJ80" s="148"/>
      <c r="GK80" s="148"/>
      <c r="GL80" s="148"/>
      <c r="GM80" s="148"/>
      <c r="GN80" s="148"/>
      <c r="GO80" s="148"/>
      <c r="GP80" s="148"/>
      <c r="GQ80" s="148"/>
      <c r="GR80" s="148"/>
      <c r="GS80" s="148"/>
      <c r="GT80" s="148"/>
      <c r="GU80" s="148"/>
      <c r="GV80" s="148"/>
      <c r="GW80" s="148"/>
      <c r="GX80" s="148"/>
      <c r="GY80" s="148"/>
      <c r="GZ80" s="148"/>
      <c r="HA80" s="148"/>
      <c r="HB80" s="148"/>
      <c r="HC80" s="148"/>
      <c r="HD80" s="148"/>
      <c r="HE80" s="148"/>
      <c r="HF80" s="148"/>
      <c r="HG80" s="148"/>
      <c r="HH80" s="148"/>
      <c r="HI80" s="148"/>
      <c r="HJ80" s="148"/>
      <c r="HK80" s="148"/>
      <c r="HL80" s="148"/>
      <c r="HM80" s="148"/>
      <c r="HN80" s="148"/>
      <c r="HO80" s="148"/>
      <c r="HP80" s="148"/>
      <c r="HQ80" s="148"/>
      <c r="HR80" s="148"/>
      <c r="HS80" s="148"/>
      <c r="HT80" s="148"/>
      <c r="HU80" s="148"/>
      <c r="HV80" s="148"/>
      <c r="HW80" s="148"/>
      <c r="HX80" s="148"/>
      <c r="HY80" s="148"/>
      <c r="HZ80" s="148"/>
      <c r="IA80" s="148"/>
      <c r="IB80" s="148"/>
      <c r="IC80" s="148"/>
      <c r="ID80" s="148"/>
      <c r="IE80" s="148"/>
      <c r="IF80" s="148"/>
      <c r="IG80" s="148"/>
      <c r="IH80" s="148"/>
      <c r="II80" s="148"/>
      <c r="IJ80" s="148"/>
      <c r="IK80" s="148"/>
      <c r="IL80" s="148"/>
      <c r="IM80" s="148"/>
      <c r="IN80" s="148"/>
      <c r="IO80" s="148"/>
      <c r="IP80" s="148"/>
      <c r="IQ80" s="148"/>
      <c r="IR80" s="148"/>
      <c r="IS80" s="148"/>
      <c r="IT80" s="148"/>
      <c r="IU80" s="148"/>
      <c r="IV80" s="148"/>
      <c r="IW80" s="148"/>
      <c r="IX80" s="148"/>
      <c r="IY80" s="148"/>
      <c r="IZ80" s="148"/>
      <c r="JA80" s="148"/>
    </row>
    <row r="81" spans="1:261" s="272" customFormat="1" ht="18" customHeight="1" x14ac:dyDescent="0.35">
      <c r="A81" s="1423">
        <v>70</v>
      </c>
      <c r="B81" s="1557"/>
      <c r="C81" s="1582"/>
      <c r="D81" s="1174" t="s">
        <v>990</v>
      </c>
      <c r="E81" s="1560"/>
      <c r="F81" s="1561"/>
      <c r="G81" s="1562"/>
      <c r="H81" s="1563"/>
      <c r="I81" s="1580"/>
      <c r="J81" s="1574"/>
      <c r="K81" s="1581">
        <v>-86</v>
      </c>
      <c r="L81" s="1574"/>
      <c r="M81" s="1574"/>
      <c r="N81" s="1574"/>
      <c r="O81" s="1578">
        <f>SUM(I81:N81)</f>
        <v>-86</v>
      </c>
      <c r="P81" s="1567"/>
      <c r="Q81" s="148"/>
      <c r="R81" s="148"/>
      <c r="S81" s="148"/>
      <c r="T81" s="148"/>
      <c r="U81" s="148"/>
      <c r="V81" s="148"/>
      <c r="W81" s="148"/>
      <c r="X81" s="148"/>
      <c r="Y81" s="148"/>
      <c r="Z81" s="148"/>
      <c r="AA81" s="148"/>
      <c r="AB81" s="148"/>
      <c r="AC81" s="148"/>
      <c r="AD81" s="148"/>
      <c r="AE81" s="148"/>
      <c r="AF81" s="148"/>
      <c r="AG81" s="148"/>
      <c r="AH81" s="148"/>
      <c r="AI81" s="148"/>
      <c r="AJ81" s="148"/>
      <c r="AK81" s="148"/>
      <c r="AL81" s="148"/>
      <c r="AM81" s="148"/>
      <c r="AN81" s="148"/>
      <c r="AO81" s="148"/>
      <c r="AP81" s="148"/>
      <c r="AQ81" s="148"/>
      <c r="AR81" s="148"/>
      <c r="AS81" s="148"/>
      <c r="AT81" s="148"/>
      <c r="AU81" s="148"/>
      <c r="AV81" s="148"/>
      <c r="AW81" s="148"/>
      <c r="AX81" s="148"/>
      <c r="AY81" s="148"/>
      <c r="AZ81" s="148"/>
      <c r="BA81" s="148"/>
      <c r="BB81" s="148"/>
      <c r="BC81" s="148"/>
      <c r="BD81" s="148"/>
      <c r="BE81" s="148"/>
      <c r="BF81" s="148"/>
      <c r="BG81" s="148"/>
      <c r="BH81" s="148"/>
      <c r="BI81" s="148"/>
      <c r="BJ81" s="148"/>
      <c r="BK81" s="148"/>
      <c r="BL81" s="148"/>
      <c r="BM81" s="148"/>
      <c r="BN81" s="148"/>
      <c r="BO81" s="148"/>
      <c r="BP81" s="148"/>
      <c r="BQ81" s="148"/>
      <c r="BR81" s="148"/>
      <c r="BS81" s="148"/>
      <c r="BT81" s="148"/>
      <c r="BU81" s="148"/>
      <c r="BV81" s="148"/>
      <c r="BW81" s="148"/>
      <c r="BX81" s="148"/>
      <c r="BY81" s="148"/>
      <c r="BZ81" s="148"/>
      <c r="CA81" s="148"/>
      <c r="CB81" s="148"/>
      <c r="CC81" s="148"/>
      <c r="CD81" s="148"/>
      <c r="CE81" s="148"/>
      <c r="CF81" s="148"/>
      <c r="CG81" s="148"/>
      <c r="CH81" s="148"/>
      <c r="CI81" s="148"/>
      <c r="CJ81" s="148"/>
      <c r="CK81" s="148"/>
      <c r="CL81" s="148"/>
      <c r="CM81" s="148"/>
      <c r="CN81" s="148"/>
      <c r="CO81" s="148"/>
      <c r="CP81" s="148"/>
      <c r="CQ81" s="148"/>
      <c r="CR81" s="148"/>
      <c r="CS81" s="148"/>
      <c r="CT81" s="148"/>
      <c r="CU81" s="148"/>
      <c r="CV81" s="148"/>
      <c r="CW81" s="148"/>
      <c r="CX81" s="148"/>
      <c r="CY81" s="148"/>
      <c r="CZ81" s="148"/>
      <c r="DA81" s="148"/>
      <c r="DB81" s="148"/>
      <c r="DC81" s="148"/>
      <c r="DD81" s="148"/>
      <c r="DE81" s="148"/>
      <c r="DF81" s="148"/>
      <c r="DG81" s="148"/>
      <c r="DH81" s="148"/>
      <c r="DI81" s="148"/>
      <c r="DJ81" s="148"/>
      <c r="DK81" s="148"/>
      <c r="DL81" s="148"/>
      <c r="DM81" s="148"/>
      <c r="DN81" s="148"/>
      <c r="DO81" s="148"/>
      <c r="DP81" s="148"/>
      <c r="DQ81" s="148"/>
      <c r="DR81" s="148"/>
      <c r="DS81" s="148"/>
      <c r="DT81" s="148"/>
      <c r="DU81" s="148"/>
      <c r="DV81" s="148"/>
      <c r="DW81" s="148"/>
      <c r="DX81" s="148"/>
      <c r="DY81" s="148"/>
      <c r="DZ81" s="148"/>
      <c r="EA81" s="148"/>
      <c r="EB81" s="148"/>
      <c r="EC81" s="148"/>
      <c r="ED81" s="148"/>
      <c r="EE81" s="148"/>
      <c r="EF81" s="148"/>
      <c r="EG81" s="148"/>
      <c r="EH81" s="148"/>
      <c r="EI81" s="148"/>
      <c r="EJ81" s="148"/>
      <c r="EK81" s="148"/>
      <c r="EL81" s="148"/>
      <c r="EM81" s="148"/>
      <c r="EN81" s="148"/>
      <c r="EO81" s="148"/>
      <c r="EP81" s="148"/>
      <c r="EQ81" s="148"/>
      <c r="ER81" s="148"/>
      <c r="ES81" s="148"/>
      <c r="ET81" s="148"/>
      <c r="EU81" s="148"/>
      <c r="EV81" s="148"/>
      <c r="EW81" s="148"/>
      <c r="EX81" s="148"/>
      <c r="EY81" s="148"/>
      <c r="EZ81" s="148"/>
      <c r="FA81" s="148"/>
      <c r="FB81" s="148"/>
      <c r="FC81" s="148"/>
      <c r="FD81" s="148"/>
      <c r="FE81" s="148"/>
      <c r="FF81" s="148"/>
      <c r="FG81" s="148"/>
      <c r="FH81" s="148"/>
      <c r="FI81" s="148"/>
      <c r="FJ81" s="148"/>
      <c r="FK81" s="148"/>
      <c r="FL81" s="148"/>
      <c r="FM81" s="148"/>
      <c r="FN81" s="148"/>
      <c r="FO81" s="148"/>
      <c r="FP81" s="148"/>
      <c r="FQ81" s="148"/>
      <c r="FR81" s="148"/>
      <c r="FS81" s="148"/>
      <c r="FT81" s="148"/>
      <c r="FU81" s="148"/>
      <c r="FV81" s="148"/>
      <c r="FW81" s="148"/>
      <c r="FX81" s="148"/>
      <c r="FY81" s="148"/>
      <c r="FZ81" s="148"/>
      <c r="GA81" s="148"/>
      <c r="GB81" s="148"/>
      <c r="GC81" s="148"/>
      <c r="GD81" s="148"/>
      <c r="GE81" s="148"/>
      <c r="GF81" s="148"/>
      <c r="GG81" s="148"/>
      <c r="GH81" s="148"/>
      <c r="GI81" s="148"/>
      <c r="GJ81" s="148"/>
      <c r="GK81" s="148"/>
      <c r="GL81" s="148"/>
      <c r="GM81" s="148"/>
      <c r="GN81" s="148"/>
      <c r="GO81" s="148"/>
      <c r="GP81" s="148"/>
      <c r="GQ81" s="148"/>
      <c r="GR81" s="148"/>
      <c r="GS81" s="148"/>
      <c r="GT81" s="148"/>
      <c r="GU81" s="148"/>
      <c r="GV81" s="148"/>
      <c r="GW81" s="148"/>
      <c r="GX81" s="148"/>
      <c r="GY81" s="148"/>
      <c r="GZ81" s="148"/>
      <c r="HA81" s="148"/>
      <c r="HB81" s="148"/>
      <c r="HC81" s="148"/>
      <c r="HD81" s="148"/>
      <c r="HE81" s="148"/>
      <c r="HF81" s="148"/>
      <c r="HG81" s="148"/>
      <c r="HH81" s="148"/>
      <c r="HI81" s="148"/>
      <c r="HJ81" s="148"/>
      <c r="HK81" s="148"/>
      <c r="HL81" s="148"/>
      <c r="HM81" s="148"/>
      <c r="HN81" s="148"/>
      <c r="HO81" s="148"/>
      <c r="HP81" s="148"/>
      <c r="HQ81" s="148"/>
      <c r="HR81" s="148"/>
      <c r="HS81" s="148"/>
      <c r="HT81" s="148"/>
      <c r="HU81" s="148"/>
      <c r="HV81" s="148"/>
      <c r="HW81" s="148"/>
      <c r="HX81" s="148"/>
      <c r="HY81" s="148"/>
      <c r="HZ81" s="148"/>
      <c r="IA81" s="148"/>
      <c r="IB81" s="148"/>
      <c r="IC81" s="148"/>
      <c r="ID81" s="148"/>
      <c r="IE81" s="148"/>
      <c r="IF81" s="148"/>
      <c r="IG81" s="148"/>
      <c r="IH81" s="148"/>
      <c r="II81" s="148"/>
      <c r="IJ81" s="148"/>
      <c r="IK81" s="148"/>
      <c r="IL81" s="148"/>
      <c r="IM81" s="148"/>
      <c r="IN81" s="148"/>
      <c r="IO81" s="148"/>
      <c r="IP81" s="148"/>
      <c r="IQ81" s="148"/>
      <c r="IR81" s="148"/>
      <c r="IS81" s="148"/>
      <c r="IT81" s="148"/>
      <c r="IU81" s="148"/>
      <c r="IV81" s="148"/>
      <c r="IW81" s="148"/>
      <c r="IX81" s="148"/>
      <c r="IY81" s="148"/>
      <c r="IZ81" s="148"/>
      <c r="JA81" s="148"/>
    </row>
    <row r="82" spans="1:261" s="272" customFormat="1" ht="18" customHeight="1" x14ac:dyDescent="0.35">
      <c r="A82" s="1423">
        <v>71</v>
      </c>
      <c r="B82" s="1557"/>
      <c r="C82" s="1582"/>
      <c r="D82" s="1163" t="s">
        <v>1116</v>
      </c>
      <c r="E82" s="1560"/>
      <c r="F82" s="1561"/>
      <c r="G82" s="1562"/>
      <c r="H82" s="1563"/>
      <c r="I82" s="1580"/>
      <c r="J82" s="1574"/>
      <c r="K82" s="1574">
        <f>SUM(K80:K81)</f>
        <v>8882</v>
      </c>
      <c r="L82" s="1574"/>
      <c r="M82" s="1574"/>
      <c r="N82" s="1574"/>
      <c r="O82" s="1576">
        <f>SUM(I82:N82)</f>
        <v>8882</v>
      </c>
      <c r="P82" s="1567"/>
      <c r="Q82" s="148"/>
      <c r="R82" s="148"/>
      <c r="S82" s="148"/>
      <c r="T82" s="148"/>
      <c r="U82" s="148"/>
      <c r="V82" s="148"/>
      <c r="W82" s="148"/>
      <c r="X82" s="148"/>
      <c r="Y82" s="148"/>
      <c r="Z82" s="148"/>
      <c r="AA82" s="148"/>
      <c r="AB82" s="148"/>
      <c r="AC82" s="148"/>
      <c r="AD82" s="148"/>
      <c r="AE82" s="148"/>
      <c r="AF82" s="148"/>
      <c r="AG82" s="148"/>
      <c r="AH82" s="148"/>
      <c r="AI82" s="148"/>
      <c r="AJ82" s="148"/>
      <c r="AK82" s="148"/>
      <c r="AL82" s="148"/>
      <c r="AM82" s="148"/>
      <c r="AN82" s="148"/>
      <c r="AO82" s="148"/>
      <c r="AP82" s="148"/>
      <c r="AQ82" s="148"/>
      <c r="AR82" s="148"/>
      <c r="AS82" s="148"/>
      <c r="AT82" s="148"/>
      <c r="AU82" s="148"/>
      <c r="AV82" s="148"/>
      <c r="AW82" s="148"/>
      <c r="AX82" s="148"/>
      <c r="AY82" s="148"/>
      <c r="AZ82" s="148"/>
      <c r="BA82" s="148"/>
      <c r="BB82" s="148"/>
      <c r="BC82" s="148"/>
      <c r="BD82" s="148"/>
      <c r="BE82" s="148"/>
      <c r="BF82" s="148"/>
      <c r="BG82" s="148"/>
      <c r="BH82" s="148"/>
      <c r="BI82" s="148"/>
      <c r="BJ82" s="148"/>
      <c r="BK82" s="148"/>
      <c r="BL82" s="148"/>
      <c r="BM82" s="148"/>
      <c r="BN82" s="148"/>
      <c r="BO82" s="148"/>
      <c r="BP82" s="148"/>
      <c r="BQ82" s="148"/>
      <c r="BR82" s="148"/>
      <c r="BS82" s="148"/>
      <c r="BT82" s="148"/>
      <c r="BU82" s="148"/>
      <c r="BV82" s="148"/>
      <c r="BW82" s="148"/>
      <c r="BX82" s="148"/>
      <c r="BY82" s="148"/>
      <c r="BZ82" s="148"/>
      <c r="CA82" s="148"/>
      <c r="CB82" s="148"/>
      <c r="CC82" s="148"/>
      <c r="CD82" s="148"/>
      <c r="CE82" s="148"/>
      <c r="CF82" s="148"/>
      <c r="CG82" s="148"/>
      <c r="CH82" s="148"/>
      <c r="CI82" s="148"/>
      <c r="CJ82" s="148"/>
      <c r="CK82" s="148"/>
      <c r="CL82" s="148"/>
      <c r="CM82" s="148"/>
      <c r="CN82" s="148"/>
      <c r="CO82" s="148"/>
      <c r="CP82" s="148"/>
      <c r="CQ82" s="148"/>
      <c r="CR82" s="148"/>
      <c r="CS82" s="148"/>
      <c r="CT82" s="148"/>
      <c r="CU82" s="148"/>
      <c r="CV82" s="148"/>
      <c r="CW82" s="148"/>
      <c r="CX82" s="148"/>
      <c r="CY82" s="148"/>
      <c r="CZ82" s="148"/>
      <c r="DA82" s="148"/>
      <c r="DB82" s="148"/>
      <c r="DC82" s="148"/>
      <c r="DD82" s="148"/>
      <c r="DE82" s="148"/>
      <c r="DF82" s="148"/>
      <c r="DG82" s="148"/>
      <c r="DH82" s="148"/>
      <c r="DI82" s="148"/>
      <c r="DJ82" s="148"/>
      <c r="DK82" s="148"/>
      <c r="DL82" s="148"/>
      <c r="DM82" s="148"/>
      <c r="DN82" s="148"/>
      <c r="DO82" s="148"/>
      <c r="DP82" s="148"/>
      <c r="DQ82" s="148"/>
      <c r="DR82" s="148"/>
      <c r="DS82" s="148"/>
      <c r="DT82" s="148"/>
      <c r="DU82" s="148"/>
      <c r="DV82" s="148"/>
      <c r="DW82" s="148"/>
      <c r="DX82" s="148"/>
      <c r="DY82" s="148"/>
      <c r="DZ82" s="148"/>
      <c r="EA82" s="148"/>
      <c r="EB82" s="148"/>
      <c r="EC82" s="148"/>
      <c r="ED82" s="148"/>
      <c r="EE82" s="148"/>
      <c r="EF82" s="148"/>
      <c r="EG82" s="148"/>
      <c r="EH82" s="148"/>
      <c r="EI82" s="148"/>
      <c r="EJ82" s="148"/>
      <c r="EK82" s="148"/>
      <c r="EL82" s="148"/>
      <c r="EM82" s="148"/>
      <c r="EN82" s="148"/>
      <c r="EO82" s="148"/>
      <c r="EP82" s="148"/>
      <c r="EQ82" s="148"/>
      <c r="ER82" s="148"/>
      <c r="ES82" s="148"/>
      <c r="ET82" s="148"/>
      <c r="EU82" s="148"/>
      <c r="EV82" s="148"/>
      <c r="EW82" s="148"/>
      <c r="EX82" s="148"/>
      <c r="EY82" s="148"/>
      <c r="EZ82" s="148"/>
      <c r="FA82" s="148"/>
      <c r="FB82" s="148"/>
      <c r="FC82" s="148"/>
      <c r="FD82" s="148"/>
      <c r="FE82" s="148"/>
      <c r="FF82" s="148"/>
      <c r="FG82" s="148"/>
      <c r="FH82" s="148"/>
      <c r="FI82" s="148"/>
      <c r="FJ82" s="148"/>
      <c r="FK82" s="148"/>
      <c r="FL82" s="148"/>
      <c r="FM82" s="148"/>
      <c r="FN82" s="148"/>
      <c r="FO82" s="148"/>
      <c r="FP82" s="148"/>
      <c r="FQ82" s="148"/>
      <c r="FR82" s="148"/>
      <c r="FS82" s="148"/>
      <c r="FT82" s="148"/>
      <c r="FU82" s="148"/>
      <c r="FV82" s="148"/>
      <c r="FW82" s="148"/>
      <c r="FX82" s="148"/>
      <c r="FY82" s="148"/>
      <c r="FZ82" s="148"/>
      <c r="GA82" s="148"/>
      <c r="GB82" s="148"/>
      <c r="GC82" s="148"/>
      <c r="GD82" s="148"/>
      <c r="GE82" s="148"/>
      <c r="GF82" s="148"/>
      <c r="GG82" s="148"/>
      <c r="GH82" s="148"/>
      <c r="GI82" s="148"/>
      <c r="GJ82" s="148"/>
      <c r="GK82" s="148"/>
      <c r="GL82" s="148"/>
      <c r="GM82" s="148"/>
      <c r="GN82" s="148"/>
      <c r="GO82" s="148"/>
      <c r="GP82" s="148"/>
      <c r="GQ82" s="148"/>
      <c r="GR82" s="148"/>
      <c r="GS82" s="148"/>
      <c r="GT82" s="148"/>
      <c r="GU82" s="148"/>
      <c r="GV82" s="148"/>
      <c r="GW82" s="148"/>
      <c r="GX82" s="148"/>
      <c r="GY82" s="148"/>
      <c r="GZ82" s="148"/>
      <c r="HA82" s="148"/>
      <c r="HB82" s="148"/>
      <c r="HC82" s="148"/>
      <c r="HD82" s="148"/>
      <c r="HE82" s="148"/>
      <c r="HF82" s="148"/>
      <c r="HG82" s="148"/>
      <c r="HH82" s="148"/>
      <c r="HI82" s="148"/>
      <c r="HJ82" s="148"/>
      <c r="HK82" s="148"/>
      <c r="HL82" s="148"/>
      <c r="HM82" s="148"/>
      <c r="HN82" s="148"/>
      <c r="HO82" s="148"/>
      <c r="HP82" s="148"/>
      <c r="HQ82" s="148"/>
      <c r="HR82" s="148"/>
      <c r="HS82" s="148"/>
      <c r="HT82" s="148"/>
      <c r="HU82" s="148"/>
      <c r="HV82" s="148"/>
      <c r="HW82" s="148"/>
      <c r="HX82" s="148"/>
      <c r="HY82" s="148"/>
      <c r="HZ82" s="148"/>
      <c r="IA82" s="148"/>
      <c r="IB82" s="148"/>
      <c r="IC82" s="148"/>
      <c r="ID82" s="148"/>
      <c r="IE82" s="148"/>
      <c r="IF82" s="148"/>
      <c r="IG82" s="148"/>
      <c r="IH82" s="148"/>
      <c r="II82" s="148"/>
      <c r="IJ82" s="148"/>
      <c r="IK82" s="148"/>
      <c r="IL82" s="148"/>
      <c r="IM82" s="148"/>
      <c r="IN82" s="148"/>
      <c r="IO82" s="148"/>
      <c r="IP82" s="148"/>
      <c r="IQ82" s="148"/>
      <c r="IR82" s="148"/>
      <c r="IS82" s="148"/>
      <c r="IT82" s="148"/>
      <c r="IU82" s="148"/>
      <c r="IV82" s="148"/>
      <c r="IW82" s="148"/>
      <c r="IX82" s="148"/>
      <c r="IY82" s="148"/>
      <c r="IZ82" s="148"/>
      <c r="JA82" s="148"/>
    </row>
    <row r="83" spans="1:261" ht="33.75" x14ac:dyDescent="0.35">
      <c r="A83" s="1423">
        <v>72</v>
      </c>
      <c r="B83" s="1589"/>
      <c r="C83" s="1582">
        <v>15</v>
      </c>
      <c r="D83" s="150" t="s">
        <v>694</v>
      </c>
      <c r="E83" s="1560"/>
      <c r="F83" s="1561"/>
      <c r="G83" s="1562"/>
      <c r="H83" s="1563" t="s">
        <v>24</v>
      </c>
      <c r="I83" s="1564"/>
      <c r="J83" s="1565"/>
      <c r="K83" s="1565"/>
      <c r="L83" s="1565"/>
      <c r="M83" s="1565"/>
      <c r="N83" s="1565"/>
      <c r="O83" s="1566"/>
      <c r="P83" s="1567"/>
    </row>
    <row r="84" spans="1:261" s="272" customFormat="1" ht="18" customHeight="1" x14ac:dyDescent="0.35">
      <c r="A84" s="1423">
        <v>73</v>
      </c>
      <c r="B84" s="1557"/>
      <c r="C84" s="1582"/>
      <c r="D84" s="1585" t="s">
        <v>311</v>
      </c>
      <c r="E84" s="1560">
        <f>F84+G84+O87+P87</f>
        <v>906000</v>
      </c>
      <c r="F84" s="1561"/>
      <c r="G84" s="1562"/>
      <c r="H84" s="1563"/>
      <c r="I84" s="1564"/>
      <c r="J84" s="1565"/>
      <c r="K84" s="1565"/>
      <c r="L84" s="1565"/>
      <c r="M84" s="1565">
        <v>906000</v>
      </c>
      <c r="N84" s="1565"/>
      <c r="O84" s="1566">
        <f>SUM(I84:N84)</f>
        <v>906000</v>
      </c>
      <c r="P84" s="1567"/>
      <c r="Q84" s="148"/>
      <c r="R84" s="148"/>
      <c r="S84" s="148"/>
      <c r="T84" s="148"/>
      <c r="U84" s="148"/>
      <c r="V84" s="148"/>
      <c r="W84" s="148"/>
      <c r="X84" s="148"/>
      <c r="Y84" s="148"/>
      <c r="Z84" s="148"/>
      <c r="AA84" s="148"/>
      <c r="AB84" s="148"/>
      <c r="AC84" s="148"/>
      <c r="AD84" s="148"/>
      <c r="AE84" s="148"/>
      <c r="AF84" s="148"/>
      <c r="AG84" s="148"/>
      <c r="AH84" s="148"/>
      <c r="AI84" s="148"/>
      <c r="AJ84" s="148"/>
      <c r="AK84" s="148"/>
      <c r="AL84" s="148"/>
      <c r="AM84" s="148"/>
      <c r="AN84" s="148"/>
      <c r="AO84" s="148"/>
      <c r="AP84" s="148"/>
      <c r="AQ84" s="148"/>
      <c r="AR84" s="148"/>
      <c r="AS84" s="148"/>
      <c r="AT84" s="148"/>
      <c r="AU84" s="148"/>
      <c r="AV84" s="148"/>
      <c r="AW84" s="148"/>
      <c r="AX84" s="148"/>
      <c r="AY84" s="148"/>
      <c r="AZ84" s="148"/>
      <c r="BA84" s="148"/>
      <c r="BB84" s="148"/>
      <c r="BC84" s="148"/>
      <c r="BD84" s="148"/>
      <c r="BE84" s="148"/>
      <c r="BF84" s="148"/>
      <c r="BG84" s="148"/>
      <c r="BH84" s="148"/>
      <c r="BI84" s="148"/>
      <c r="BJ84" s="148"/>
      <c r="BK84" s="148"/>
      <c r="BL84" s="148"/>
      <c r="BM84" s="148"/>
      <c r="BN84" s="148"/>
      <c r="BO84" s="148"/>
      <c r="BP84" s="148"/>
      <c r="BQ84" s="148"/>
      <c r="BR84" s="148"/>
      <c r="BS84" s="148"/>
      <c r="BT84" s="148"/>
      <c r="BU84" s="148"/>
      <c r="BV84" s="148"/>
      <c r="BW84" s="148"/>
      <c r="BX84" s="148"/>
      <c r="BY84" s="148"/>
      <c r="BZ84" s="148"/>
      <c r="CA84" s="148"/>
      <c r="CB84" s="148"/>
      <c r="CC84" s="148"/>
      <c r="CD84" s="148"/>
      <c r="CE84" s="148"/>
      <c r="CF84" s="148"/>
      <c r="CG84" s="148"/>
      <c r="CH84" s="148"/>
      <c r="CI84" s="148"/>
      <c r="CJ84" s="148"/>
      <c r="CK84" s="148"/>
      <c r="CL84" s="148"/>
      <c r="CM84" s="148"/>
      <c r="CN84" s="148"/>
      <c r="CO84" s="148"/>
      <c r="CP84" s="148"/>
      <c r="CQ84" s="148"/>
      <c r="CR84" s="148"/>
      <c r="CS84" s="148"/>
      <c r="CT84" s="148"/>
      <c r="CU84" s="148"/>
      <c r="CV84" s="148"/>
      <c r="CW84" s="148"/>
      <c r="CX84" s="148"/>
      <c r="CY84" s="148"/>
      <c r="CZ84" s="148"/>
      <c r="DA84" s="148"/>
      <c r="DB84" s="148"/>
      <c r="DC84" s="148"/>
      <c r="DD84" s="148"/>
      <c r="DE84" s="148"/>
      <c r="DF84" s="148"/>
      <c r="DG84" s="148"/>
      <c r="DH84" s="148"/>
      <c r="DI84" s="148"/>
      <c r="DJ84" s="148"/>
      <c r="DK84" s="148"/>
      <c r="DL84" s="148"/>
      <c r="DM84" s="148"/>
      <c r="DN84" s="148"/>
      <c r="DO84" s="148"/>
      <c r="DP84" s="148"/>
      <c r="DQ84" s="148"/>
      <c r="DR84" s="148"/>
      <c r="DS84" s="148"/>
      <c r="DT84" s="148"/>
      <c r="DU84" s="148"/>
      <c r="DV84" s="148"/>
      <c r="DW84" s="148"/>
      <c r="DX84" s="148"/>
      <c r="DY84" s="148"/>
      <c r="DZ84" s="148"/>
      <c r="EA84" s="148"/>
      <c r="EB84" s="148"/>
      <c r="EC84" s="148"/>
      <c r="ED84" s="148"/>
      <c r="EE84" s="148"/>
      <c r="EF84" s="148"/>
      <c r="EG84" s="148"/>
      <c r="EH84" s="148"/>
      <c r="EI84" s="148"/>
      <c r="EJ84" s="148"/>
      <c r="EK84" s="148"/>
      <c r="EL84" s="148"/>
      <c r="EM84" s="148"/>
      <c r="EN84" s="148"/>
      <c r="EO84" s="148"/>
      <c r="EP84" s="148"/>
      <c r="EQ84" s="148"/>
      <c r="ER84" s="148"/>
      <c r="ES84" s="148"/>
      <c r="ET84" s="148"/>
      <c r="EU84" s="148"/>
      <c r="EV84" s="148"/>
      <c r="EW84" s="148"/>
      <c r="EX84" s="148"/>
      <c r="EY84" s="148"/>
      <c r="EZ84" s="148"/>
      <c r="FA84" s="148"/>
      <c r="FB84" s="148"/>
      <c r="FC84" s="148"/>
      <c r="FD84" s="148"/>
      <c r="FE84" s="148"/>
      <c r="FF84" s="148"/>
      <c r="FG84" s="148"/>
      <c r="FH84" s="148"/>
      <c r="FI84" s="148"/>
      <c r="FJ84" s="148"/>
      <c r="FK84" s="148"/>
      <c r="FL84" s="148"/>
      <c r="FM84" s="148"/>
      <c r="FN84" s="148"/>
      <c r="FO84" s="148"/>
      <c r="FP84" s="148"/>
      <c r="FQ84" s="148"/>
      <c r="FR84" s="148"/>
      <c r="FS84" s="148"/>
      <c r="FT84" s="148"/>
      <c r="FU84" s="148"/>
      <c r="FV84" s="148"/>
      <c r="FW84" s="148"/>
      <c r="FX84" s="148"/>
      <c r="FY84" s="148"/>
      <c r="FZ84" s="148"/>
      <c r="GA84" s="148"/>
      <c r="GB84" s="148"/>
      <c r="GC84" s="148"/>
      <c r="GD84" s="148"/>
      <c r="GE84" s="148"/>
      <c r="GF84" s="148"/>
      <c r="GG84" s="148"/>
      <c r="GH84" s="148"/>
      <c r="GI84" s="148"/>
      <c r="GJ84" s="148"/>
      <c r="GK84" s="148"/>
      <c r="GL84" s="148"/>
      <c r="GM84" s="148"/>
      <c r="GN84" s="148"/>
      <c r="GO84" s="148"/>
      <c r="GP84" s="148"/>
      <c r="GQ84" s="148"/>
      <c r="GR84" s="148"/>
      <c r="GS84" s="148"/>
      <c r="GT84" s="148"/>
      <c r="GU84" s="148"/>
      <c r="GV84" s="148"/>
      <c r="GW84" s="148"/>
      <c r="GX84" s="148"/>
      <c r="GY84" s="148"/>
      <c r="GZ84" s="148"/>
      <c r="HA84" s="148"/>
      <c r="HB84" s="148"/>
      <c r="HC84" s="148"/>
      <c r="HD84" s="148"/>
      <c r="HE84" s="148"/>
      <c r="HF84" s="148"/>
      <c r="HG84" s="148"/>
      <c r="HH84" s="148"/>
      <c r="HI84" s="148"/>
      <c r="HJ84" s="148"/>
      <c r="HK84" s="148"/>
      <c r="HL84" s="148"/>
      <c r="HM84" s="148"/>
      <c r="HN84" s="148"/>
      <c r="HO84" s="148"/>
      <c r="HP84" s="148"/>
      <c r="HQ84" s="148"/>
      <c r="HR84" s="148"/>
      <c r="HS84" s="148"/>
      <c r="HT84" s="148"/>
      <c r="HU84" s="148"/>
      <c r="HV84" s="148"/>
      <c r="HW84" s="148"/>
      <c r="HX84" s="148"/>
      <c r="HY84" s="148"/>
      <c r="HZ84" s="148"/>
      <c r="IA84" s="148"/>
      <c r="IB84" s="148"/>
      <c r="IC84" s="148"/>
      <c r="ID84" s="148"/>
      <c r="IE84" s="148"/>
      <c r="IF84" s="148"/>
      <c r="IG84" s="148"/>
      <c r="IH84" s="148"/>
      <c r="II84" s="148"/>
      <c r="IJ84" s="148"/>
      <c r="IK84" s="148"/>
      <c r="IL84" s="148"/>
      <c r="IM84" s="148"/>
      <c r="IN84" s="148"/>
      <c r="IO84" s="148"/>
      <c r="IP84" s="148"/>
      <c r="IQ84" s="148"/>
      <c r="IR84" s="148"/>
      <c r="IS84" s="148"/>
      <c r="IT84" s="148"/>
      <c r="IU84" s="148"/>
      <c r="IV84" s="148"/>
      <c r="IW84" s="148"/>
      <c r="IX84" s="148"/>
      <c r="IY84" s="148"/>
      <c r="IZ84" s="148"/>
      <c r="JA84" s="148"/>
    </row>
    <row r="85" spans="1:261" s="272" customFormat="1" ht="18" customHeight="1" x14ac:dyDescent="0.35">
      <c r="A85" s="1423">
        <v>74</v>
      </c>
      <c r="B85" s="1557"/>
      <c r="C85" s="1582"/>
      <c r="D85" s="1163" t="s">
        <v>1064</v>
      </c>
      <c r="E85" s="1560"/>
      <c r="F85" s="1561"/>
      <c r="G85" s="1562"/>
      <c r="H85" s="1563"/>
      <c r="I85" s="1564"/>
      <c r="J85" s="1565"/>
      <c r="K85" s="1565"/>
      <c r="L85" s="1565"/>
      <c r="M85" s="1574">
        <v>906000</v>
      </c>
      <c r="N85" s="1565"/>
      <c r="O85" s="1576">
        <f>SUM(I85:N85)</f>
        <v>906000</v>
      </c>
      <c r="P85" s="1567"/>
      <c r="Q85" s="148"/>
      <c r="R85" s="148"/>
      <c r="S85" s="148"/>
      <c r="T85" s="148"/>
      <c r="U85" s="148"/>
      <c r="V85" s="148"/>
      <c r="W85" s="148"/>
      <c r="X85" s="148"/>
      <c r="Y85" s="148"/>
      <c r="Z85" s="148"/>
      <c r="AA85" s="148"/>
      <c r="AB85" s="148"/>
      <c r="AC85" s="148"/>
      <c r="AD85" s="148"/>
      <c r="AE85" s="148"/>
      <c r="AF85" s="148"/>
      <c r="AG85" s="148"/>
      <c r="AH85" s="148"/>
      <c r="AI85" s="148"/>
      <c r="AJ85" s="148"/>
      <c r="AK85" s="148"/>
      <c r="AL85" s="148"/>
      <c r="AM85" s="148"/>
      <c r="AN85" s="148"/>
      <c r="AO85" s="148"/>
      <c r="AP85" s="148"/>
      <c r="AQ85" s="148"/>
      <c r="AR85" s="148"/>
      <c r="AS85" s="148"/>
      <c r="AT85" s="148"/>
      <c r="AU85" s="148"/>
      <c r="AV85" s="148"/>
      <c r="AW85" s="148"/>
      <c r="AX85" s="148"/>
      <c r="AY85" s="148"/>
      <c r="AZ85" s="148"/>
      <c r="BA85" s="148"/>
      <c r="BB85" s="148"/>
      <c r="BC85" s="148"/>
      <c r="BD85" s="148"/>
      <c r="BE85" s="148"/>
      <c r="BF85" s="148"/>
      <c r="BG85" s="148"/>
      <c r="BH85" s="148"/>
      <c r="BI85" s="148"/>
      <c r="BJ85" s="148"/>
      <c r="BK85" s="148"/>
      <c r="BL85" s="148"/>
      <c r="BM85" s="148"/>
      <c r="BN85" s="148"/>
      <c r="BO85" s="148"/>
      <c r="BP85" s="148"/>
      <c r="BQ85" s="148"/>
      <c r="BR85" s="148"/>
      <c r="BS85" s="148"/>
      <c r="BT85" s="148"/>
      <c r="BU85" s="148"/>
      <c r="BV85" s="148"/>
      <c r="BW85" s="148"/>
      <c r="BX85" s="148"/>
      <c r="BY85" s="148"/>
      <c r="BZ85" s="148"/>
      <c r="CA85" s="148"/>
      <c r="CB85" s="148"/>
      <c r="CC85" s="148"/>
      <c r="CD85" s="148"/>
      <c r="CE85" s="148"/>
      <c r="CF85" s="148"/>
      <c r="CG85" s="148"/>
      <c r="CH85" s="148"/>
      <c r="CI85" s="148"/>
      <c r="CJ85" s="148"/>
      <c r="CK85" s="148"/>
      <c r="CL85" s="148"/>
      <c r="CM85" s="148"/>
      <c r="CN85" s="148"/>
      <c r="CO85" s="148"/>
      <c r="CP85" s="148"/>
      <c r="CQ85" s="148"/>
      <c r="CR85" s="148"/>
      <c r="CS85" s="148"/>
      <c r="CT85" s="148"/>
      <c r="CU85" s="148"/>
      <c r="CV85" s="148"/>
      <c r="CW85" s="148"/>
      <c r="CX85" s="148"/>
      <c r="CY85" s="148"/>
      <c r="CZ85" s="148"/>
      <c r="DA85" s="148"/>
      <c r="DB85" s="148"/>
      <c r="DC85" s="148"/>
      <c r="DD85" s="148"/>
      <c r="DE85" s="148"/>
      <c r="DF85" s="148"/>
      <c r="DG85" s="148"/>
      <c r="DH85" s="148"/>
      <c r="DI85" s="148"/>
      <c r="DJ85" s="148"/>
      <c r="DK85" s="148"/>
      <c r="DL85" s="148"/>
      <c r="DM85" s="148"/>
      <c r="DN85" s="148"/>
      <c r="DO85" s="148"/>
      <c r="DP85" s="148"/>
      <c r="DQ85" s="148"/>
      <c r="DR85" s="148"/>
      <c r="DS85" s="148"/>
      <c r="DT85" s="148"/>
      <c r="DU85" s="148"/>
      <c r="DV85" s="148"/>
      <c r="DW85" s="148"/>
      <c r="DX85" s="148"/>
      <c r="DY85" s="148"/>
      <c r="DZ85" s="148"/>
      <c r="EA85" s="148"/>
      <c r="EB85" s="148"/>
      <c r="EC85" s="148"/>
      <c r="ED85" s="148"/>
      <c r="EE85" s="148"/>
      <c r="EF85" s="148"/>
      <c r="EG85" s="148"/>
      <c r="EH85" s="148"/>
      <c r="EI85" s="148"/>
      <c r="EJ85" s="148"/>
      <c r="EK85" s="148"/>
      <c r="EL85" s="148"/>
      <c r="EM85" s="148"/>
      <c r="EN85" s="148"/>
      <c r="EO85" s="148"/>
      <c r="EP85" s="148"/>
      <c r="EQ85" s="148"/>
      <c r="ER85" s="148"/>
      <c r="ES85" s="148"/>
      <c r="ET85" s="148"/>
      <c r="EU85" s="148"/>
      <c r="EV85" s="148"/>
      <c r="EW85" s="148"/>
      <c r="EX85" s="148"/>
      <c r="EY85" s="148"/>
      <c r="EZ85" s="148"/>
      <c r="FA85" s="148"/>
      <c r="FB85" s="148"/>
      <c r="FC85" s="148"/>
      <c r="FD85" s="148"/>
      <c r="FE85" s="148"/>
      <c r="FF85" s="148"/>
      <c r="FG85" s="148"/>
      <c r="FH85" s="148"/>
      <c r="FI85" s="148"/>
      <c r="FJ85" s="148"/>
      <c r="FK85" s="148"/>
      <c r="FL85" s="148"/>
      <c r="FM85" s="148"/>
      <c r="FN85" s="148"/>
      <c r="FO85" s="148"/>
      <c r="FP85" s="148"/>
      <c r="FQ85" s="148"/>
      <c r="FR85" s="148"/>
      <c r="FS85" s="148"/>
      <c r="FT85" s="148"/>
      <c r="FU85" s="148"/>
      <c r="FV85" s="148"/>
      <c r="FW85" s="148"/>
      <c r="FX85" s="148"/>
      <c r="FY85" s="148"/>
      <c r="FZ85" s="148"/>
      <c r="GA85" s="148"/>
      <c r="GB85" s="148"/>
      <c r="GC85" s="148"/>
      <c r="GD85" s="148"/>
      <c r="GE85" s="148"/>
      <c r="GF85" s="148"/>
      <c r="GG85" s="148"/>
      <c r="GH85" s="148"/>
      <c r="GI85" s="148"/>
      <c r="GJ85" s="148"/>
      <c r="GK85" s="148"/>
      <c r="GL85" s="148"/>
      <c r="GM85" s="148"/>
      <c r="GN85" s="148"/>
      <c r="GO85" s="148"/>
      <c r="GP85" s="148"/>
      <c r="GQ85" s="148"/>
      <c r="GR85" s="148"/>
      <c r="GS85" s="148"/>
      <c r="GT85" s="148"/>
      <c r="GU85" s="148"/>
      <c r="GV85" s="148"/>
      <c r="GW85" s="148"/>
      <c r="GX85" s="148"/>
      <c r="GY85" s="148"/>
      <c r="GZ85" s="148"/>
      <c r="HA85" s="148"/>
      <c r="HB85" s="148"/>
      <c r="HC85" s="148"/>
      <c r="HD85" s="148"/>
      <c r="HE85" s="148"/>
      <c r="HF85" s="148"/>
      <c r="HG85" s="148"/>
      <c r="HH85" s="148"/>
      <c r="HI85" s="148"/>
      <c r="HJ85" s="148"/>
      <c r="HK85" s="148"/>
      <c r="HL85" s="148"/>
      <c r="HM85" s="148"/>
      <c r="HN85" s="148"/>
      <c r="HO85" s="148"/>
      <c r="HP85" s="148"/>
      <c r="HQ85" s="148"/>
      <c r="HR85" s="148"/>
      <c r="HS85" s="148"/>
      <c r="HT85" s="148"/>
      <c r="HU85" s="148"/>
      <c r="HV85" s="148"/>
      <c r="HW85" s="148"/>
      <c r="HX85" s="148"/>
      <c r="HY85" s="148"/>
      <c r="HZ85" s="148"/>
      <c r="IA85" s="148"/>
      <c r="IB85" s="148"/>
      <c r="IC85" s="148"/>
      <c r="ID85" s="148"/>
      <c r="IE85" s="148"/>
      <c r="IF85" s="148"/>
      <c r="IG85" s="148"/>
      <c r="IH85" s="148"/>
      <c r="II85" s="148"/>
      <c r="IJ85" s="148"/>
      <c r="IK85" s="148"/>
      <c r="IL85" s="148"/>
      <c r="IM85" s="148"/>
      <c r="IN85" s="148"/>
      <c r="IO85" s="148"/>
      <c r="IP85" s="148"/>
      <c r="IQ85" s="148"/>
      <c r="IR85" s="148"/>
      <c r="IS85" s="148"/>
      <c r="IT85" s="148"/>
      <c r="IU85" s="148"/>
      <c r="IV85" s="148"/>
      <c r="IW85" s="148"/>
      <c r="IX85" s="148"/>
      <c r="IY85" s="148"/>
      <c r="IZ85" s="148"/>
      <c r="JA85" s="148"/>
    </row>
    <row r="86" spans="1:261" s="272" customFormat="1" ht="18" customHeight="1" x14ac:dyDescent="0.35">
      <c r="A86" s="1423">
        <v>75</v>
      </c>
      <c r="B86" s="1557"/>
      <c r="C86" s="1582"/>
      <c r="D86" s="1174" t="s">
        <v>999</v>
      </c>
      <c r="E86" s="1560"/>
      <c r="F86" s="1561"/>
      <c r="G86" s="1562"/>
      <c r="H86" s="1563"/>
      <c r="I86" s="1580"/>
      <c r="J86" s="1574"/>
      <c r="K86" s="1574"/>
      <c r="L86" s="1574"/>
      <c r="M86" s="1574"/>
      <c r="N86" s="1574"/>
      <c r="O86" s="1578">
        <f>SUM(I86:N86)</f>
        <v>0</v>
      </c>
      <c r="P86" s="1567"/>
      <c r="Q86" s="148"/>
      <c r="R86" s="148"/>
      <c r="S86" s="148"/>
      <c r="T86" s="148"/>
      <c r="U86" s="148"/>
      <c r="V86" s="148"/>
      <c r="W86" s="148"/>
      <c r="X86" s="148"/>
      <c r="Y86" s="148"/>
      <c r="Z86" s="148"/>
      <c r="AA86" s="148"/>
      <c r="AB86" s="148"/>
      <c r="AC86" s="148"/>
      <c r="AD86" s="148"/>
      <c r="AE86" s="148"/>
      <c r="AF86" s="148"/>
      <c r="AG86" s="148"/>
      <c r="AH86" s="148"/>
      <c r="AI86" s="148"/>
      <c r="AJ86" s="148"/>
      <c r="AK86" s="148"/>
      <c r="AL86" s="148"/>
      <c r="AM86" s="148"/>
      <c r="AN86" s="148"/>
      <c r="AO86" s="148"/>
      <c r="AP86" s="148"/>
      <c r="AQ86" s="148"/>
      <c r="AR86" s="148"/>
      <c r="AS86" s="148"/>
      <c r="AT86" s="148"/>
      <c r="AU86" s="148"/>
      <c r="AV86" s="148"/>
      <c r="AW86" s="148"/>
      <c r="AX86" s="148"/>
      <c r="AY86" s="148"/>
      <c r="AZ86" s="148"/>
      <c r="BA86" s="148"/>
      <c r="BB86" s="148"/>
      <c r="BC86" s="148"/>
      <c r="BD86" s="148"/>
      <c r="BE86" s="148"/>
      <c r="BF86" s="148"/>
      <c r="BG86" s="148"/>
      <c r="BH86" s="148"/>
      <c r="BI86" s="148"/>
      <c r="BJ86" s="148"/>
      <c r="BK86" s="148"/>
      <c r="BL86" s="148"/>
      <c r="BM86" s="148"/>
      <c r="BN86" s="148"/>
      <c r="BO86" s="148"/>
      <c r="BP86" s="148"/>
      <c r="BQ86" s="148"/>
      <c r="BR86" s="148"/>
      <c r="BS86" s="148"/>
      <c r="BT86" s="148"/>
      <c r="BU86" s="148"/>
      <c r="BV86" s="148"/>
      <c r="BW86" s="148"/>
      <c r="BX86" s="148"/>
      <c r="BY86" s="148"/>
      <c r="BZ86" s="148"/>
      <c r="CA86" s="148"/>
      <c r="CB86" s="148"/>
      <c r="CC86" s="148"/>
      <c r="CD86" s="148"/>
      <c r="CE86" s="148"/>
      <c r="CF86" s="148"/>
      <c r="CG86" s="148"/>
      <c r="CH86" s="148"/>
      <c r="CI86" s="148"/>
      <c r="CJ86" s="148"/>
      <c r="CK86" s="148"/>
      <c r="CL86" s="148"/>
      <c r="CM86" s="148"/>
      <c r="CN86" s="148"/>
      <c r="CO86" s="148"/>
      <c r="CP86" s="148"/>
      <c r="CQ86" s="148"/>
      <c r="CR86" s="148"/>
      <c r="CS86" s="148"/>
      <c r="CT86" s="148"/>
      <c r="CU86" s="148"/>
      <c r="CV86" s="148"/>
      <c r="CW86" s="148"/>
      <c r="CX86" s="148"/>
      <c r="CY86" s="148"/>
      <c r="CZ86" s="148"/>
      <c r="DA86" s="148"/>
      <c r="DB86" s="148"/>
      <c r="DC86" s="148"/>
      <c r="DD86" s="148"/>
      <c r="DE86" s="148"/>
      <c r="DF86" s="148"/>
      <c r="DG86" s="148"/>
      <c r="DH86" s="148"/>
      <c r="DI86" s="148"/>
      <c r="DJ86" s="148"/>
      <c r="DK86" s="148"/>
      <c r="DL86" s="148"/>
      <c r="DM86" s="148"/>
      <c r="DN86" s="148"/>
      <c r="DO86" s="148"/>
      <c r="DP86" s="148"/>
      <c r="DQ86" s="148"/>
      <c r="DR86" s="148"/>
      <c r="DS86" s="148"/>
      <c r="DT86" s="148"/>
      <c r="DU86" s="148"/>
      <c r="DV86" s="148"/>
      <c r="DW86" s="148"/>
      <c r="DX86" s="148"/>
      <c r="DY86" s="148"/>
      <c r="DZ86" s="148"/>
      <c r="EA86" s="148"/>
      <c r="EB86" s="148"/>
      <c r="EC86" s="148"/>
      <c r="ED86" s="148"/>
      <c r="EE86" s="148"/>
      <c r="EF86" s="148"/>
      <c r="EG86" s="148"/>
      <c r="EH86" s="148"/>
      <c r="EI86" s="148"/>
      <c r="EJ86" s="148"/>
      <c r="EK86" s="148"/>
      <c r="EL86" s="148"/>
      <c r="EM86" s="148"/>
      <c r="EN86" s="148"/>
      <c r="EO86" s="148"/>
      <c r="EP86" s="148"/>
      <c r="EQ86" s="148"/>
      <c r="ER86" s="148"/>
      <c r="ES86" s="148"/>
      <c r="ET86" s="148"/>
      <c r="EU86" s="148"/>
      <c r="EV86" s="148"/>
      <c r="EW86" s="148"/>
      <c r="EX86" s="148"/>
      <c r="EY86" s="148"/>
      <c r="EZ86" s="148"/>
      <c r="FA86" s="148"/>
      <c r="FB86" s="148"/>
      <c r="FC86" s="148"/>
      <c r="FD86" s="148"/>
      <c r="FE86" s="148"/>
      <c r="FF86" s="148"/>
      <c r="FG86" s="148"/>
      <c r="FH86" s="148"/>
      <c r="FI86" s="148"/>
      <c r="FJ86" s="148"/>
      <c r="FK86" s="148"/>
      <c r="FL86" s="148"/>
      <c r="FM86" s="148"/>
      <c r="FN86" s="148"/>
      <c r="FO86" s="148"/>
      <c r="FP86" s="148"/>
      <c r="FQ86" s="148"/>
      <c r="FR86" s="148"/>
      <c r="FS86" s="148"/>
      <c r="FT86" s="148"/>
      <c r="FU86" s="148"/>
      <c r="FV86" s="148"/>
      <c r="FW86" s="148"/>
      <c r="FX86" s="148"/>
      <c r="FY86" s="148"/>
      <c r="FZ86" s="148"/>
      <c r="GA86" s="148"/>
      <c r="GB86" s="148"/>
      <c r="GC86" s="148"/>
      <c r="GD86" s="148"/>
      <c r="GE86" s="148"/>
      <c r="GF86" s="148"/>
      <c r="GG86" s="148"/>
      <c r="GH86" s="148"/>
      <c r="GI86" s="148"/>
      <c r="GJ86" s="148"/>
      <c r="GK86" s="148"/>
      <c r="GL86" s="148"/>
      <c r="GM86" s="148"/>
      <c r="GN86" s="148"/>
      <c r="GO86" s="148"/>
      <c r="GP86" s="148"/>
      <c r="GQ86" s="148"/>
      <c r="GR86" s="148"/>
      <c r="GS86" s="148"/>
      <c r="GT86" s="148"/>
      <c r="GU86" s="148"/>
      <c r="GV86" s="148"/>
      <c r="GW86" s="148"/>
      <c r="GX86" s="148"/>
      <c r="GY86" s="148"/>
      <c r="GZ86" s="148"/>
      <c r="HA86" s="148"/>
      <c r="HB86" s="148"/>
      <c r="HC86" s="148"/>
      <c r="HD86" s="148"/>
      <c r="HE86" s="148"/>
      <c r="HF86" s="148"/>
      <c r="HG86" s="148"/>
      <c r="HH86" s="148"/>
      <c r="HI86" s="148"/>
      <c r="HJ86" s="148"/>
      <c r="HK86" s="148"/>
      <c r="HL86" s="148"/>
      <c r="HM86" s="148"/>
      <c r="HN86" s="148"/>
      <c r="HO86" s="148"/>
      <c r="HP86" s="148"/>
      <c r="HQ86" s="148"/>
      <c r="HR86" s="148"/>
      <c r="HS86" s="148"/>
      <c r="HT86" s="148"/>
      <c r="HU86" s="148"/>
      <c r="HV86" s="148"/>
      <c r="HW86" s="148"/>
      <c r="HX86" s="148"/>
      <c r="HY86" s="148"/>
      <c r="HZ86" s="148"/>
      <c r="IA86" s="148"/>
      <c r="IB86" s="148"/>
      <c r="IC86" s="148"/>
      <c r="ID86" s="148"/>
      <c r="IE86" s="148"/>
      <c r="IF86" s="148"/>
      <c r="IG86" s="148"/>
      <c r="IH86" s="148"/>
      <c r="II86" s="148"/>
      <c r="IJ86" s="148"/>
      <c r="IK86" s="148"/>
      <c r="IL86" s="148"/>
      <c r="IM86" s="148"/>
      <c r="IN86" s="148"/>
      <c r="IO86" s="148"/>
      <c r="IP86" s="148"/>
      <c r="IQ86" s="148"/>
      <c r="IR86" s="148"/>
      <c r="IS86" s="148"/>
      <c r="IT86" s="148"/>
      <c r="IU86" s="148"/>
      <c r="IV86" s="148"/>
      <c r="IW86" s="148"/>
      <c r="IX86" s="148"/>
      <c r="IY86" s="148"/>
      <c r="IZ86" s="148"/>
      <c r="JA86" s="148"/>
    </row>
    <row r="87" spans="1:261" s="272" customFormat="1" ht="18" customHeight="1" x14ac:dyDescent="0.35">
      <c r="A87" s="1423">
        <v>76</v>
      </c>
      <c r="B87" s="1557"/>
      <c r="C87" s="1582"/>
      <c r="D87" s="1163" t="s">
        <v>1116</v>
      </c>
      <c r="E87" s="1560"/>
      <c r="F87" s="1561"/>
      <c r="G87" s="1562"/>
      <c r="H87" s="1563"/>
      <c r="I87" s="1580"/>
      <c r="J87" s="1574"/>
      <c r="K87" s="1574"/>
      <c r="L87" s="1574"/>
      <c r="M87" s="1574">
        <f>SUM(M85:M86)</f>
        <v>906000</v>
      </c>
      <c r="N87" s="1574"/>
      <c r="O87" s="1576">
        <f>SUM(I87:N87)</f>
        <v>906000</v>
      </c>
      <c r="P87" s="1567"/>
      <c r="Q87" s="148"/>
      <c r="R87" s="148"/>
      <c r="S87" s="148"/>
      <c r="T87" s="148"/>
      <c r="U87" s="148"/>
      <c r="V87" s="148"/>
      <c r="W87" s="148"/>
      <c r="X87" s="148"/>
      <c r="Y87" s="148"/>
      <c r="Z87" s="148"/>
      <c r="AA87" s="148"/>
      <c r="AB87" s="148"/>
      <c r="AC87" s="148"/>
      <c r="AD87" s="148"/>
      <c r="AE87" s="148"/>
      <c r="AF87" s="148"/>
      <c r="AG87" s="148"/>
      <c r="AH87" s="148"/>
      <c r="AI87" s="148"/>
      <c r="AJ87" s="148"/>
      <c r="AK87" s="148"/>
      <c r="AL87" s="148"/>
      <c r="AM87" s="148"/>
      <c r="AN87" s="148"/>
      <c r="AO87" s="148"/>
      <c r="AP87" s="148"/>
      <c r="AQ87" s="148"/>
      <c r="AR87" s="148"/>
      <c r="AS87" s="148"/>
      <c r="AT87" s="148"/>
      <c r="AU87" s="148"/>
      <c r="AV87" s="148"/>
      <c r="AW87" s="148"/>
      <c r="AX87" s="148"/>
      <c r="AY87" s="148"/>
      <c r="AZ87" s="148"/>
      <c r="BA87" s="148"/>
      <c r="BB87" s="148"/>
      <c r="BC87" s="148"/>
      <c r="BD87" s="148"/>
      <c r="BE87" s="148"/>
      <c r="BF87" s="148"/>
      <c r="BG87" s="148"/>
      <c r="BH87" s="148"/>
      <c r="BI87" s="148"/>
      <c r="BJ87" s="148"/>
      <c r="BK87" s="148"/>
      <c r="BL87" s="148"/>
      <c r="BM87" s="148"/>
      <c r="BN87" s="148"/>
      <c r="BO87" s="148"/>
      <c r="BP87" s="148"/>
      <c r="BQ87" s="148"/>
      <c r="BR87" s="148"/>
      <c r="BS87" s="148"/>
      <c r="BT87" s="148"/>
      <c r="BU87" s="148"/>
      <c r="BV87" s="148"/>
      <c r="BW87" s="148"/>
      <c r="BX87" s="148"/>
      <c r="BY87" s="148"/>
      <c r="BZ87" s="148"/>
      <c r="CA87" s="148"/>
      <c r="CB87" s="148"/>
      <c r="CC87" s="148"/>
      <c r="CD87" s="148"/>
      <c r="CE87" s="148"/>
      <c r="CF87" s="148"/>
      <c r="CG87" s="148"/>
      <c r="CH87" s="148"/>
      <c r="CI87" s="148"/>
      <c r="CJ87" s="148"/>
      <c r="CK87" s="148"/>
      <c r="CL87" s="148"/>
      <c r="CM87" s="148"/>
      <c r="CN87" s="148"/>
      <c r="CO87" s="148"/>
      <c r="CP87" s="148"/>
      <c r="CQ87" s="148"/>
      <c r="CR87" s="148"/>
      <c r="CS87" s="148"/>
      <c r="CT87" s="148"/>
      <c r="CU87" s="148"/>
      <c r="CV87" s="148"/>
      <c r="CW87" s="148"/>
      <c r="CX87" s="148"/>
      <c r="CY87" s="148"/>
      <c r="CZ87" s="148"/>
      <c r="DA87" s="148"/>
      <c r="DB87" s="148"/>
      <c r="DC87" s="148"/>
      <c r="DD87" s="148"/>
      <c r="DE87" s="148"/>
      <c r="DF87" s="148"/>
      <c r="DG87" s="148"/>
      <c r="DH87" s="148"/>
      <c r="DI87" s="148"/>
      <c r="DJ87" s="148"/>
      <c r="DK87" s="148"/>
      <c r="DL87" s="148"/>
      <c r="DM87" s="148"/>
      <c r="DN87" s="148"/>
      <c r="DO87" s="148"/>
      <c r="DP87" s="148"/>
      <c r="DQ87" s="148"/>
      <c r="DR87" s="148"/>
      <c r="DS87" s="148"/>
      <c r="DT87" s="148"/>
      <c r="DU87" s="148"/>
      <c r="DV87" s="148"/>
      <c r="DW87" s="148"/>
      <c r="DX87" s="148"/>
      <c r="DY87" s="148"/>
      <c r="DZ87" s="148"/>
      <c r="EA87" s="148"/>
      <c r="EB87" s="148"/>
      <c r="EC87" s="148"/>
      <c r="ED87" s="148"/>
      <c r="EE87" s="148"/>
      <c r="EF87" s="148"/>
      <c r="EG87" s="148"/>
      <c r="EH87" s="148"/>
      <c r="EI87" s="148"/>
      <c r="EJ87" s="148"/>
      <c r="EK87" s="148"/>
      <c r="EL87" s="148"/>
      <c r="EM87" s="148"/>
      <c r="EN87" s="148"/>
      <c r="EO87" s="148"/>
      <c r="EP87" s="148"/>
      <c r="EQ87" s="148"/>
      <c r="ER87" s="148"/>
      <c r="ES87" s="148"/>
      <c r="ET87" s="148"/>
      <c r="EU87" s="148"/>
      <c r="EV87" s="148"/>
      <c r="EW87" s="148"/>
      <c r="EX87" s="148"/>
      <c r="EY87" s="148"/>
      <c r="EZ87" s="148"/>
      <c r="FA87" s="148"/>
      <c r="FB87" s="148"/>
      <c r="FC87" s="148"/>
      <c r="FD87" s="148"/>
      <c r="FE87" s="148"/>
      <c r="FF87" s="148"/>
      <c r="FG87" s="148"/>
      <c r="FH87" s="148"/>
      <c r="FI87" s="148"/>
      <c r="FJ87" s="148"/>
      <c r="FK87" s="148"/>
      <c r="FL87" s="148"/>
      <c r="FM87" s="148"/>
      <c r="FN87" s="148"/>
      <c r="FO87" s="148"/>
      <c r="FP87" s="148"/>
      <c r="FQ87" s="148"/>
      <c r="FR87" s="148"/>
      <c r="FS87" s="148"/>
      <c r="FT87" s="148"/>
      <c r="FU87" s="148"/>
      <c r="FV87" s="148"/>
      <c r="FW87" s="148"/>
      <c r="FX87" s="148"/>
      <c r="FY87" s="148"/>
      <c r="FZ87" s="148"/>
      <c r="GA87" s="148"/>
      <c r="GB87" s="148"/>
      <c r="GC87" s="148"/>
      <c r="GD87" s="148"/>
      <c r="GE87" s="148"/>
      <c r="GF87" s="148"/>
      <c r="GG87" s="148"/>
      <c r="GH87" s="148"/>
      <c r="GI87" s="148"/>
      <c r="GJ87" s="148"/>
      <c r="GK87" s="148"/>
      <c r="GL87" s="148"/>
      <c r="GM87" s="148"/>
      <c r="GN87" s="148"/>
      <c r="GO87" s="148"/>
      <c r="GP87" s="148"/>
      <c r="GQ87" s="148"/>
      <c r="GR87" s="148"/>
      <c r="GS87" s="148"/>
      <c r="GT87" s="148"/>
      <c r="GU87" s="148"/>
      <c r="GV87" s="148"/>
      <c r="GW87" s="148"/>
      <c r="GX87" s="148"/>
      <c r="GY87" s="148"/>
      <c r="GZ87" s="148"/>
      <c r="HA87" s="148"/>
      <c r="HB87" s="148"/>
      <c r="HC87" s="148"/>
      <c r="HD87" s="148"/>
      <c r="HE87" s="148"/>
      <c r="HF87" s="148"/>
      <c r="HG87" s="148"/>
      <c r="HH87" s="148"/>
      <c r="HI87" s="148"/>
      <c r="HJ87" s="148"/>
      <c r="HK87" s="148"/>
      <c r="HL87" s="148"/>
      <c r="HM87" s="148"/>
      <c r="HN87" s="148"/>
      <c r="HO87" s="148"/>
      <c r="HP87" s="148"/>
      <c r="HQ87" s="148"/>
      <c r="HR87" s="148"/>
      <c r="HS87" s="148"/>
      <c r="HT87" s="148"/>
      <c r="HU87" s="148"/>
      <c r="HV87" s="148"/>
      <c r="HW87" s="148"/>
      <c r="HX87" s="148"/>
      <c r="HY87" s="148"/>
      <c r="HZ87" s="148"/>
      <c r="IA87" s="148"/>
      <c r="IB87" s="148"/>
      <c r="IC87" s="148"/>
      <c r="ID87" s="148"/>
      <c r="IE87" s="148"/>
      <c r="IF87" s="148"/>
      <c r="IG87" s="148"/>
      <c r="IH87" s="148"/>
      <c r="II87" s="148"/>
      <c r="IJ87" s="148"/>
      <c r="IK87" s="148"/>
      <c r="IL87" s="148"/>
      <c r="IM87" s="148"/>
      <c r="IN87" s="148"/>
      <c r="IO87" s="148"/>
      <c r="IP87" s="148"/>
      <c r="IQ87" s="148"/>
      <c r="IR87" s="148"/>
      <c r="IS87" s="148"/>
      <c r="IT87" s="148"/>
      <c r="IU87" s="148"/>
      <c r="IV87" s="148"/>
      <c r="IW87" s="148"/>
      <c r="IX87" s="148"/>
      <c r="IY87" s="148"/>
      <c r="IZ87" s="148"/>
      <c r="JA87" s="148"/>
    </row>
    <row r="88" spans="1:261" ht="33" x14ac:dyDescent="0.35">
      <c r="A88" s="1423">
        <v>77</v>
      </c>
      <c r="B88" s="1589"/>
      <c r="C88" s="1582">
        <v>16</v>
      </c>
      <c r="D88" s="1414" t="s">
        <v>503</v>
      </c>
      <c r="E88" s="1560"/>
      <c r="F88" s="1561"/>
      <c r="G88" s="1562"/>
      <c r="H88" s="1563" t="s">
        <v>24</v>
      </c>
      <c r="I88" s="1564"/>
      <c r="J88" s="1565"/>
      <c r="K88" s="1565"/>
      <c r="L88" s="1565"/>
      <c r="M88" s="1565"/>
      <c r="N88" s="1565"/>
      <c r="O88" s="1566"/>
      <c r="P88" s="1567"/>
    </row>
    <row r="89" spans="1:261" s="272" customFormat="1" ht="18" customHeight="1" x14ac:dyDescent="0.35">
      <c r="A89" s="1423">
        <v>78</v>
      </c>
      <c r="B89" s="1557"/>
      <c r="C89" s="1582"/>
      <c r="D89" s="1585" t="s">
        <v>311</v>
      </c>
      <c r="E89" s="1560">
        <f>F89+G89+O92+P92+5962</f>
        <v>300876</v>
      </c>
      <c r="F89" s="1561">
        <v>4460</v>
      </c>
      <c r="G89" s="1562">
        <f>264851+2602</f>
        <v>267453</v>
      </c>
      <c r="H89" s="1563"/>
      <c r="I89" s="1564"/>
      <c r="J89" s="1565"/>
      <c r="K89" s="1565">
        <v>1087</v>
      </c>
      <c r="L89" s="1565"/>
      <c r="M89" s="1565">
        <v>21914</v>
      </c>
      <c r="N89" s="1565"/>
      <c r="O89" s="1566">
        <f>SUM(I89:N89)</f>
        <v>23001</v>
      </c>
      <c r="P89" s="1567"/>
      <c r="Q89" s="148"/>
      <c r="R89" s="148"/>
      <c r="S89" s="148"/>
      <c r="T89" s="148"/>
      <c r="U89" s="148"/>
      <c r="V89" s="148"/>
      <c r="W89" s="148"/>
      <c r="X89" s="148"/>
      <c r="Y89" s="148"/>
      <c r="Z89" s="148"/>
      <c r="AA89" s="148"/>
      <c r="AB89" s="148"/>
      <c r="AC89" s="148"/>
      <c r="AD89" s="148"/>
      <c r="AE89" s="148"/>
      <c r="AF89" s="148"/>
      <c r="AG89" s="148"/>
      <c r="AH89" s="148"/>
      <c r="AI89" s="148"/>
      <c r="AJ89" s="148"/>
      <c r="AK89" s="148"/>
      <c r="AL89" s="148"/>
      <c r="AM89" s="148"/>
      <c r="AN89" s="148"/>
      <c r="AO89" s="148"/>
      <c r="AP89" s="148"/>
      <c r="AQ89" s="148"/>
      <c r="AR89" s="148"/>
      <c r="AS89" s="148"/>
      <c r="AT89" s="148"/>
      <c r="AU89" s="148"/>
      <c r="AV89" s="148"/>
      <c r="AW89" s="148"/>
      <c r="AX89" s="148"/>
      <c r="AY89" s="148"/>
      <c r="AZ89" s="148"/>
      <c r="BA89" s="148"/>
      <c r="BB89" s="148"/>
      <c r="BC89" s="148"/>
      <c r="BD89" s="148"/>
      <c r="BE89" s="148"/>
      <c r="BF89" s="148"/>
      <c r="BG89" s="148"/>
      <c r="BH89" s="148"/>
      <c r="BI89" s="148"/>
      <c r="BJ89" s="148"/>
      <c r="BK89" s="148"/>
      <c r="BL89" s="148"/>
      <c r="BM89" s="148"/>
      <c r="BN89" s="148"/>
      <c r="BO89" s="148"/>
      <c r="BP89" s="148"/>
      <c r="BQ89" s="148"/>
      <c r="BR89" s="148"/>
      <c r="BS89" s="148"/>
      <c r="BT89" s="148"/>
      <c r="BU89" s="148"/>
      <c r="BV89" s="148"/>
      <c r="BW89" s="148"/>
      <c r="BX89" s="148"/>
      <c r="BY89" s="148"/>
      <c r="BZ89" s="148"/>
      <c r="CA89" s="148"/>
      <c r="CB89" s="148"/>
      <c r="CC89" s="148"/>
      <c r="CD89" s="148"/>
      <c r="CE89" s="148"/>
      <c r="CF89" s="148"/>
      <c r="CG89" s="148"/>
      <c r="CH89" s="148"/>
      <c r="CI89" s="148"/>
      <c r="CJ89" s="148"/>
      <c r="CK89" s="148"/>
      <c r="CL89" s="148"/>
      <c r="CM89" s="148"/>
      <c r="CN89" s="148"/>
      <c r="CO89" s="148"/>
      <c r="CP89" s="148"/>
      <c r="CQ89" s="148"/>
      <c r="CR89" s="148"/>
      <c r="CS89" s="148"/>
      <c r="CT89" s="148"/>
      <c r="CU89" s="148"/>
      <c r="CV89" s="148"/>
      <c r="CW89" s="148"/>
      <c r="CX89" s="148"/>
      <c r="CY89" s="148"/>
      <c r="CZ89" s="148"/>
      <c r="DA89" s="148"/>
      <c r="DB89" s="148"/>
      <c r="DC89" s="148"/>
      <c r="DD89" s="148"/>
      <c r="DE89" s="148"/>
      <c r="DF89" s="148"/>
      <c r="DG89" s="148"/>
      <c r="DH89" s="148"/>
      <c r="DI89" s="148"/>
      <c r="DJ89" s="148"/>
      <c r="DK89" s="148"/>
      <c r="DL89" s="148"/>
      <c r="DM89" s="148"/>
      <c r="DN89" s="148"/>
      <c r="DO89" s="148"/>
      <c r="DP89" s="148"/>
      <c r="DQ89" s="148"/>
      <c r="DR89" s="148"/>
      <c r="DS89" s="148"/>
      <c r="DT89" s="148"/>
      <c r="DU89" s="148"/>
      <c r="DV89" s="148"/>
      <c r="DW89" s="148"/>
      <c r="DX89" s="148"/>
      <c r="DY89" s="148"/>
      <c r="DZ89" s="148"/>
      <c r="EA89" s="148"/>
      <c r="EB89" s="148"/>
      <c r="EC89" s="148"/>
      <c r="ED89" s="148"/>
      <c r="EE89" s="148"/>
      <c r="EF89" s="148"/>
      <c r="EG89" s="148"/>
      <c r="EH89" s="148"/>
      <c r="EI89" s="148"/>
      <c r="EJ89" s="148"/>
      <c r="EK89" s="148"/>
      <c r="EL89" s="148"/>
      <c r="EM89" s="148"/>
      <c r="EN89" s="148"/>
      <c r="EO89" s="148"/>
      <c r="EP89" s="148"/>
      <c r="EQ89" s="148"/>
      <c r="ER89" s="148"/>
      <c r="ES89" s="148"/>
      <c r="ET89" s="148"/>
      <c r="EU89" s="148"/>
      <c r="EV89" s="148"/>
      <c r="EW89" s="148"/>
      <c r="EX89" s="148"/>
      <c r="EY89" s="148"/>
      <c r="EZ89" s="148"/>
      <c r="FA89" s="148"/>
      <c r="FB89" s="148"/>
      <c r="FC89" s="148"/>
      <c r="FD89" s="148"/>
      <c r="FE89" s="148"/>
      <c r="FF89" s="148"/>
      <c r="FG89" s="148"/>
      <c r="FH89" s="148"/>
      <c r="FI89" s="148"/>
      <c r="FJ89" s="148"/>
      <c r="FK89" s="148"/>
      <c r="FL89" s="148"/>
      <c r="FM89" s="148"/>
      <c r="FN89" s="148"/>
      <c r="FO89" s="148"/>
      <c r="FP89" s="148"/>
      <c r="FQ89" s="148"/>
      <c r="FR89" s="148"/>
      <c r="FS89" s="148"/>
      <c r="FT89" s="148"/>
      <c r="FU89" s="148"/>
      <c r="FV89" s="148"/>
      <c r="FW89" s="148"/>
      <c r="FX89" s="148"/>
      <c r="FY89" s="148"/>
      <c r="FZ89" s="148"/>
      <c r="GA89" s="148"/>
      <c r="GB89" s="148"/>
      <c r="GC89" s="148"/>
      <c r="GD89" s="148"/>
      <c r="GE89" s="148"/>
      <c r="GF89" s="148"/>
      <c r="GG89" s="148"/>
      <c r="GH89" s="148"/>
      <c r="GI89" s="148"/>
      <c r="GJ89" s="148"/>
      <c r="GK89" s="148"/>
      <c r="GL89" s="148"/>
      <c r="GM89" s="148"/>
      <c r="GN89" s="148"/>
      <c r="GO89" s="148"/>
      <c r="GP89" s="148"/>
      <c r="GQ89" s="148"/>
      <c r="GR89" s="148"/>
      <c r="GS89" s="148"/>
      <c r="GT89" s="148"/>
      <c r="GU89" s="148"/>
      <c r="GV89" s="148"/>
      <c r="GW89" s="148"/>
      <c r="GX89" s="148"/>
      <c r="GY89" s="148"/>
      <c r="GZ89" s="148"/>
      <c r="HA89" s="148"/>
      <c r="HB89" s="148"/>
      <c r="HC89" s="148"/>
      <c r="HD89" s="148"/>
      <c r="HE89" s="148"/>
      <c r="HF89" s="148"/>
      <c r="HG89" s="148"/>
      <c r="HH89" s="148"/>
      <c r="HI89" s="148"/>
      <c r="HJ89" s="148"/>
      <c r="HK89" s="148"/>
      <c r="HL89" s="148"/>
      <c r="HM89" s="148"/>
      <c r="HN89" s="148"/>
      <c r="HO89" s="148"/>
      <c r="HP89" s="148"/>
      <c r="HQ89" s="148"/>
      <c r="HR89" s="148"/>
      <c r="HS89" s="148"/>
      <c r="HT89" s="148"/>
      <c r="HU89" s="148"/>
      <c r="HV89" s="148"/>
      <c r="HW89" s="148"/>
      <c r="HX89" s="148"/>
      <c r="HY89" s="148"/>
      <c r="HZ89" s="148"/>
      <c r="IA89" s="148"/>
      <c r="IB89" s="148"/>
      <c r="IC89" s="148"/>
      <c r="ID89" s="148"/>
      <c r="IE89" s="148"/>
      <c r="IF89" s="148"/>
      <c r="IG89" s="148"/>
      <c r="IH89" s="148"/>
      <c r="II89" s="148"/>
      <c r="IJ89" s="148"/>
      <c r="IK89" s="148"/>
      <c r="IL89" s="148"/>
      <c r="IM89" s="148"/>
      <c r="IN89" s="148"/>
      <c r="IO89" s="148"/>
      <c r="IP89" s="148"/>
      <c r="IQ89" s="148"/>
      <c r="IR89" s="148"/>
      <c r="IS89" s="148"/>
      <c r="IT89" s="148"/>
      <c r="IU89" s="148"/>
      <c r="IV89" s="148"/>
      <c r="IW89" s="148"/>
      <c r="IX89" s="148"/>
      <c r="IY89" s="148"/>
      <c r="IZ89" s="148"/>
      <c r="JA89" s="148"/>
    </row>
    <row r="90" spans="1:261" s="272" customFormat="1" ht="18" customHeight="1" x14ac:dyDescent="0.35">
      <c r="A90" s="1423">
        <v>79</v>
      </c>
      <c r="B90" s="1557"/>
      <c r="C90" s="1582"/>
      <c r="D90" s="1163" t="s">
        <v>1064</v>
      </c>
      <c r="E90" s="1560"/>
      <c r="F90" s="1561"/>
      <c r="G90" s="1562"/>
      <c r="H90" s="1563"/>
      <c r="I90" s="1564"/>
      <c r="J90" s="1565"/>
      <c r="K90" s="1574">
        <v>1087</v>
      </c>
      <c r="L90" s="1574"/>
      <c r="M90" s="1574">
        <v>21914</v>
      </c>
      <c r="N90" s="1565"/>
      <c r="O90" s="1576">
        <f>SUM(I90:N90)</f>
        <v>23001</v>
      </c>
      <c r="P90" s="1567"/>
      <c r="Q90" s="148"/>
      <c r="R90" s="148"/>
      <c r="S90" s="148"/>
      <c r="T90" s="148"/>
      <c r="U90" s="148"/>
      <c r="V90" s="148"/>
      <c r="W90" s="148"/>
      <c r="X90" s="148"/>
      <c r="Y90" s="148"/>
      <c r="Z90" s="148"/>
      <c r="AA90" s="148"/>
      <c r="AB90" s="148"/>
      <c r="AC90" s="148"/>
      <c r="AD90" s="148"/>
      <c r="AE90" s="148"/>
      <c r="AF90" s="148"/>
      <c r="AG90" s="148"/>
      <c r="AH90" s="148"/>
      <c r="AI90" s="148"/>
      <c r="AJ90" s="148"/>
      <c r="AK90" s="148"/>
      <c r="AL90" s="148"/>
      <c r="AM90" s="148"/>
      <c r="AN90" s="148"/>
      <c r="AO90" s="148"/>
      <c r="AP90" s="148"/>
      <c r="AQ90" s="148"/>
      <c r="AR90" s="148"/>
      <c r="AS90" s="148"/>
      <c r="AT90" s="148"/>
      <c r="AU90" s="148"/>
      <c r="AV90" s="148"/>
      <c r="AW90" s="148"/>
      <c r="AX90" s="148"/>
      <c r="AY90" s="148"/>
      <c r="AZ90" s="148"/>
      <c r="BA90" s="148"/>
      <c r="BB90" s="148"/>
      <c r="BC90" s="148"/>
      <c r="BD90" s="148"/>
      <c r="BE90" s="148"/>
      <c r="BF90" s="148"/>
      <c r="BG90" s="148"/>
      <c r="BH90" s="148"/>
      <c r="BI90" s="148"/>
      <c r="BJ90" s="148"/>
      <c r="BK90" s="148"/>
      <c r="BL90" s="148"/>
      <c r="BM90" s="148"/>
      <c r="BN90" s="148"/>
      <c r="BO90" s="148"/>
      <c r="BP90" s="148"/>
      <c r="BQ90" s="148"/>
      <c r="BR90" s="148"/>
      <c r="BS90" s="148"/>
      <c r="BT90" s="148"/>
      <c r="BU90" s="148"/>
      <c r="BV90" s="148"/>
      <c r="BW90" s="148"/>
      <c r="BX90" s="148"/>
      <c r="BY90" s="148"/>
      <c r="BZ90" s="148"/>
      <c r="CA90" s="148"/>
      <c r="CB90" s="148"/>
      <c r="CC90" s="148"/>
      <c r="CD90" s="148"/>
      <c r="CE90" s="148"/>
      <c r="CF90" s="148"/>
      <c r="CG90" s="148"/>
      <c r="CH90" s="148"/>
      <c r="CI90" s="148"/>
      <c r="CJ90" s="148"/>
      <c r="CK90" s="148"/>
      <c r="CL90" s="148"/>
      <c r="CM90" s="148"/>
      <c r="CN90" s="148"/>
      <c r="CO90" s="148"/>
      <c r="CP90" s="148"/>
      <c r="CQ90" s="148"/>
      <c r="CR90" s="148"/>
      <c r="CS90" s="148"/>
      <c r="CT90" s="148"/>
      <c r="CU90" s="148"/>
      <c r="CV90" s="148"/>
      <c r="CW90" s="148"/>
      <c r="CX90" s="148"/>
      <c r="CY90" s="148"/>
      <c r="CZ90" s="148"/>
      <c r="DA90" s="148"/>
      <c r="DB90" s="148"/>
      <c r="DC90" s="148"/>
      <c r="DD90" s="148"/>
      <c r="DE90" s="148"/>
      <c r="DF90" s="148"/>
      <c r="DG90" s="148"/>
      <c r="DH90" s="148"/>
      <c r="DI90" s="148"/>
      <c r="DJ90" s="148"/>
      <c r="DK90" s="148"/>
      <c r="DL90" s="148"/>
      <c r="DM90" s="148"/>
      <c r="DN90" s="148"/>
      <c r="DO90" s="148"/>
      <c r="DP90" s="148"/>
      <c r="DQ90" s="148"/>
      <c r="DR90" s="148"/>
      <c r="DS90" s="148"/>
      <c r="DT90" s="148"/>
      <c r="DU90" s="148"/>
      <c r="DV90" s="148"/>
      <c r="DW90" s="148"/>
      <c r="DX90" s="148"/>
      <c r="DY90" s="148"/>
      <c r="DZ90" s="148"/>
      <c r="EA90" s="148"/>
      <c r="EB90" s="148"/>
      <c r="EC90" s="148"/>
      <c r="ED90" s="148"/>
      <c r="EE90" s="148"/>
      <c r="EF90" s="148"/>
      <c r="EG90" s="148"/>
      <c r="EH90" s="148"/>
      <c r="EI90" s="148"/>
      <c r="EJ90" s="148"/>
      <c r="EK90" s="148"/>
      <c r="EL90" s="148"/>
      <c r="EM90" s="148"/>
      <c r="EN90" s="148"/>
      <c r="EO90" s="148"/>
      <c r="EP90" s="148"/>
      <c r="EQ90" s="148"/>
      <c r="ER90" s="148"/>
      <c r="ES90" s="148"/>
      <c r="ET90" s="148"/>
      <c r="EU90" s="148"/>
      <c r="EV90" s="148"/>
      <c r="EW90" s="148"/>
      <c r="EX90" s="148"/>
      <c r="EY90" s="148"/>
      <c r="EZ90" s="148"/>
      <c r="FA90" s="148"/>
      <c r="FB90" s="148"/>
      <c r="FC90" s="148"/>
      <c r="FD90" s="148"/>
      <c r="FE90" s="148"/>
      <c r="FF90" s="148"/>
      <c r="FG90" s="148"/>
      <c r="FH90" s="148"/>
      <c r="FI90" s="148"/>
      <c r="FJ90" s="148"/>
      <c r="FK90" s="148"/>
      <c r="FL90" s="148"/>
      <c r="FM90" s="148"/>
      <c r="FN90" s="148"/>
      <c r="FO90" s="148"/>
      <c r="FP90" s="148"/>
      <c r="FQ90" s="148"/>
      <c r="FR90" s="148"/>
      <c r="FS90" s="148"/>
      <c r="FT90" s="148"/>
      <c r="FU90" s="148"/>
      <c r="FV90" s="148"/>
      <c r="FW90" s="148"/>
      <c r="FX90" s="148"/>
      <c r="FY90" s="148"/>
      <c r="FZ90" s="148"/>
      <c r="GA90" s="148"/>
      <c r="GB90" s="148"/>
      <c r="GC90" s="148"/>
      <c r="GD90" s="148"/>
      <c r="GE90" s="148"/>
      <c r="GF90" s="148"/>
      <c r="GG90" s="148"/>
      <c r="GH90" s="148"/>
      <c r="GI90" s="148"/>
      <c r="GJ90" s="148"/>
      <c r="GK90" s="148"/>
      <c r="GL90" s="148"/>
      <c r="GM90" s="148"/>
      <c r="GN90" s="148"/>
      <c r="GO90" s="148"/>
      <c r="GP90" s="148"/>
      <c r="GQ90" s="148"/>
      <c r="GR90" s="148"/>
      <c r="GS90" s="148"/>
      <c r="GT90" s="148"/>
      <c r="GU90" s="148"/>
      <c r="GV90" s="148"/>
      <c r="GW90" s="148"/>
      <c r="GX90" s="148"/>
      <c r="GY90" s="148"/>
      <c r="GZ90" s="148"/>
      <c r="HA90" s="148"/>
      <c r="HB90" s="148"/>
      <c r="HC90" s="148"/>
      <c r="HD90" s="148"/>
      <c r="HE90" s="148"/>
      <c r="HF90" s="148"/>
      <c r="HG90" s="148"/>
      <c r="HH90" s="148"/>
      <c r="HI90" s="148"/>
      <c r="HJ90" s="148"/>
      <c r="HK90" s="148"/>
      <c r="HL90" s="148"/>
      <c r="HM90" s="148"/>
      <c r="HN90" s="148"/>
      <c r="HO90" s="148"/>
      <c r="HP90" s="148"/>
      <c r="HQ90" s="148"/>
      <c r="HR90" s="148"/>
      <c r="HS90" s="148"/>
      <c r="HT90" s="148"/>
      <c r="HU90" s="148"/>
      <c r="HV90" s="148"/>
      <c r="HW90" s="148"/>
      <c r="HX90" s="148"/>
      <c r="HY90" s="148"/>
      <c r="HZ90" s="148"/>
      <c r="IA90" s="148"/>
      <c r="IB90" s="148"/>
      <c r="IC90" s="148"/>
      <c r="ID90" s="148"/>
      <c r="IE90" s="148"/>
      <c r="IF90" s="148"/>
      <c r="IG90" s="148"/>
      <c r="IH90" s="148"/>
      <c r="II90" s="148"/>
      <c r="IJ90" s="148"/>
      <c r="IK90" s="148"/>
      <c r="IL90" s="148"/>
      <c r="IM90" s="148"/>
      <c r="IN90" s="148"/>
      <c r="IO90" s="148"/>
      <c r="IP90" s="148"/>
      <c r="IQ90" s="148"/>
      <c r="IR90" s="148"/>
      <c r="IS90" s="148"/>
      <c r="IT90" s="148"/>
      <c r="IU90" s="148"/>
      <c r="IV90" s="148"/>
      <c r="IW90" s="148"/>
      <c r="IX90" s="148"/>
      <c r="IY90" s="148"/>
      <c r="IZ90" s="148"/>
      <c r="JA90" s="148"/>
    </row>
    <row r="91" spans="1:261" s="272" customFormat="1" ht="18" customHeight="1" x14ac:dyDescent="0.35">
      <c r="A91" s="1423">
        <v>80</v>
      </c>
      <c r="B91" s="1557"/>
      <c r="C91" s="1582"/>
      <c r="D91" s="1174" t="s">
        <v>999</v>
      </c>
      <c r="E91" s="1560"/>
      <c r="F91" s="1561"/>
      <c r="G91" s="1562"/>
      <c r="H91" s="1563"/>
      <c r="I91" s="1580"/>
      <c r="J91" s="1574"/>
      <c r="K91" s="1574"/>
      <c r="L91" s="1574"/>
      <c r="M91" s="1574"/>
      <c r="N91" s="1574"/>
      <c r="O91" s="1578">
        <f>SUM(I91:N91)</f>
        <v>0</v>
      </c>
      <c r="P91" s="1567"/>
      <c r="Q91" s="148"/>
      <c r="R91" s="148"/>
      <c r="S91" s="148"/>
      <c r="T91" s="148"/>
      <c r="U91" s="148"/>
      <c r="V91" s="148"/>
      <c r="W91" s="148"/>
      <c r="X91" s="148"/>
      <c r="Y91" s="148"/>
      <c r="Z91" s="148"/>
      <c r="AA91" s="148"/>
      <c r="AB91" s="148"/>
      <c r="AC91" s="148"/>
      <c r="AD91" s="148"/>
      <c r="AE91" s="148"/>
      <c r="AF91" s="148"/>
      <c r="AG91" s="148"/>
      <c r="AH91" s="148"/>
      <c r="AI91" s="148"/>
      <c r="AJ91" s="148"/>
      <c r="AK91" s="148"/>
      <c r="AL91" s="148"/>
      <c r="AM91" s="148"/>
      <c r="AN91" s="148"/>
      <c r="AO91" s="148"/>
      <c r="AP91" s="148"/>
      <c r="AQ91" s="148"/>
      <c r="AR91" s="148"/>
      <c r="AS91" s="148"/>
      <c r="AT91" s="148"/>
      <c r="AU91" s="148"/>
      <c r="AV91" s="148"/>
      <c r="AW91" s="148"/>
      <c r="AX91" s="148"/>
      <c r="AY91" s="148"/>
      <c r="AZ91" s="148"/>
      <c r="BA91" s="148"/>
      <c r="BB91" s="148"/>
      <c r="BC91" s="148"/>
      <c r="BD91" s="148"/>
      <c r="BE91" s="148"/>
      <c r="BF91" s="148"/>
      <c r="BG91" s="148"/>
      <c r="BH91" s="148"/>
      <c r="BI91" s="148"/>
      <c r="BJ91" s="148"/>
      <c r="BK91" s="148"/>
      <c r="BL91" s="148"/>
      <c r="BM91" s="148"/>
      <c r="BN91" s="148"/>
      <c r="BO91" s="148"/>
      <c r="BP91" s="148"/>
      <c r="BQ91" s="148"/>
      <c r="BR91" s="148"/>
      <c r="BS91" s="148"/>
      <c r="BT91" s="148"/>
      <c r="BU91" s="148"/>
      <c r="BV91" s="148"/>
      <c r="BW91" s="148"/>
      <c r="BX91" s="148"/>
      <c r="BY91" s="148"/>
      <c r="BZ91" s="148"/>
      <c r="CA91" s="148"/>
      <c r="CB91" s="148"/>
      <c r="CC91" s="148"/>
      <c r="CD91" s="148"/>
      <c r="CE91" s="148"/>
      <c r="CF91" s="148"/>
      <c r="CG91" s="148"/>
      <c r="CH91" s="148"/>
      <c r="CI91" s="148"/>
      <c r="CJ91" s="148"/>
      <c r="CK91" s="148"/>
      <c r="CL91" s="148"/>
      <c r="CM91" s="148"/>
      <c r="CN91" s="148"/>
      <c r="CO91" s="148"/>
      <c r="CP91" s="148"/>
      <c r="CQ91" s="148"/>
      <c r="CR91" s="148"/>
      <c r="CS91" s="148"/>
      <c r="CT91" s="148"/>
      <c r="CU91" s="148"/>
      <c r="CV91" s="148"/>
      <c r="CW91" s="148"/>
      <c r="CX91" s="148"/>
      <c r="CY91" s="148"/>
      <c r="CZ91" s="148"/>
      <c r="DA91" s="148"/>
      <c r="DB91" s="148"/>
      <c r="DC91" s="148"/>
      <c r="DD91" s="148"/>
      <c r="DE91" s="148"/>
      <c r="DF91" s="148"/>
      <c r="DG91" s="148"/>
      <c r="DH91" s="148"/>
      <c r="DI91" s="148"/>
      <c r="DJ91" s="148"/>
      <c r="DK91" s="148"/>
      <c r="DL91" s="148"/>
      <c r="DM91" s="148"/>
      <c r="DN91" s="148"/>
      <c r="DO91" s="148"/>
      <c r="DP91" s="148"/>
      <c r="DQ91" s="148"/>
      <c r="DR91" s="148"/>
      <c r="DS91" s="148"/>
      <c r="DT91" s="148"/>
      <c r="DU91" s="148"/>
      <c r="DV91" s="148"/>
      <c r="DW91" s="148"/>
      <c r="DX91" s="148"/>
      <c r="DY91" s="148"/>
      <c r="DZ91" s="148"/>
      <c r="EA91" s="148"/>
      <c r="EB91" s="148"/>
      <c r="EC91" s="148"/>
      <c r="ED91" s="148"/>
      <c r="EE91" s="148"/>
      <c r="EF91" s="148"/>
      <c r="EG91" s="148"/>
      <c r="EH91" s="148"/>
      <c r="EI91" s="148"/>
      <c r="EJ91" s="148"/>
      <c r="EK91" s="148"/>
      <c r="EL91" s="148"/>
      <c r="EM91" s="148"/>
      <c r="EN91" s="148"/>
      <c r="EO91" s="148"/>
      <c r="EP91" s="148"/>
      <c r="EQ91" s="148"/>
      <c r="ER91" s="148"/>
      <c r="ES91" s="148"/>
      <c r="ET91" s="148"/>
      <c r="EU91" s="148"/>
      <c r="EV91" s="148"/>
      <c r="EW91" s="148"/>
      <c r="EX91" s="148"/>
      <c r="EY91" s="148"/>
      <c r="EZ91" s="148"/>
      <c r="FA91" s="148"/>
      <c r="FB91" s="148"/>
      <c r="FC91" s="148"/>
      <c r="FD91" s="148"/>
      <c r="FE91" s="148"/>
      <c r="FF91" s="148"/>
      <c r="FG91" s="148"/>
      <c r="FH91" s="148"/>
      <c r="FI91" s="148"/>
      <c r="FJ91" s="148"/>
      <c r="FK91" s="148"/>
      <c r="FL91" s="148"/>
      <c r="FM91" s="148"/>
      <c r="FN91" s="148"/>
      <c r="FO91" s="148"/>
      <c r="FP91" s="148"/>
      <c r="FQ91" s="148"/>
      <c r="FR91" s="148"/>
      <c r="FS91" s="148"/>
      <c r="FT91" s="148"/>
      <c r="FU91" s="148"/>
      <c r="FV91" s="148"/>
      <c r="FW91" s="148"/>
      <c r="FX91" s="148"/>
      <c r="FY91" s="148"/>
      <c r="FZ91" s="148"/>
      <c r="GA91" s="148"/>
      <c r="GB91" s="148"/>
      <c r="GC91" s="148"/>
      <c r="GD91" s="148"/>
      <c r="GE91" s="148"/>
      <c r="GF91" s="148"/>
      <c r="GG91" s="148"/>
      <c r="GH91" s="148"/>
      <c r="GI91" s="148"/>
      <c r="GJ91" s="148"/>
      <c r="GK91" s="148"/>
      <c r="GL91" s="148"/>
      <c r="GM91" s="148"/>
      <c r="GN91" s="148"/>
      <c r="GO91" s="148"/>
      <c r="GP91" s="148"/>
      <c r="GQ91" s="148"/>
      <c r="GR91" s="148"/>
      <c r="GS91" s="148"/>
      <c r="GT91" s="148"/>
      <c r="GU91" s="148"/>
      <c r="GV91" s="148"/>
      <c r="GW91" s="148"/>
      <c r="GX91" s="148"/>
      <c r="GY91" s="148"/>
      <c r="GZ91" s="148"/>
      <c r="HA91" s="148"/>
      <c r="HB91" s="148"/>
      <c r="HC91" s="148"/>
      <c r="HD91" s="148"/>
      <c r="HE91" s="148"/>
      <c r="HF91" s="148"/>
      <c r="HG91" s="148"/>
      <c r="HH91" s="148"/>
      <c r="HI91" s="148"/>
      <c r="HJ91" s="148"/>
      <c r="HK91" s="148"/>
      <c r="HL91" s="148"/>
      <c r="HM91" s="148"/>
      <c r="HN91" s="148"/>
      <c r="HO91" s="148"/>
      <c r="HP91" s="148"/>
      <c r="HQ91" s="148"/>
      <c r="HR91" s="148"/>
      <c r="HS91" s="148"/>
      <c r="HT91" s="148"/>
      <c r="HU91" s="148"/>
      <c r="HV91" s="148"/>
      <c r="HW91" s="148"/>
      <c r="HX91" s="148"/>
      <c r="HY91" s="148"/>
      <c r="HZ91" s="148"/>
      <c r="IA91" s="148"/>
      <c r="IB91" s="148"/>
      <c r="IC91" s="148"/>
      <c r="ID91" s="148"/>
      <c r="IE91" s="148"/>
      <c r="IF91" s="148"/>
      <c r="IG91" s="148"/>
      <c r="IH91" s="148"/>
      <c r="II91" s="148"/>
      <c r="IJ91" s="148"/>
      <c r="IK91" s="148"/>
      <c r="IL91" s="148"/>
      <c r="IM91" s="148"/>
      <c r="IN91" s="148"/>
      <c r="IO91" s="148"/>
      <c r="IP91" s="148"/>
      <c r="IQ91" s="148"/>
      <c r="IR91" s="148"/>
      <c r="IS91" s="148"/>
      <c r="IT91" s="148"/>
      <c r="IU91" s="148"/>
      <c r="IV91" s="148"/>
      <c r="IW91" s="148"/>
      <c r="IX91" s="148"/>
      <c r="IY91" s="148"/>
      <c r="IZ91" s="148"/>
      <c r="JA91" s="148"/>
    </row>
    <row r="92" spans="1:261" s="272" customFormat="1" ht="18" customHeight="1" x14ac:dyDescent="0.35">
      <c r="A92" s="1423">
        <v>81</v>
      </c>
      <c r="B92" s="1557"/>
      <c r="C92" s="1582"/>
      <c r="D92" s="1163" t="s">
        <v>1116</v>
      </c>
      <c r="E92" s="1560"/>
      <c r="F92" s="1561"/>
      <c r="G92" s="1562"/>
      <c r="H92" s="1563"/>
      <c r="I92" s="1580"/>
      <c r="J92" s="1574"/>
      <c r="K92" s="1574">
        <f>SUM(K90:K91)</f>
        <v>1087</v>
      </c>
      <c r="L92" s="1574"/>
      <c r="M92" s="1574">
        <f t="shared" ref="M92" si="12">SUM(M90:M91)</f>
        <v>21914</v>
      </c>
      <c r="N92" s="1574"/>
      <c r="O92" s="1576">
        <f>SUM(I92:N92)</f>
        <v>23001</v>
      </c>
      <c r="P92" s="1567"/>
      <c r="Q92" s="148"/>
      <c r="R92" s="148"/>
      <c r="S92" s="148"/>
      <c r="T92" s="148"/>
      <c r="U92" s="148"/>
      <c r="V92" s="148"/>
      <c r="W92" s="148"/>
      <c r="X92" s="148"/>
      <c r="Y92" s="148"/>
      <c r="Z92" s="148"/>
      <c r="AA92" s="148"/>
      <c r="AB92" s="148"/>
      <c r="AC92" s="148"/>
      <c r="AD92" s="148"/>
      <c r="AE92" s="148"/>
      <c r="AF92" s="148"/>
      <c r="AG92" s="148"/>
      <c r="AH92" s="148"/>
      <c r="AI92" s="148"/>
      <c r="AJ92" s="148"/>
      <c r="AK92" s="148"/>
      <c r="AL92" s="148"/>
      <c r="AM92" s="148"/>
      <c r="AN92" s="148"/>
      <c r="AO92" s="148"/>
      <c r="AP92" s="148"/>
      <c r="AQ92" s="148"/>
      <c r="AR92" s="148"/>
      <c r="AS92" s="148"/>
      <c r="AT92" s="148"/>
      <c r="AU92" s="148"/>
      <c r="AV92" s="148"/>
      <c r="AW92" s="148"/>
      <c r="AX92" s="148"/>
      <c r="AY92" s="148"/>
      <c r="AZ92" s="148"/>
      <c r="BA92" s="148"/>
      <c r="BB92" s="148"/>
      <c r="BC92" s="148"/>
      <c r="BD92" s="148"/>
      <c r="BE92" s="148"/>
      <c r="BF92" s="148"/>
      <c r="BG92" s="148"/>
      <c r="BH92" s="148"/>
      <c r="BI92" s="148"/>
      <c r="BJ92" s="148"/>
      <c r="BK92" s="148"/>
      <c r="BL92" s="148"/>
      <c r="BM92" s="148"/>
      <c r="BN92" s="148"/>
      <c r="BO92" s="148"/>
      <c r="BP92" s="148"/>
      <c r="BQ92" s="148"/>
      <c r="BR92" s="148"/>
      <c r="BS92" s="148"/>
      <c r="BT92" s="148"/>
      <c r="BU92" s="148"/>
      <c r="BV92" s="148"/>
      <c r="BW92" s="148"/>
      <c r="BX92" s="148"/>
      <c r="BY92" s="148"/>
      <c r="BZ92" s="148"/>
      <c r="CA92" s="148"/>
      <c r="CB92" s="148"/>
      <c r="CC92" s="148"/>
      <c r="CD92" s="148"/>
      <c r="CE92" s="148"/>
      <c r="CF92" s="148"/>
      <c r="CG92" s="148"/>
      <c r="CH92" s="148"/>
      <c r="CI92" s="148"/>
      <c r="CJ92" s="148"/>
      <c r="CK92" s="148"/>
      <c r="CL92" s="148"/>
      <c r="CM92" s="148"/>
      <c r="CN92" s="148"/>
      <c r="CO92" s="148"/>
      <c r="CP92" s="148"/>
      <c r="CQ92" s="148"/>
      <c r="CR92" s="148"/>
      <c r="CS92" s="148"/>
      <c r="CT92" s="148"/>
      <c r="CU92" s="148"/>
      <c r="CV92" s="148"/>
      <c r="CW92" s="148"/>
      <c r="CX92" s="148"/>
      <c r="CY92" s="148"/>
      <c r="CZ92" s="148"/>
      <c r="DA92" s="148"/>
      <c r="DB92" s="148"/>
      <c r="DC92" s="148"/>
      <c r="DD92" s="148"/>
      <c r="DE92" s="148"/>
      <c r="DF92" s="148"/>
      <c r="DG92" s="148"/>
      <c r="DH92" s="148"/>
      <c r="DI92" s="148"/>
      <c r="DJ92" s="148"/>
      <c r="DK92" s="148"/>
      <c r="DL92" s="148"/>
      <c r="DM92" s="148"/>
      <c r="DN92" s="148"/>
      <c r="DO92" s="148"/>
      <c r="DP92" s="148"/>
      <c r="DQ92" s="148"/>
      <c r="DR92" s="148"/>
      <c r="DS92" s="148"/>
      <c r="DT92" s="148"/>
      <c r="DU92" s="148"/>
      <c r="DV92" s="148"/>
      <c r="DW92" s="148"/>
      <c r="DX92" s="148"/>
      <c r="DY92" s="148"/>
      <c r="DZ92" s="148"/>
      <c r="EA92" s="148"/>
      <c r="EB92" s="148"/>
      <c r="EC92" s="148"/>
      <c r="ED92" s="148"/>
      <c r="EE92" s="148"/>
      <c r="EF92" s="148"/>
      <c r="EG92" s="148"/>
      <c r="EH92" s="148"/>
      <c r="EI92" s="148"/>
      <c r="EJ92" s="148"/>
      <c r="EK92" s="148"/>
      <c r="EL92" s="148"/>
      <c r="EM92" s="148"/>
      <c r="EN92" s="148"/>
      <c r="EO92" s="148"/>
      <c r="EP92" s="148"/>
      <c r="EQ92" s="148"/>
      <c r="ER92" s="148"/>
      <c r="ES92" s="148"/>
      <c r="ET92" s="148"/>
      <c r="EU92" s="148"/>
      <c r="EV92" s="148"/>
      <c r="EW92" s="148"/>
      <c r="EX92" s="148"/>
      <c r="EY92" s="148"/>
      <c r="EZ92" s="148"/>
      <c r="FA92" s="148"/>
      <c r="FB92" s="148"/>
      <c r="FC92" s="148"/>
      <c r="FD92" s="148"/>
      <c r="FE92" s="148"/>
      <c r="FF92" s="148"/>
      <c r="FG92" s="148"/>
      <c r="FH92" s="148"/>
      <c r="FI92" s="148"/>
      <c r="FJ92" s="148"/>
      <c r="FK92" s="148"/>
      <c r="FL92" s="148"/>
      <c r="FM92" s="148"/>
      <c r="FN92" s="148"/>
      <c r="FO92" s="148"/>
      <c r="FP92" s="148"/>
      <c r="FQ92" s="148"/>
      <c r="FR92" s="148"/>
      <c r="FS92" s="148"/>
      <c r="FT92" s="148"/>
      <c r="FU92" s="148"/>
      <c r="FV92" s="148"/>
      <c r="FW92" s="148"/>
      <c r="FX92" s="148"/>
      <c r="FY92" s="148"/>
      <c r="FZ92" s="148"/>
      <c r="GA92" s="148"/>
      <c r="GB92" s="148"/>
      <c r="GC92" s="148"/>
      <c r="GD92" s="148"/>
      <c r="GE92" s="148"/>
      <c r="GF92" s="148"/>
      <c r="GG92" s="148"/>
      <c r="GH92" s="148"/>
      <c r="GI92" s="148"/>
      <c r="GJ92" s="148"/>
      <c r="GK92" s="148"/>
      <c r="GL92" s="148"/>
      <c r="GM92" s="148"/>
      <c r="GN92" s="148"/>
      <c r="GO92" s="148"/>
      <c r="GP92" s="148"/>
      <c r="GQ92" s="148"/>
      <c r="GR92" s="148"/>
      <c r="GS92" s="148"/>
      <c r="GT92" s="148"/>
      <c r="GU92" s="148"/>
      <c r="GV92" s="148"/>
      <c r="GW92" s="148"/>
      <c r="GX92" s="148"/>
      <c r="GY92" s="148"/>
      <c r="GZ92" s="148"/>
      <c r="HA92" s="148"/>
      <c r="HB92" s="148"/>
      <c r="HC92" s="148"/>
      <c r="HD92" s="148"/>
      <c r="HE92" s="148"/>
      <c r="HF92" s="148"/>
      <c r="HG92" s="148"/>
      <c r="HH92" s="148"/>
      <c r="HI92" s="148"/>
      <c r="HJ92" s="148"/>
      <c r="HK92" s="148"/>
      <c r="HL92" s="148"/>
      <c r="HM92" s="148"/>
      <c r="HN92" s="148"/>
      <c r="HO92" s="148"/>
      <c r="HP92" s="148"/>
      <c r="HQ92" s="148"/>
      <c r="HR92" s="148"/>
      <c r="HS92" s="148"/>
      <c r="HT92" s="148"/>
      <c r="HU92" s="148"/>
      <c r="HV92" s="148"/>
      <c r="HW92" s="148"/>
      <c r="HX92" s="148"/>
      <c r="HY92" s="148"/>
      <c r="HZ92" s="148"/>
      <c r="IA92" s="148"/>
      <c r="IB92" s="148"/>
      <c r="IC92" s="148"/>
      <c r="ID92" s="148"/>
      <c r="IE92" s="148"/>
      <c r="IF92" s="148"/>
      <c r="IG92" s="148"/>
      <c r="IH92" s="148"/>
      <c r="II92" s="148"/>
      <c r="IJ92" s="148"/>
      <c r="IK92" s="148"/>
      <c r="IL92" s="148"/>
      <c r="IM92" s="148"/>
      <c r="IN92" s="148"/>
      <c r="IO92" s="148"/>
      <c r="IP92" s="148"/>
      <c r="IQ92" s="148"/>
      <c r="IR92" s="148"/>
      <c r="IS92" s="148"/>
      <c r="IT92" s="148"/>
      <c r="IU92" s="148"/>
      <c r="IV92" s="148"/>
      <c r="IW92" s="148"/>
      <c r="IX92" s="148"/>
      <c r="IY92" s="148"/>
      <c r="IZ92" s="148"/>
      <c r="JA92" s="148"/>
    </row>
    <row r="93" spans="1:261" ht="33" x14ac:dyDescent="0.35">
      <c r="A93" s="1423">
        <v>82</v>
      </c>
      <c r="B93" s="1589"/>
      <c r="C93" s="1582">
        <v>17</v>
      </c>
      <c r="D93" s="1414" t="s">
        <v>615</v>
      </c>
      <c r="E93" s="1560"/>
      <c r="F93" s="1561"/>
      <c r="G93" s="1562"/>
      <c r="H93" s="1563" t="s">
        <v>24</v>
      </c>
      <c r="I93" s="1564"/>
      <c r="J93" s="1565"/>
      <c r="K93" s="1565"/>
      <c r="L93" s="1565"/>
      <c r="M93" s="1565"/>
      <c r="N93" s="1565"/>
      <c r="O93" s="1566"/>
      <c r="P93" s="1567"/>
    </row>
    <row r="94" spans="1:261" s="272" customFormat="1" ht="18" customHeight="1" x14ac:dyDescent="0.35">
      <c r="A94" s="1423">
        <v>83</v>
      </c>
      <c r="B94" s="1557"/>
      <c r="C94" s="1582"/>
      <c r="D94" s="1585" t="s">
        <v>311</v>
      </c>
      <c r="E94" s="1560">
        <f>F94+G94+O97+P97+13852</f>
        <v>829515</v>
      </c>
      <c r="F94" s="1561">
        <v>6414</v>
      </c>
      <c r="G94" s="1562">
        <f>26646</f>
        <v>26646</v>
      </c>
      <c r="H94" s="1563"/>
      <c r="I94" s="1564"/>
      <c r="J94" s="1565"/>
      <c r="K94" s="1565">
        <v>10750</v>
      </c>
      <c r="L94" s="1565"/>
      <c r="M94" s="1565">
        <f>41400+730453</f>
        <v>771853</v>
      </c>
      <c r="N94" s="1565"/>
      <c r="O94" s="1566">
        <f>SUM(I94:N94)</f>
        <v>782603</v>
      </c>
      <c r="P94" s="1567"/>
      <c r="Q94" s="148"/>
      <c r="R94" s="148"/>
      <c r="S94" s="148"/>
      <c r="T94" s="148"/>
      <c r="U94" s="148"/>
      <c r="V94" s="148"/>
      <c r="W94" s="148"/>
      <c r="X94" s="148"/>
      <c r="Y94" s="148"/>
      <c r="Z94" s="148"/>
      <c r="AA94" s="148"/>
      <c r="AB94" s="148"/>
      <c r="AC94" s="148"/>
      <c r="AD94" s="148"/>
      <c r="AE94" s="148"/>
      <c r="AF94" s="148"/>
      <c r="AG94" s="148"/>
      <c r="AH94" s="148"/>
      <c r="AI94" s="148"/>
      <c r="AJ94" s="148"/>
      <c r="AK94" s="148"/>
      <c r="AL94" s="148"/>
      <c r="AM94" s="148"/>
      <c r="AN94" s="148"/>
      <c r="AO94" s="148"/>
      <c r="AP94" s="148"/>
      <c r="AQ94" s="148"/>
      <c r="AR94" s="148"/>
      <c r="AS94" s="148"/>
      <c r="AT94" s="148"/>
      <c r="AU94" s="148"/>
      <c r="AV94" s="148"/>
      <c r="AW94" s="148"/>
      <c r="AX94" s="148"/>
      <c r="AY94" s="148"/>
      <c r="AZ94" s="148"/>
      <c r="BA94" s="148"/>
      <c r="BB94" s="148"/>
      <c r="BC94" s="148"/>
      <c r="BD94" s="148"/>
      <c r="BE94" s="148"/>
      <c r="BF94" s="148"/>
      <c r="BG94" s="148"/>
      <c r="BH94" s="148"/>
      <c r="BI94" s="148"/>
      <c r="BJ94" s="148"/>
      <c r="BK94" s="148"/>
      <c r="BL94" s="148"/>
      <c r="BM94" s="148"/>
      <c r="BN94" s="148"/>
      <c r="BO94" s="148"/>
      <c r="BP94" s="148"/>
      <c r="BQ94" s="148"/>
      <c r="BR94" s="148"/>
      <c r="BS94" s="148"/>
      <c r="BT94" s="148"/>
      <c r="BU94" s="148"/>
      <c r="BV94" s="148"/>
      <c r="BW94" s="148"/>
      <c r="BX94" s="148"/>
      <c r="BY94" s="148"/>
      <c r="BZ94" s="148"/>
      <c r="CA94" s="148"/>
      <c r="CB94" s="148"/>
      <c r="CC94" s="148"/>
      <c r="CD94" s="148"/>
      <c r="CE94" s="148"/>
      <c r="CF94" s="148"/>
      <c r="CG94" s="148"/>
      <c r="CH94" s="148"/>
      <c r="CI94" s="148"/>
      <c r="CJ94" s="148"/>
      <c r="CK94" s="148"/>
      <c r="CL94" s="148"/>
      <c r="CM94" s="148"/>
      <c r="CN94" s="148"/>
      <c r="CO94" s="148"/>
      <c r="CP94" s="148"/>
      <c r="CQ94" s="148"/>
      <c r="CR94" s="148"/>
      <c r="CS94" s="148"/>
      <c r="CT94" s="148"/>
      <c r="CU94" s="148"/>
      <c r="CV94" s="148"/>
      <c r="CW94" s="148"/>
      <c r="CX94" s="148"/>
      <c r="CY94" s="148"/>
      <c r="CZ94" s="148"/>
      <c r="DA94" s="148"/>
      <c r="DB94" s="148"/>
      <c r="DC94" s="148"/>
      <c r="DD94" s="148"/>
      <c r="DE94" s="148"/>
      <c r="DF94" s="148"/>
      <c r="DG94" s="148"/>
      <c r="DH94" s="148"/>
      <c r="DI94" s="148"/>
      <c r="DJ94" s="148"/>
      <c r="DK94" s="148"/>
      <c r="DL94" s="148"/>
      <c r="DM94" s="148"/>
      <c r="DN94" s="148"/>
      <c r="DO94" s="148"/>
      <c r="DP94" s="148"/>
      <c r="DQ94" s="148"/>
      <c r="DR94" s="148"/>
      <c r="DS94" s="148"/>
      <c r="DT94" s="148"/>
      <c r="DU94" s="148"/>
      <c r="DV94" s="148"/>
      <c r="DW94" s="148"/>
      <c r="DX94" s="148"/>
      <c r="DY94" s="148"/>
      <c r="DZ94" s="148"/>
      <c r="EA94" s="148"/>
      <c r="EB94" s="148"/>
      <c r="EC94" s="148"/>
      <c r="ED94" s="148"/>
      <c r="EE94" s="148"/>
      <c r="EF94" s="148"/>
      <c r="EG94" s="148"/>
      <c r="EH94" s="148"/>
      <c r="EI94" s="148"/>
      <c r="EJ94" s="148"/>
      <c r="EK94" s="148"/>
      <c r="EL94" s="148"/>
      <c r="EM94" s="148"/>
      <c r="EN94" s="148"/>
      <c r="EO94" s="148"/>
      <c r="EP94" s="148"/>
      <c r="EQ94" s="148"/>
      <c r="ER94" s="148"/>
      <c r="ES94" s="148"/>
      <c r="ET94" s="148"/>
      <c r="EU94" s="148"/>
      <c r="EV94" s="148"/>
      <c r="EW94" s="148"/>
      <c r="EX94" s="148"/>
      <c r="EY94" s="148"/>
      <c r="EZ94" s="148"/>
      <c r="FA94" s="148"/>
      <c r="FB94" s="148"/>
      <c r="FC94" s="148"/>
      <c r="FD94" s="148"/>
      <c r="FE94" s="148"/>
      <c r="FF94" s="148"/>
      <c r="FG94" s="148"/>
      <c r="FH94" s="148"/>
      <c r="FI94" s="148"/>
      <c r="FJ94" s="148"/>
      <c r="FK94" s="148"/>
      <c r="FL94" s="148"/>
      <c r="FM94" s="148"/>
      <c r="FN94" s="148"/>
      <c r="FO94" s="148"/>
      <c r="FP94" s="148"/>
      <c r="FQ94" s="148"/>
      <c r="FR94" s="148"/>
      <c r="FS94" s="148"/>
      <c r="FT94" s="148"/>
      <c r="FU94" s="148"/>
      <c r="FV94" s="148"/>
      <c r="FW94" s="148"/>
      <c r="FX94" s="148"/>
      <c r="FY94" s="148"/>
      <c r="FZ94" s="148"/>
      <c r="GA94" s="148"/>
      <c r="GB94" s="148"/>
      <c r="GC94" s="148"/>
      <c r="GD94" s="148"/>
      <c r="GE94" s="148"/>
      <c r="GF94" s="148"/>
      <c r="GG94" s="148"/>
      <c r="GH94" s="148"/>
      <c r="GI94" s="148"/>
      <c r="GJ94" s="148"/>
      <c r="GK94" s="148"/>
      <c r="GL94" s="148"/>
      <c r="GM94" s="148"/>
      <c r="GN94" s="148"/>
      <c r="GO94" s="148"/>
      <c r="GP94" s="148"/>
      <c r="GQ94" s="148"/>
      <c r="GR94" s="148"/>
      <c r="GS94" s="148"/>
      <c r="GT94" s="148"/>
      <c r="GU94" s="148"/>
      <c r="GV94" s="148"/>
      <c r="GW94" s="148"/>
      <c r="GX94" s="148"/>
      <c r="GY94" s="148"/>
      <c r="GZ94" s="148"/>
      <c r="HA94" s="148"/>
      <c r="HB94" s="148"/>
      <c r="HC94" s="148"/>
      <c r="HD94" s="148"/>
      <c r="HE94" s="148"/>
      <c r="HF94" s="148"/>
      <c r="HG94" s="148"/>
      <c r="HH94" s="148"/>
      <c r="HI94" s="148"/>
      <c r="HJ94" s="148"/>
      <c r="HK94" s="148"/>
      <c r="HL94" s="148"/>
      <c r="HM94" s="148"/>
      <c r="HN94" s="148"/>
      <c r="HO94" s="148"/>
      <c r="HP94" s="148"/>
      <c r="HQ94" s="148"/>
      <c r="HR94" s="148"/>
      <c r="HS94" s="148"/>
      <c r="HT94" s="148"/>
      <c r="HU94" s="148"/>
      <c r="HV94" s="148"/>
      <c r="HW94" s="148"/>
      <c r="HX94" s="148"/>
      <c r="HY94" s="148"/>
      <c r="HZ94" s="148"/>
      <c r="IA94" s="148"/>
      <c r="IB94" s="148"/>
      <c r="IC94" s="148"/>
      <c r="ID94" s="148"/>
      <c r="IE94" s="148"/>
      <c r="IF94" s="148"/>
      <c r="IG94" s="148"/>
      <c r="IH94" s="148"/>
      <c r="II94" s="148"/>
      <c r="IJ94" s="148"/>
      <c r="IK94" s="148"/>
      <c r="IL94" s="148"/>
      <c r="IM94" s="148"/>
      <c r="IN94" s="148"/>
      <c r="IO94" s="148"/>
      <c r="IP94" s="148"/>
      <c r="IQ94" s="148"/>
      <c r="IR94" s="148"/>
      <c r="IS94" s="148"/>
      <c r="IT94" s="148"/>
      <c r="IU94" s="148"/>
      <c r="IV94" s="148"/>
      <c r="IW94" s="148"/>
      <c r="IX94" s="148"/>
      <c r="IY94" s="148"/>
      <c r="IZ94" s="148"/>
      <c r="JA94" s="148"/>
    </row>
    <row r="95" spans="1:261" s="272" customFormat="1" ht="18" customHeight="1" x14ac:dyDescent="0.35">
      <c r="A95" s="1423">
        <v>84</v>
      </c>
      <c r="B95" s="1557"/>
      <c r="C95" s="1582"/>
      <c r="D95" s="1163" t="s">
        <v>1064</v>
      </c>
      <c r="E95" s="1560"/>
      <c r="F95" s="1561"/>
      <c r="G95" s="1562"/>
      <c r="H95" s="1563"/>
      <c r="I95" s="1564"/>
      <c r="J95" s="1565"/>
      <c r="K95" s="1574">
        <v>10750</v>
      </c>
      <c r="L95" s="1574"/>
      <c r="M95" s="1574">
        <v>771853</v>
      </c>
      <c r="N95" s="1565"/>
      <c r="O95" s="1576">
        <f>SUM(I95:N95)</f>
        <v>782603</v>
      </c>
      <c r="P95" s="1567"/>
      <c r="Q95" s="148"/>
      <c r="R95" s="148"/>
      <c r="S95" s="148"/>
      <c r="T95" s="148"/>
      <c r="U95" s="148"/>
      <c r="V95" s="148"/>
      <c r="W95" s="148"/>
      <c r="X95" s="148"/>
      <c r="Y95" s="148"/>
      <c r="Z95" s="148"/>
      <c r="AA95" s="148"/>
      <c r="AB95" s="148"/>
      <c r="AC95" s="148"/>
      <c r="AD95" s="148"/>
      <c r="AE95" s="148"/>
      <c r="AF95" s="148"/>
      <c r="AG95" s="148"/>
      <c r="AH95" s="148"/>
      <c r="AI95" s="148"/>
      <c r="AJ95" s="148"/>
      <c r="AK95" s="148"/>
      <c r="AL95" s="148"/>
      <c r="AM95" s="148"/>
      <c r="AN95" s="148"/>
      <c r="AO95" s="148"/>
      <c r="AP95" s="148"/>
      <c r="AQ95" s="148"/>
      <c r="AR95" s="148"/>
      <c r="AS95" s="148"/>
      <c r="AT95" s="148"/>
      <c r="AU95" s="148"/>
      <c r="AV95" s="148"/>
      <c r="AW95" s="148"/>
      <c r="AX95" s="148"/>
      <c r="AY95" s="148"/>
      <c r="AZ95" s="148"/>
      <c r="BA95" s="148"/>
      <c r="BB95" s="148"/>
      <c r="BC95" s="148"/>
      <c r="BD95" s="148"/>
      <c r="BE95" s="148"/>
      <c r="BF95" s="148"/>
      <c r="BG95" s="148"/>
      <c r="BH95" s="148"/>
      <c r="BI95" s="148"/>
      <c r="BJ95" s="148"/>
      <c r="BK95" s="148"/>
      <c r="BL95" s="148"/>
      <c r="BM95" s="148"/>
      <c r="BN95" s="148"/>
      <c r="BO95" s="148"/>
      <c r="BP95" s="148"/>
      <c r="BQ95" s="148"/>
      <c r="BR95" s="148"/>
      <c r="BS95" s="148"/>
      <c r="BT95" s="148"/>
      <c r="BU95" s="148"/>
      <c r="BV95" s="148"/>
      <c r="BW95" s="148"/>
      <c r="BX95" s="148"/>
      <c r="BY95" s="148"/>
      <c r="BZ95" s="148"/>
      <c r="CA95" s="148"/>
      <c r="CB95" s="148"/>
      <c r="CC95" s="148"/>
      <c r="CD95" s="148"/>
      <c r="CE95" s="148"/>
      <c r="CF95" s="148"/>
      <c r="CG95" s="148"/>
      <c r="CH95" s="148"/>
      <c r="CI95" s="148"/>
      <c r="CJ95" s="148"/>
      <c r="CK95" s="148"/>
      <c r="CL95" s="148"/>
      <c r="CM95" s="148"/>
      <c r="CN95" s="148"/>
      <c r="CO95" s="148"/>
      <c r="CP95" s="148"/>
      <c r="CQ95" s="148"/>
      <c r="CR95" s="148"/>
      <c r="CS95" s="148"/>
      <c r="CT95" s="148"/>
      <c r="CU95" s="148"/>
      <c r="CV95" s="148"/>
      <c r="CW95" s="148"/>
      <c r="CX95" s="148"/>
      <c r="CY95" s="148"/>
      <c r="CZ95" s="148"/>
      <c r="DA95" s="148"/>
      <c r="DB95" s="148"/>
      <c r="DC95" s="148"/>
      <c r="DD95" s="148"/>
      <c r="DE95" s="148"/>
      <c r="DF95" s="148"/>
      <c r="DG95" s="148"/>
      <c r="DH95" s="148"/>
      <c r="DI95" s="148"/>
      <c r="DJ95" s="148"/>
      <c r="DK95" s="148"/>
      <c r="DL95" s="148"/>
      <c r="DM95" s="148"/>
      <c r="DN95" s="148"/>
      <c r="DO95" s="148"/>
      <c r="DP95" s="148"/>
      <c r="DQ95" s="148"/>
      <c r="DR95" s="148"/>
      <c r="DS95" s="148"/>
      <c r="DT95" s="148"/>
      <c r="DU95" s="148"/>
      <c r="DV95" s="148"/>
      <c r="DW95" s="148"/>
      <c r="DX95" s="148"/>
      <c r="DY95" s="148"/>
      <c r="DZ95" s="148"/>
      <c r="EA95" s="148"/>
      <c r="EB95" s="148"/>
      <c r="EC95" s="148"/>
      <c r="ED95" s="148"/>
      <c r="EE95" s="148"/>
      <c r="EF95" s="148"/>
      <c r="EG95" s="148"/>
      <c r="EH95" s="148"/>
      <c r="EI95" s="148"/>
      <c r="EJ95" s="148"/>
      <c r="EK95" s="148"/>
      <c r="EL95" s="148"/>
      <c r="EM95" s="148"/>
      <c r="EN95" s="148"/>
      <c r="EO95" s="148"/>
      <c r="EP95" s="148"/>
      <c r="EQ95" s="148"/>
      <c r="ER95" s="148"/>
      <c r="ES95" s="148"/>
      <c r="ET95" s="148"/>
      <c r="EU95" s="148"/>
      <c r="EV95" s="148"/>
      <c r="EW95" s="148"/>
      <c r="EX95" s="148"/>
      <c r="EY95" s="148"/>
      <c r="EZ95" s="148"/>
      <c r="FA95" s="148"/>
      <c r="FB95" s="148"/>
      <c r="FC95" s="148"/>
      <c r="FD95" s="148"/>
      <c r="FE95" s="148"/>
      <c r="FF95" s="148"/>
      <c r="FG95" s="148"/>
      <c r="FH95" s="148"/>
      <c r="FI95" s="148"/>
      <c r="FJ95" s="148"/>
      <c r="FK95" s="148"/>
      <c r="FL95" s="148"/>
      <c r="FM95" s="148"/>
      <c r="FN95" s="148"/>
      <c r="FO95" s="148"/>
      <c r="FP95" s="148"/>
      <c r="FQ95" s="148"/>
      <c r="FR95" s="148"/>
      <c r="FS95" s="148"/>
      <c r="FT95" s="148"/>
      <c r="FU95" s="148"/>
      <c r="FV95" s="148"/>
      <c r="FW95" s="148"/>
      <c r="FX95" s="148"/>
      <c r="FY95" s="148"/>
      <c r="FZ95" s="148"/>
      <c r="GA95" s="148"/>
      <c r="GB95" s="148"/>
      <c r="GC95" s="148"/>
      <c r="GD95" s="148"/>
      <c r="GE95" s="148"/>
      <c r="GF95" s="148"/>
      <c r="GG95" s="148"/>
      <c r="GH95" s="148"/>
      <c r="GI95" s="148"/>
      <c r="GJ95" s="148"/>
      <c r="GK95" s="148"/>
      <c r="GL95" s="148"/>
      <c r="GM95" s="148"/>
      <c r="GN95" s="148"/>
      <c r="GO95" s="148"/>
      <c r="GP95" s="148"/>
      <c r="GQ95" s="148"/>
      <c r="GR95" s="148"/>
      <c r="GS95" s="148"/>
      <c r="GT95" s="148"/>
      <c r="GU95" s="148"/>
      <c r="GV95" s="148"/>
      <c r="GW95" s="148"/>
      <c r="GX95" s="148"/>
      <c r="GY95" s="148"/>
      <c r="GZ95" s="148"/>
      <c r="HA95" s="148"/>
      <c r="HB95" s="148"/>
      <c r="HC95" s="148"/>
      <c r="HD95" s="148"/>
      <c r="HE95" s="148"/>
      <c r="HF95" s="148"/>
      <c r="HG95" s="148"/>
      <c r="HH95" s="148"/>
      <c r="HI95" s="148"/>
      <c r="HJ95" s="148"/>
      <c r="HK95" s="148"/>
      <c r="HL95" s="148"/>
      <c r="HM95" s="148"/>
      <c r="HN95" s="148"/>
      <c r="HO95" s="148"/>
      <c r="HP95" s="148"/>
      <c r="HQ95" s="148"/>
      <c r="HR95" s="148"/>
      <c r="HS95" s="148"/>
      <c r="HT95" s="148"/>
      <c r="HU95" s="148"/>
      <c r="HV95" s="148"/>
      <c r="HW95" s="148"/>
      <c r="HX95" s="148"/>
      <c r="HY95" s="148"/>
      <c r="HZ95" s="148"/>
      <c r="IA95" s="148"/>
      <c r="IB95" s="148"/>
      <c r="IC95" s="148"/>
      <c r="ID95" s="148"/>
      <c r="IE95" s="148"/>
      <c r="IF95" s="148"/>
      <c r="IG95" s="148"/>
      <c r="IH95" s="148"/>
      <c r="II95" s="148"/>
      <c r="IJ95" s="148"/>
      <c r="IK95" s="148"/>
      <c r="IL95" s="148"/>
      <c r="IM95" s="148"/>
      <c r="IN95" s="148"/>
      <c r="IO95" s="148"/>
      <c r="IP95" s="148"/>
      <c r="IQ95" s="148"/>
      <c r="IR95" s="148"/>
      <c r="IS95" s="148"/>
      <c r="IT95" s="148"/>
      <c r="IU95" s="148"/>
      <c r="IV95" s="148"/>
      <c r="IW95" s="148"/>
      <c r="IX95" s="148"/>
      <c r="IY95" s="148"/>
      <c r="IZ95" s="148"/>
      <c r="JA95" s="148"/>
    </row>
    <row r="96" spans="1:261" s="272" customFormat="1" ht="18" customHeight="1" x14ac:dyDescent="0.35">
      <c r="A96" s="1423">
        <v>85</v>
      </c>
      <c r="B96" s="1557"/>
      <c r="C96" s="1582"/>
      <c r="D96" s="1174" t="s">
        <v>999</v>
      </c>
      <c r="E96" s="1560"/>
      <c r="F96" s="1561"/>
      <c r="G96" s="1562"/>
      <c r="H96" s="1563"/>
      <c r="I96" s="1580"/>
      <c r="J96" s="1574"/>
      <c r="K96" s="1574"/>
      <c r="L96" s="1574"/>
      <c r="M96" s="1574"/>
      <c r="N96" s="1574"/>
      <c r="O96" s="1578">
        <f>SUM(I96:N96)</f>
        <v>0</v>
      </c>
      <c r="P96" s="1567"/>
      <c r="Q96" s="148"/>
      <c r="R96" s="148"/>
      <c r="S96" s="148"/>
      <c r="T96" s="148"/>
      <c r="U96" s="148"/>
      <c r="V96" s="148"/>
      <c r="W96" s="148"/>
      <c r="X96" s="148"/>
      <c r="Y96" s="148"/>
      <c r="Z96" s="148"/>
      <c r="AA96" s="148"/>
      <c r="AB96" s="148"/>
      <c r="AC96" s="148"/>
      <c r="AD96" s="148"/>
      <c r="AE96" s="148"/>
      <c r="AF96" s="148"/>
      <c r="AG96" s="148"/>
      <c r="AH96" s="148"/>
      <c r="AI96" s="148"/>
      <c r="AJ96" s="148"/>
      <c r="AK96" s="148"/>
      <c r="AL96" s="148"/>
      <c r="AM96" s="148"/>
      <c r="AN96" s="148"/>
      <c r="AO96" s="148"/>
      <c r="AP96" s="148"/>
      <c r="AQ96" s="148"/>
      <c r="AR96" s="148"/>
      <c r="AS96" s="148"/>
      <c r="AT96" s="148"/>
      <c r="AU96" s="148"/>
      <c r="AV96" s="148"/>
      <c r="AW96" s="148"/>
      <c r="AX96" s="148"/>
      <c r="AY96" s="148"/>
      <c r="AZ96" s="148"/>
      <c r="BA96" s="148"/>
      <c r="BB96" s="148"/>
      <c r="BC96" s="148"/>
      <c r="BD96" s="148"/>
      <c r="BE96" s="148"/>
      <c r="BF96" s="148"/>
      <c r="BG96" s="148"/>
      <c r="BH96" s="148"/>
      <c r="BI96" s="148"/>
      <c r="BJ96" s="148"/>
      <c r="BK96" s="148"/>
      <c r="BL96" s="148"/>
      <c r="BM96" s="148"/>
      <c r="BN96" s="148"/>
      <c r="BO96" s="148"/>
      <c r="BP96" s="148"/>
      <c r="BQ96" s="148"/>
      <c r="BR96" s="148"/>
      <c r="BS96" s="148"/>
      <c r="BT96" s="148"/>
      <c r="BU96" s="148"/>
      <c r="BV96" s="148"/>
      <c r="BW96" s="148"/>
      <c r="BX96" s="148"/>
      <c r="BY96" s="148"/>
      <c r="BZ96" s="148"/>
      <c r="CA96" s="148"/>
      <c r="CB96" s="148"/>
      <c r="CC96" s="148"/>
      <c r="CD96" s="148"/>
      <c r="CE96" s="148"/>
      <c r="CF96" s="148"/>
      <c r="CG96" s="148"/>
      <c r="CH96" s="148"/>
      <c r="CI96" s="148"/>
      <c r="CJ96" s="148"/>
      <c r="CK96" s="148"/>
      <c r="CL96" s="148"/>
      <c r="CM96" s="148"/>
      <c r="CN96" s="148"/>
      <c r="CO96" s="148"/>
      <c r="CP96" s="148"/>
      <c r="CQ96" s="148"/>
      <c r="CR96" s="148"/>
      <c r="CS96" s="148"/>
      <c r="CT96" s="148"/>
      <c r="CU96" s="148"/>
      <c r="CV96" s="148"/>
      <c r="CW96" s="148"/>
      <c r="CX96" s="148"/>
      <c r="CY96" s="148"/>
      <c r="CZ96" s="148"/>
      <c r="DA96" s="148"/>
      <c r="DB96" s="148"/>
      <c r="DC96" s="148"/>
      <c r="DD96" s="148"/>
      <c r="DE96" s="148"/>
      <c r="DF96" s="148"/>
      <c r="DG96" s="148"/>
      <c r="DH96" s="148"/>
      <c r="DI96" s="148"/>
      <c r="DJ96" s="148"/>
      <c r="DK96" s="148"/>
      <c r="DL96" s="148"/>
      <c r="DM96" s="148"/>
      <c r="DN96" s="148"/>
      <c r="DO96" s="148"/>
      <c r="DP96" s="148"/>
      <c r="DQ96" s="148"/>
      <c r="DR96" s="148"/>
      <c r="DS96" s="148"/>
      <c r="DT96" s="148"/>
      <c r="DU96" s="148"/>
      <c r="DV96" s="148"/>
      <c r="DW96" s="148"/>
      <c r="DX96" s="148"/>
      <c r="DY96" s="148"/>
      <c r="DZ96" s="148"/>
      <c r="EA96" s="148"/>
      <c r="EB96" s="148"/>
      <c r="EC96" s="148"/>
      <c r="ED96" s="148"/>
      <c r="EE96" s="148"/>
      <c r="EF96" s="148"/>
      <c r="EG96" s="148"/>
      <c r="EH96" s="148"/>
      <c r="EI96" s="148"/>
      <c r="EJ96" s="148"/>
      <c r="EK96" s="148"/>
      <c r="EL96" s="148"/>
      <c r="EM96" s="148"/>
      <c r="EN96" s="148"/>
      <c r="EO96" s="148"/>
      <c r="EP96" s="148"/>
      <c r="EQ96" s="148"/>
      <c r="ER96" s="148"/>
      <c r="ES96" s="148"/>
      <c r="ET96" s="148"/>
      <c r="EU96" s="148"/>
      <c r="EV96" s="148"/>
      <c r="EW96" s="148"/>
      <c r="EX96" s="148"/>
      <c r="EY96" s="148"/>
      <c r="EZ96" s="148"/>
      <c r="FA96" s="148"/>
      <c r="FB96" s="148"/>
      <c r="FC96" s="148"/>
      <c r="FD96" s="148"/>
      <c r="FE96" s="148"/>
      <c r="FF96" s="148"/>
      <c r="FG96" s="148"/>
      <c r="FH96" s="148"/>
      <c r="FI96" s="148"/>
      <c r="FJ96" s="148"/>
      <c r="FK96" s="148"/>
      <c r="FL96" s="148"/>
      <c r="FM96" s="148"/>
      <c r="FN96" s="148"/>
      <c r="FO96" s="148"/>
      <c r="FP96" s="148"/>
      <c r="FQ96" s="148"/>
      <c r="FR96" s="148"/>
      <c r="FS96" s="148"/>
      <c r="FT96" s="148"/>
      <c r="FU96" s="148"/>
      <c r="FV96" s="148"/>
      <c r="FW96" s="148"/>
      <c r="FX96" s="148"/>
      <c r="FY96" s="148"/>
      <c r="FZ96" s="148"/>
      <c r="GA96" s="148"/>
      <c r="GB96" s="148"/>
      <c r="GC96" s="148"/>
      <c r="GD96" s="148"/>
      <c r="GE96" s="148"/>
      <c r="GF96" s="148"/>
      <c r="GG96" s="148"/>
      <c r="GH96" s="148"/>
      <c r="GI96" s="148"/>
      <c r="GJ96" s="148"/>
      <c r="GK96" s="148"/>
      <c r="GL96" s="148"/>
      <c r="GM96" s="148"/>
      <c r="GN96" s="148"/>
      <c r="GO96" s="148"/>
      <c r="GP96" s="148"/>
      <c r="GQ96" s="148"/>
      <c r="GR96" s="148"/>
      <c r="GS96" s="148"/>
      <c r="GT96" s="148"/>
      <c r="GU96" s="148"/>
      <c r="GV96" s="148"/>
      <c r="GW96" s="148"/>
      <c r="GX96" s="148"/>
      <c r="GY96" s="148"/>
      <c r="GZ96" s="148"/>
      <c r="HA96" s="148"/>
      <c r="HB96" s="148"/>
      <c r="HC96" s="148"/>
      <c r="HD96" s="148"/>
      <c r="HE96" s="148"/>
      <c r="HF96" s="148"/>
      <c r="HG96" s="148"/>
      <c r="HH96" s="148"/>
      <c r="HI96" s="148"/>
      <c r="HJ96" s="148"/>
      <c r="HK96" s="148"/>
      <c r="HL96" s="148"/>
      <c r="HM96" s="148"/>
      <c r="HN96" s="148"/>
      <c r="HO96" s="148"/>
      <c r="HP96" s="148"/>
      <c r="HQ96" s="148"/>
      <c r="HR96" s="148"/>
      <c r="HS96" s="148"/>
      <c r="HT96" s="148"/>
      <c r="HU96" s="148"/>
      <c r="HV96" s="148"/>
      <c r="HW96" s="148"/>
      <c r="HX96" s="148"/>
      <c r="HY96" s="148"/>
      <c r="HZ96" s="148"/>
      <c r="IA96" s="148"/>
      <c r="IB96" s="148"/>
      <c r="IC96" s="148"/>
      <c r="ID96" s="148"/>
      <c r="IE96" s="148"/>
      <c r="IF96" s="148"/>
      <c r="IG96" s="148"/>
      <c r="IH96" s="148"/>
      <c r="II96" s="148"/>
      <c r="IJ96" s="148"/>
      <c r="IK96" s="148"/>
      <c r="IL96" s="148"/>
      <c r="IM96" s="148"/>
      <c r="IN96" s="148"/>
      <c r="IO96" s="148"/>
      <c r="IP96" s="148"/>
      <c r="IQ96" s="148"/>
      <c r="IR96" s="148"/>
      <c r="IS96" s="148"/>
      <c r="IT96" s="148"/>
      <c r="IU96" s="148"/>
      <c r="IV96" s="148"/>
      <c r="IW96" s="148"/>
      <c r="IX96" s="148"/>
      <c r="IY96" s="148"/>
      <c r="IZ96" s="148"/>
      <c r="JA96" s="148"/>
    </row>
    <row r="97" spans="1:261" s="272" customFormat="1" ht="18" customHeight="1" x14ac:dyDescent="0.35">
      <c r="A97" s="1423">
        <v>86</v>
      </c>
      <c r="B97" s="1557"/>
      <c r="C97" s="1582"/>
      <c r="D97" s="1163" t="s">
        <v>1116</v>
      </c>
      <c r="E97" s="1560"/>
      <c r="F97" s="1561"/>
      <c r="G97" s="1562"/>
      <c r="H97" s="1563"/>
      <c r="I97" s="1580"/>
      <c r="J97" s="1574"/>
      <c r="K97" s="1574">
        <f>SUM(K95:K96)</f>
        <v>10750</v>
      </c>
      <c r="L97" s="1574"/>
      <c r="M97" s="1574">
        <f t="shared" ref="M97" si="13">SUM(M95:M96)</f>
        <v>771853</v>
      </c>
      <c r="N97" s="1574"/>
      <c r="O97" s="1576">
        <f>SUM(I97:N97)</f>
        <v>782603</v>
      </c>
      <c r="P97" s="1567"/>
      <c r="Q97" s="148"/>
      <c r="R97" s="148"/>
      <c r="S97" s="148"/>
      <c r="T97" s="148"/>
      <c r="U97" s="148"/>
      <c r="V97" s="148"/>
      <c r="W97" s="148"/>
      <c r="X97" s="148"/>
      <c r="Y97" s="148"/>
      <c r="Z97" s="148"/>
      <c r="AA97" s="148"/>
      <c r="AB97" s="148"/>
      <c r="AC97" s="148"/>
      <c r="AD97" s="148"/>
      <c r="AE97" s="148"/>
      <c r="AF97" s="148"/>
      <c r="AG97" s="148"/>
      <c r="AH97" s="148"/>
      <c r="AI97" s="148"/>
      <c r="AJ97" s="148"/>
      <c r="AK97" s="148"/>
      <c r="AL97" s="148"/>
      <c r="AM97" s="148"/>
      <c r="AN97" s="148"/>
      <c r="AO97" s="148"/>
      <c r="AP97" s="148"/>
      <c r="AQ97" s="148"/>
      <c r="AR97" s="148"/>
      <c r="AS97" s="148"/>
      <c r="AT97" s="148"/>
      <c r="AU97" s="148"/>
      <c r="AV97" s="148"/>
      <c r="AW97" s="148"/>
      <c r="AX97" s="148"/>
      <c r="AY97" s="148"/>
      <c r="AZ97" s="148"/>
      <c r="BA97" s="148"/>
      <c r="BB97" s="148"/>
      <c r="BC97" s="148"/>
      <c r="BD97" s="148"/>
      <c r="BE97" s="148"/>
      <c r="BF97" s="148"/>
      <c r="BG97" s="148"/>
      <c r="BH97" s="148"/>
      <c r="BI97" s="148"/>
      <c r="BJ97" s="148"/>
      <c r="BK97" s="148"/>
      <c r="BL97" s="148"/>
      <c r="BM97" s="148"/>
      <c r="BN97" s="148"/>
      <c r="BO97" s="148"/>
      <c r="BP97" s="148"/>
      <c r="BQ97" s="148"/>
      <c r="BR97" s="148"/>
      <c r="BS97" s="148"/>
      <c r="BT97" s="148"/>
      <c r="BU97" s="148"/>
      <c r="BV97" s="148"/>
      <c r="BW97" s="148"/>
      <c r="BX97" s="148"/>
      <c r="BY97" s="148"/>
      <c r="BZ97" s="148"/>
      <c r="CA97" s="148"/>
      <c r="CB97" s="148"/>
      <c r="CC97" s="148"/>
      <c r="CD97" s="148"/>
      <c r="CE97" s="148"/>
      <c r="CF97" s="148"/>
      <c r="CG97" s="148"/>
      <c r="CH97" s="148"/>
      <c r="CI97" s="148"/>
      <c r="CJ97" s="148"/>
      <c r="CK97" s="148"/>
      <c r="CL97" s="148"/>
      <c r="CM97" s="148"/>
      <c r="CN97" s="148"/>
      <c r="CO97" s="148"/>
      <c r="CP97" s="148"/>
      <c r="CQ97" s="148"/>
      <c r="CR97" s="148"/>
      <c r="CS97" s="148"/>
      <c r="CT97" s="148"/>
      <c r="CU97" s="148"/>
      <c r="CV97" s="148"/>
      <c r="CW97" s="148"/>
      <c r="CX97" s="148"/>
      <c r="CY97" s="148"/>
      <c r="CZ97" s="148"/>
      <c r="DA97" s="148"/>
      <c r="DB97" s="148"/>
      <c r="DC97" s="148"/>
      <c r="DD97" s="148"/>
      <c r="DE97" s="148"/>
      <c r="DF97" s="148"/>
      <c r="DG97" s="148"/>
      <c r="DH97" s="148"/>
      <c r="DI97" s="148"/>
      <c r="DJ97" s="148"/>
      <c r="DK97" s="148"/>
      <c r="DL97" s="148"/>
      <c r="DM97" s="148"/>
      <c r="DN97" s="148"/>
      <c r="DO97" s="148"/>
      <c r="DP97" s="148"/>
      <c r="DQ97" s="148"/>
      <c r="DR97" s="148"/>
      <c r="DS97" s="148"/>
      <c r="DT97" s="148"/>
      <c r="DU97" s="148"/>
      <c r="DV97" s="148"/>
      <c r="DW97" s="148"/>
      <c r="DX97" s="148"/>
      <c r="DY97" s="148"/>
      <c r="DZ97" s="148"/>
      <c r="EA97" s="148"/>
      <c r="EB97" s="148"/>
      <c r="EC97" s="148"/>
      <c r="ED97" s="148"/>
      <c r="EE97" s="148"/>
      <c r="EF97" s="148"/>
      <c r="EG97" s="148"/>
      <c r="EH97" s="148"/>
      <c r="EI97" s="148"/>
      <c r="EJ97" s="148"/>
      <c r="EK97" s="148"/>
      <c r="EL97" s="148"/>
      <c r="EM97" s="148"/>
      <c r="EN97" s="148"/>
      <c r="EO97" s="148"/>
      <c r="EP97" s="148"/>
      <c r="EQ97" s="148"/>
      <c r="ER97" s="148"/>
      <c r="ES97" s="148"/>
      <c r="ET97" s="148"/>
      <c r="EU97" s="148"/>
      <c r="EV97" s="148"/>
      <c r="EW97" s="148"/>
      <c r="EX97" s="148"/>
      <c r="EY97" s="148"/>
      <c r="EZ97" s="148"/>
      <c r="FA97" s="148"/>
      <c r="FB97" s="148"/>
      <c r="FC97" s="148"/>
      <c r="FD97" s="148"/>
      <c r="FE97" s="148"/>
      <c r="FF97" s="148"/>
      <c r="FG97" s="148"/>
      <c r="FH97" s="148"/>
      <c r="FI97" s="148"/>
      <c r="FJ97" s="148"/>
      <c r="FK97" s="148"/>
      <c r="FL97" s="148"/>
      <c r="FM97" s="148"/>
      <c r="FN97" s="148"/>
      <c r="FO97" s="148"/>
      <c r="FP97" s="148"/>
      <c r="FQ97" s="148"/>
      <c r="FR97" s="148"/>
      <c r="FS97" s="148"/>
      <c r="FT97" s="148"/>
      <c r="FU97" s="148"/>
      <c r="FV97" s="148"/>
      <c r="FW97" s="148"/>
      <c r="FX97" s="148"/>
      <c r="FY97" s="148"/>
      <c r="FZ97" s="148"/>
      <c r="GA97" s="148"/>
      <c r="GB97" s="148"/>
      <c r="GC97" s="148"/>
      <c r="GD97" s="148"/>
      <c r="GE97" s="148"/>
      <c r="GF97" s="148"/>
      <c r="GG97" s="148"/>
      <c r="GH97" s="148"/>
      <c r="GI97" s="148"/>
      <c r="GJ97" s="148"/>
      <c r="GK97" s="148"/>
      <c r="GL97" s="148"/>
      <c r="GM97" s="148"/>
      <c r="GN97" s="148"/>
      <c r="GO97" s="148"/>
      <c r="GP97" s="148"/>
      <c r="GQ97" s="148"/>
      <c r="GR97" s="148"/>
      <c r="GS97" s="148"/>
      <c r="GT97" s="148"/>
      <c r="GU97" s="148"/>
      <c r="GV97" s="148"/>
      <c r="GW97" s="148"/>
      <c r="GX97" s="148"/>
      <c r="GY97" s="148"/>
      <c r="GZ97" s="148"/>
      <c r="HA97" s="148"/>
      <c r="HB97" s="148"/>
      <c r="HC97" s="148"/>
      <c r="HD97" s="148"/>
      <c r="HE97" s="148"/>
      <c r="HF97" s="148"/>
      <c r="HG97" s="148"/>
      <c r="HH97" s="148"/>
      <c r="HI97" s="148"/>
      <c r="HJ97" s="148"/>
      <c r="HK97" s="148"/>
      <c r="HL97" s="148"/>
      <c r="HM97" s="148"/>
      <c r="HN97" s="148"/>
      <c r="HO97" s="148"/>
      <c r="HP97" s="148"/>
      <c r="HQ97" s="148"/>
      <c r="HR97" s="148"/>
      <c r="HS97" s="148"/>
      <c r="HT97" s="148"/>
      <c r="HU97" s="148"/>
      <c r="HV97" s="148"/>
      <c r="HW97" s="148"/>
      <c r="HX97" s="148"/>
      <c r="HY97" s="148"/>
      <c r="HZ97" s="148"/>
      <c r="IA97" s="148"/>
      <c r="IB97" s="148"/>
      <c r="IC97" s="148"/>
      <c r="ID97" s="148"/>
      <c r="IE97" s="148"/>
      <c r="IF97" s="148"/>
      <c r="IG97" s="148"/>
      <c r="IH97" s="148"/>
      <c r="II97" s="148"/>
      <c r="IJ97" s="148"/>
      <c r="IK97" s="148"/>
      <c r="IL97" s="148"/>
      <c r="IM97" s="148"/>
      <c r="IN97" s="148"/>
      <c r="IO97" s="148"/>
      <c r="IP97" s="148"/>
      <c r="IQ97" s="148"/>
      <c r="IR97" s="148"/>
      <c r="IS97" s="148"/>
      <c r="IT97" s="148"/>
      <c r="IU97" s="148"/>
      <c r="IV97" s="148"/>
      <c r="IW97" s="148"/>
      <c r="IX97" s="148"/>
      <c r="IY97" s="148"/>
      <c r="IZ97" s="148"/>
      <c r="JA97" s="148"/>
    </row>
    <row r="98" spans="1:261" s="272" customFormat="1" ht="22.5" customHeight="1" x14ac:dyDescent="0.35">
      <c r="A98" s="1423">
        <v>87</v>
      </c>
      <c r="B98" s="1557"/>
      <c r="C98" s="1558">
        <v>18</v>
      </c>
      <c r="D98" s="150" t="s">
        <v>706</v>
      </c>
      <c r="E98" s="1560"/>
      <c r="F98" s="1561"/>
      <c r="G98" s="1562"/>
      <c r="H98" s="1563" t="s">
        <v>24</v>
      </c>
      <c r="I98" s="1564"/>
      <c r="J98" s="1565"/>
      <c r="K98" s="1565"/>
      <c r="L98" s="1565"/>
      <c r="M98" s="1565"/>
      <c r="N98" s="1565"/>
      <c r="O98" s="1566"/>
      <c r="P98" s="1567"/>
      <c r="Q98" s="148"/>
      <c r="R98" s="148"/>
      <c r="S98" s="148"/>
      <c r="T98" s="148"/>
      <c r="U98" s="148"/>
      <c r="V98" s="148"/>
      <c r="W98" s="148"/>
      <c r="X98" s="148"/>
      <c r="Y98" s="148"/>
      <c r="Z98" s="148"/>
      <c r="AA98" s="148"/>
      <c r="AB98" s="148"/>
      <c r="AC98" s="148"/>
      <c r="AD98" s="148"/>
      <c r="AE98" s="148"/>
      <c r="AF98" s="148"/>
      <c r="AG98" s="148"/>
      <c r="AH98" s="148"/>
      <c r="AI98" s="148"/>
      <c r="AJ98" s="148"/>
      <c r="AK98" s="148"/>
      <c r="AL98" s="148"/>
      <c r="AM98" s="148"/>
      <c r="AN98" s="148"/>
      <c r="AO98" s="148"/>
      <c r="AP98" s="148"/>
      <c r="AQ98" s="148"/>
      <c r="AR98" s="148"/>
      <c r="AS98" s="148"/>
      <c r="AT98" s="148"/>
      <c r="AU98" s="148"/>
      <c r="AV98" s="148"/>
      <c r="AW98" s="148"/>
      <c r="AX98" s="148"/>
      <c r="AY98" s="148"/>
      <c r="AZ98" s="148"/>
      <c r="BA98" s="148"/>
      <c r="BB98" s="148"/>
      <c r="BC98" s="148"/>
      <c r="BD98" s="148"/>
      <c r="BE98" s="148"/>
      <c r="BF98" s="148"/>
      <c r="BG98" s="148"/>
      <c r="BH98" s="148"/>
      <c r="BI98" s="148"/>
      <c r="BJ98" s="148"/>
      <c r="BK98" s="148"/>
      <c r="BL98" s="148"/>
      <c r="BM98" s="148"/>
      <c r="BN98" s="148"/>
      <c r="BO98" s="148"/>
      <c r="BP98" s="148"/>
      <c r="BQ98" s="148"/>
      <c r="BR98" s="148"/>
      <c r="BS98" s="148"/>
      <c r="BT98" s="148"/>
      <c r="BU98" s="148"/>
      <c r="BV98" s="148"/>
      <c r="BW98" s="148"/>
      <c r="BX98" s="148"/>
      <c r="BY98" s="148"/>
      <c r="BZ98" s="148"/>
      <c r="CA98" s="148"/>
      <c r="CB98" s="148"/>
      <c r="CC98" s="148"/>
      <c r="CD98" s="148"/>
      <c r="CE98" s="148"/>
      <c r="CF98" s="148"/>
      <c r="CG98" s="148"/>
      <c r="CH98" s="148"/>
      <c r="CI98" s="148"/>
      <c r="CJ98" s="148"/>
      <c r="CK98" s="148"/>
      <c r="CL98" s="148"/>
      <c r="CM98" s="148"/>
      <c r="CN98" s="148"/>
      <c r="CO98" s="148"/>
      <c r="CP98" s="148"/>
      <c r="CQ98" s="148"/>
      <c r="CR98" s="148"/>
      <c r="CS98" s="148"/>
      <c r="CT98" s="148"/>
      <c r="CU98" s="148"/>
      <c r="CV98" s="148"/>
      <c r="CW98" s="148"/>
      <c r="CX98" s="148"/>
      <c r="CY98" s="148"/>
      <c r="CZ98" s="148"/>
      <c r="DA98" s="148"/>
      <c r="DB98" s="148"/>
      <c r="DC98" s="148"/>
      <c r="DD98" s="148"/>
      <c r="DE98" s="148"/>
      <c r="DF98" s="148"/>
      <c r="DG98" s="148"/>
      <c r="DH98" s="148"/>
      <c r="DI98" s="148"/>
      <c r="DJ98" s="148"/>
      <c r="DK98" s="148"/>
      <c r="DL98" s="148"/>
      <c r="DM98" s="148"/>
      <c r="DN98" s="148"/>
      <c r="DO98" s="148"/>
      <c r="DP98" s="148"/>
      <c r="DQ98" s="148"/>
      <c r="DR98" s="148"/>
      <c r="DS98" s="148"/>
      <c r="DT98" s="148"/>
      <c r="DU98" s="148"/>
      <c r="DV98" s="148"/>
      <c r="DW98" s="148"/>
      <c r="DX98" s="148"/>
      <c r="DY98" s="148"/>
      <c r="DZ98" s="148"/>
      <c r="EA98" s="148"/>
      <c r="EB98" s="148"/>
      <c r="EC98" s="148"/>
      <c r="ED98" s="148"/>
      <c r="EE98" s="148"/>
      <c r="EF98" s="148"/>
      <c r="EG98" s="148"/>
      <c r="EH98" s="148"/>
      <c r="EI98" s="148"/>
      <c r="EJ98" s="148"/>
      <c r="EK98" s="148"/>
      <c r="EL98" s="148"/>
      <c r="EM98" s="148"/>
      <c r="EN98" s="148"/>
      <c r="EO98" s="148"/>
      <c r="EP98" s="148"/>
      <c r="EQ98" s="148"/>
      <c r="ER98" s="148"/>
      <c r="ES98" s="148"/>
      <c r="ET98" s="148"/>
      <c r="EU98" s="148"/>
      <c r="EV98" s="148"/>
      <c r="EW98" s="148"/>
      <c r="EX98" s="148"/>
      <c r="EY98" s="148"/>
      <c r="EZ98" s="148"/>
      <c r="FA98" s="148"/>
      <c r="FB98" s="148"/>
      <c r="FC98" s="148"/>
      <c r="FD98" s="148"/>
      <c r="FE98" s="148"/>
      <c r="FF98" s="148"/>
      <c r="FG98" s="148"/>
      <c r="FH98" s="148"/>
      <c r="FI98" s="148"/>
      <c r="FJ98" s="148"/>
      <c r="FK98" s="148"/>
      <c r="FL98" s="148"/>
      <c r="FM98" s="148"/>
      <c r="FN98" s="148"/>
      <c r="FO98" s="148"/>
      <c r="FP98" s="148"/>
      <c r="FQ98" s="148"/>
      <c r="FR98" s="148"/>
      <c r="FS98" s="148"/>
      <c r="FT98" s="148"/>
      <c r="FU98" s="148"/>
      <c r="FV98" s="148"/>
      <c r="FW98" s="148"/>
      <c r="FX98" s="148"/>
      <c r="FY98" s="148"/>
      <c r="FZ98" s="148"/>
      <c r="GA98" s="148"/>
      <c r="GB98" s="148"/>
      <c r="GC98" s="148"/>
      <c r="GD98" s="148"/>
      <c r="GE98" s="148"/>
      <c r="GF98" s="148"/>
      <c r="GG98" s="148"/>
      <c r="GH98" s="148"/>
      <c r="GI98" s="148"/>
      <c r="GJ98" s="148"/>
      <c r="GK98" s="148"/>
      <c r="GL98" s="148"/>
      <c r="GM98" s="148"/>
      <c r="GN98" s="148"/>
      <c r="GO98" s="148"/>
      <c r="GP98" s="148"/>
      <c r="GQ98" s="148"/>
      <c r="GR98" s="148"/>
      <c r="GS98" s="148"/>
      <c r="GT98" s="148"/>
      <c r="GU98" s="148"/>
      <c r="GV98" s="148"/>
      <c r="GW98" s="148"/>
      <c r="GX98" s="148"/>
      <c r="GY98" s="148"/>
      <c r="GZ98" s="148"/>
      <c r="HA98" s="148"/>
      <c r="HB98" s="148"/>
      <c r="HC98" s="148"/>
      <c r="HD98" s="148"/>
      <c r="HE98" s="148"/>
      <c r="HF98" s="148"/>
      <c r="HG98" s="148"/>
      <c r="HH98" s="148"/>
      <c r="HI98" s="148"/>
      <c r="HJ98" s="148"/>
      <c r="HK98" s="148"/>
      <c r="HL98" s="148"/>
      <c r="HM98" s="148"/>
      <c r="HN98" s="148"/>
      <c r="HO98" s="148"/>
      <c r="HP98" s="148"/>
      <c r="HQ98" s="148"/>
      <c r="HR98" s="148"/>
      <c r="HS98" s="148"/>
      <c r="HT98" s="148"/>
      <c r="HU98" s="148"/>
      <c r="HV98" s="148"/>
      <c r="HW98" s="148"/>
      <c r="HX98" s="148"/>
      <c r="HY98" s="148"/>
      <c r="HZ98" s="148"/>
      <c r="IA98" s="148"/>
      <c r="IB98" s="148"/>
      <c r="IC98" s="148"/>
      <c r="ID98" s="148"/>
      <c r="IE98" s="148"/>
      <c r="IF98" s="148"/>
      <c r="IG98" s="148"/>
      <c r="IH98" s="148"/>
      <c r="II98" s="148"/>
      <c r="IJ98" s="148"/>
      <c r="IK98" s="148"/>
      <c r="IL98" s="148"/>
      <c r="IM98" s="148"/>
      <c r="IN98" s="148"/>
      <c r="IO98" s="148"/>
      <c r="IP98" s="148"/>
      <c r="IQ98" s="148"/>
      <c r="IR98" s="148"/>
      <c r="IS98" s="148"/>
      <c r="IT98" s="148"/>
      <c r="IU98" s="148"/>
      <c r="IV98" s="148"/>
      <c r="IW98" s="148"/>
      <c r="IX98" s="148"/>
      <c r="IY98" s="148"/>
      <c r="IZ98" s="148"/>
      <c r="JA98" s="148"/>
    </row>
    <row r="99" spans="1:261" s="272" customFormat="1" ht="18" customHeight="1" x14ac:dyDescent="0.35">
      <c r="A99" s="1423">
        <v>88</v>
      </c>
      <c r="B99" s="1557"/>
      <c r="C99" s="1582"/>
      <c r="D99" s="1585" t="s">
        <v>311</v>
      </c>
      <c r="E99" s="1560">
        <f>F99+G99+O102+P102</f>
        <v>390564</v>
      </c>
      <c r="F99" s="1561"/>
      <c r="G99" s="1562"/>
      <c r="H99" s="1563"/>
      <c r="I99" s="1564"/>
      <c r="J99" s="1565"/>
      <c r="K99" s="1565"/>
      <c r="L99" s="1565"/>
      <c r="M99" s="1565">
        <v>390564</v>
      </c>
      <c r="N99" s="1565"/>
      <c r="O99" s="1566">
        <f>SUM(I99:N99)</f>
        <v>390564</v>
      </c>
      <c r="P99" s="1567"/>
      <c r="Q99" s="148"/>
      <c r="R99" s="148"/>
      <c r="S99" s="148"/>
      <c r="T99" s="148"/>
      <c r="U99" s="148"/>
      <c r="V99" s="148"/>
      <c r="W99" s="148"/>
      <c r="X99" s="148"/>
      <c r="Y99" s="148"/>
      <c r="Z99" s="148"/>
      <c r="AA99" s="148"/>
      <c r="AB99" s="148"/>
      <c r="AC99" s="148"/>
      <c r="AD99" s="148"/>
      <c r="AE99" s="148"/>
      <c r="AF99" s="148"/>
      <c r="AG99" s="148"/>
      <c r="AH99" s="148"/>
      <c r="AI99" s="148"/>
      <c r="AJ99" s="148"/>
      <c r="AK99" s="148"/>
      <c r="AL99" s="148"/>
      <c r="AM99" s="148"/>
      <c r="AN99" s="148"/>
      <c r="AO99" s="148"/>
      <c r="AP99" s="148"/>
      <c r="AQ99" s="148"/>
      <c r="AR99" s="148"/>
      <c r="AS99" s="148"/>
      <c r="AT99" s="148"/>
      <c r="AU99" s="148"/>
      <c r="AV99" s="148"/>
      <c r="AW99" s="148"/>
      <c r="AX99" s="148"/>
      <c r="AY99" s="148"/>
      <c r="AZ99" s="148"/>
      <c r="BA99" s="148"/>
      <c r="BB99" s="148"/>
      <c r="BC99" s="148"/>
      <c r="BD99" s="148"/>
      <c r="BE99" s="148"/>
      <c r="BF99" s="148"/>
      <c r="BG99" s="148"/>
      <c r="BH99" s="148"/>
      <c r="BI99" s="148"/>
      <c r="BJ99" s="148"/>
      <c r="BK99" s="148"/>
      <c r="BL99" s="148"/>
      <c r="BM99" s="148"/>
      <c r="BN99" s="148"/>
      <c r="BO99" s="148"/>
      <c r="BP99" s="148"/>
      <c r="BQ99" s="148"/>
      <c r="BR99" s="148"/>
      <c r="BS99" s="148"/>
      <c r="BT99" s="148"/>
      <c r="BU99" s="148"/>
      <c r="BV99" s="148"/>
      <c r="BW99" s="148"/>
      <c r="BX99" s="148"/>
      <c r="BY99" s="148"/>
      <c r="BZ99" s="148"/>
      <c r="CA99" s="148"/>
      <c r="CB99" s="148"/>
      <c r="CC99" s="148"/>
      <c r="CD99" s="148"/>
      <c r="CE99" s="148"/>
      <c r="CF99" s="148"/>
      <c r="CG99" s="148"/>
      <c r="CH99" s="148"/>
      <c r="CI99" s="148"/>
      <c r="CJ99" s="148"/>
      <c r="CK99" s="148"/>
      <c r="CL99" s="148"/>
      <c r="CM99" s="148"/>
      <c r="CN99" s="148"/>
      <c r="CO99" s="148"/>
      <c r="CP99" s="148"/>
      <c r="CQ99" s="148"/>
      <c r="CR99" s="148"/>
      <c r="CS99" s="148"/>
      <c r="CT99" s="148"/>
      <c r="CU99" s="148"/>
      <c r="CV99" s="148"/>
      <c r="CW99" s="148"/>
      <c r="CX99" s="148"/>
      <c r="CY99" s="148"/>
      <c r="CZ99" s="148"/>
      <c r="DA99" s="148"/>
      <c r="DB99" s="148"/>
      <c r="DC99" s="148"/>
      <c r="DD99" s="148"/>
      <c r="DE99" s="148"/>
      <c r="DF99" s="148"/>
      <c r="DG99" s="148"/>
      <c r="DH99" s="148"/>
      <c r="DI99" s="148"/>
      <c r="DJ99" s="148"/>
      <c r="DK99" s="148"/>
      <c r="DL99" s="148"/>
      <c r="DM99" s="148"/>
      <c r="DN99" s="148"/>
      <c r="DO99" s="148"/>
      <c r="DP99" s="148"/>
      <c r="DQ99" s="148"/>
      <c r="DR99" s="148"/>
      <c r="DS99" s="148"/>
      <c r="DT99" s="148"/>
      <c r="DU99" s="148"/>
      <c r="DV99" s="148"/>
      <c r="DW99" s="148"/>
      <c r="DX99" s="148"/>
      <c r="DY99" s="148"/>
      <c r="DZ99" s="148"/>
      <c r="EA99" s="148"/>
      <c r="EB99" s="148"/>
      <c r="EC99" s="148"/>
      <c r="ED99" s="148"/>
      <c r="EE99" s="148"/>
      <c r="EF99" s="148"/>
      <c r="EG99" s="148"/>
      <c r="EH99" s="148"/>
      <c r="EI99" s="148"/>
      <c r="EJ99" s="148"/>
      <c r="EK99" s="148"/>
      <c r="EL99" s="148"/>
      <c r="EM99" s="148"/>
      <c r="EN99" s="148"/>
      <c r="EO99" s="148"/>
      <c r="EP99" s="148"/>
      <c r="EQ99" s="148"/>
      <c r="ER99" s="148"/>
      <c r="ES99" s="148"/>
      <c r="ET99" s="148"/>
      <c r="EU99" s="148"/>
      <c r="EV99" s="148"/>
      <c r="EW99" s="148"/>
      <c r="EX99" s="148"/>
      <c r="EY99" s="148"/>
      <c r="EZ99" s="148"/>
      <c r="FA99" s="148"/>
      <c r="FB99" s="148"/>
      <c r="FC99" s="148"/>
      <c r="FD99" s="148"/>
      <c r="FE99" s="148"/>
      <c r="FF99" s="148"/>
      <c r="FG99" s="148"/>
      <c r="FH99" s="148"/>
      <c r="FI99" s="148"/>
      <c r="FJ99" s="148"/>
      <c r="FK99" s="148"/>
      <c r="FL99" s="148"/>
      <c r="FM99" s="148"/>
      <c r="FN99" s="148"/>
      <c r="FO99" s="148"/>
      <c r="FP99" s="148"/>
      <c r="FQ99" s="148"/>
      <c r="FR99" s="148"/>
      <c r="FS99" s="148"/>
      <c r="FT99" s="148"/>
      <c r="FU99" s="148"/>
      <c r="FV99" s="148"/>
      <c r="FW99" s="148"/>
      <c r="FX99" s="148"/>
      <c r="FY99" s="148"/>
      <c r="FZ99" s="148"/>
      <c r="GA99" s="148"/>
      <c r="GB99" s="148"/>
      <c r="GC99" s="148"/>
      <c r="GD99" s="148"/>
      <c r="GE99" s="148"/>
      <c r="GF99" s="148"/>
      <c r="GG99" s="148"/>
      <c r="GH99" s="148"/>
      <c r="GI99" s="148"/>
      <c r="GJ99" s="148"/>
      <c r="GK99" s="148"/>
      <c r="GL99" s="148"/>
      <c r="GM99" s="148"/>
      <c r="GN99" s="148"/>
      <c r="GO99" s="148"/>
      <c r="GP99" s="148"/>
      <c r="GQ99" s="148"/>
      <c r="GR99" s="148"/>
      <c r="GS99" s="148"/>
      <c r="GT99" s="148"/>
      <c r="GU99" s="148"/>
      <c r="GV99" s="148"/>
      <c r="GW99" s="148"/>
      <c r="GX99" s="148"/>
      <c r="GY99" s="148"/>
      <c r="GZ99" s="148"/>
      <c r="HA99" s="148"/>
      <c r="HB99" s="148"/>
      <c r="HC99" s="148"/>
      <c r="HD99" s="148"/>
      <c r="HE99" s="148"/>
      <c r="HF99" s="148"/>
      <c r="HG99" s="148"/>
      <c r="HH99" s="148"/>
      <c r="HI99" s="148"/>
      <c r="HJ99" s="148"/>
      <c r="HK99" s="148"/>
      <c r="HL99" s="148"/>
      <c r="HM99" s="148"/>
      <c r="HN99" s="148"/>
      <c r="HO99" s="148"/>
      <c r="HP99" s="148"/>
      <c r="HQ99" s="148"/>
      <c r="HR99" s="148"/>
      <c r="HS99" s="148"/>
      <c r="HT99" s="148"/>
      <c r="HU99" s="148"/>
      <c r="HV99" s="148"/>
      <c r="HW99" s="148"/>
      <c r="HX99" s="148"/>
      <c r="HY99" s="148"/>
      <c r="HZ99" s="148"/>
      <c r="IA99" s="148"/>
      <c r="IB99" s="148"/>
      <c r="IC99" s="148"/>
      <c r="ID99" s="148"/>
      <c r="IE99" s="148"/>
      <c r="IF99" s="148"/>
      <c r="IG99" s="148"/>
      <c r="IH99" s="148"/>
      <c r="II99" s="148"/>
      <c r="IJ99" s="148"/>
      <c r="IK99" s="148"/>
      <c r="IL99" s="148"/>
      <c r="IM99" s="148"/>
      <c r="IN99" s="148"/>
      <c r="IO99" s="148"/>
      <c r="IP99" s="148"/>
      <c r="IQ99" s="148"/>
      <c r="IR99" s="148"/>
      <c r="IS99" s="148"/>
      <c r="IT99" s="148"/>
      <c r="IU99" s="148"/>
      <c r="IV99" s="148"/>
      <c r="IW99" s="148"/>
      <c r="IX99" s="148"/>
      <c r="IY99" s="148"/>
      <c r="IZ99" s="148"/>
      <c r="JA99" s="148"/>
    </row>
    <row r="100" spans="1:261" s="272" customFormat="1" ht="18" customHeight="1" x14ac:dyDescent="0.35">
      <c r="A100" s="1423">
        <v>89</v>
      </c>
      <c r="B100" s="1557"/>
      <c r="C100" s="1582"/>
      <c r="D100" s="1163" t="s">
        <v>1064</v>
      </c>
      <c r="E100" s="1560"/>
      <c r="F100" s="1561"/>
      <c r="G100" s="1562"/>
      <c r="H100" s="1563"/>
      <c r="I100" s="1564"/>
      <c r="J100" s="1565"/>
      <c r="K100" s="1565"/>
      <c r="L100" s="1565"/>
      <c r="M100" s="1574">
        <v>390564</v>
      </c>
      <c r="N100" s="1565"/>
      <c r="O100" s="1576">
        <f>SUM(I100:N100)</f>
        <v>390564</v>
      </c>
      <c r="P100" s="1567"/>
      <c r="Q100" s="148"/>
      <c r="R100" s="148"/>
      <c r="S100" s="148"/>
      <c r="T100" s="148"/>
      <c r="U100" s="148"/>
      <c r="V100" s="148"/>
      <c r="W100" s="148"/>
      <c r="X100" s="148"/>
      <c r="Y100" s="148"/>
      <c r="Z100" s="148"/>
      <c r="AA100" s="148"/>
      <c r="AB100" s="148"/>
      <c r="AC100" s="148"/>
      <c r="AD100" s="148"/>
      <c r="AE100" s="148"/>
      <c r="AF100" s="148"/>
      <c r="AG100" s="148"/>
      <c r="AH100" s="148"/>
      <c r="AI100" s="148"/>
      <c r="AJ100" s="148"/>
      <c r="AK100" s="148"/>
      <c r="AL100" s="148"/>
      <c r="AM100" s="148"/>
      <c r="AN100" s="148"/>
      <c r="AO100" s="148"/>
      <c r="AP100" s="148"/>
      <c r="AQ100" s="148"/>
      <c r="AR100" s="148"/>
      <c r="AS100" s="148"/>
      <c r="AT100" s="148"/>
      <c r="AU100" s="148"/>
      <c r="AV100" s="148"/>
      <c r="AW100" s="148"/>
      <c r="AX100" s="148"/>
      <c r="AY100" s="148"/>
      <c r="AZ100" s="148"/>
      <c r="BA100" s="148"/>
      <c r="BB100" s="148"/>
      <c r="BC100" s="148"/>
      <c r="BD100" s="148"/>
      <c r="BE100" s="148"/>
      <c r="BF100" s="148"/>
      <c r="BG100" s="148"/>
      <c r="BH100" s="148"/>
      <c r="BI100" s="148"/>
      <c r="BJ100" s="148"/>
      <c r="BK100" s="148"/>
      <c r="BL100" s="148"/>
      <c r="BM100" s="148"/>
      <c r="BN100" s="148"/>
      <c r="BO100" s="148"/>
      <c r="BP100" s="148"/>
      <c r="BQ100" s="148"/>
      <c r="BR100" s="148"/>
      <c r="BS100" s="148"/>
      <c r="BT100" s="148"/>
      <c r="BU100" s="148"/>
      <c r="BV100" s="148"/>
      <c r="BW100" s="148"/>
      <c r="BX100" s="148"/>
      <c r="BY100" s="148"/>
      <c r="BZ100" s="148"/>
      <c r="CA100" s="148"/>
      <c r="CB100" s="148"/>
      <c r="CC100" s="148"/>
      <c r="CD100" s="148"/>
      <c r="CE100" s="148"/>
      <c r="CF100" s="148"/>
      <c r="CG100" s="148"/>
      <c r="CH100" s="148"/>
      <c r="CI100" s="148"/>
      <c r="CJ100" s="148"/>
      <c r="CK100" s="148"/>
      <c r="CL100" s="148"/>
      <c r="CM100" s="148"/>
      <c r="CN100" s="148"/>
      <c r="CO100" s="148"/>
      <c r="CP100" s="148"/>
      <c r="CQ100" s="148"/>
      <c r="CR100" s="148"/>
      <c r="CS100" s="148"/>
      <c r="CT100" s="148"/>
      <c r="CU100" s="148"/>
      <c r="CV100" s="148"/>
      <c r="CW100" s="148"/>
      <c r="CX100" s="148"/>
      <c r="CY100" s="148"/>
      <c r="CZ100" s="148"/>
      <c r="DA100" s="148"/>
      <c r="DB100" s="148"/>
      <c r="DC100" s="148"/>
      <c r="DD100" s="148"/>
      <c r="DE100" s="148"/>
      <c r="DF100" s="148"/>
      <c r="DG100" s="148"/>
      <c r="DH100" s="148"/>
      <c r="DI100" s="148"/>
      <c r="DJ100" s="148"/>
      <c r="DK100" s="148"/>
      <c r="DL100" s="148"/>
      <c r="DM100" s="148"/>
      <c r="DN100" s="148"/>
      <c r="DO100" s="148"/>
      <c r="DP100" s="148"/>
      <c r="DQ100" s="148"/>
      <c r="DR100" s="148"/>
      <c r="DS100" s="148"/>
      <c r="DT100" s="148"/>
      <c r="DU100" s="148"/>
      <c r="DV100" s="148"/>
      <c r="DW100" s="148"/>
      <c r="DX100" s="148"/>
      <c r="DY100" s="148"/>
      <c r="DZ100" s="148"/>
      <c r="EA100" s="148"/>
      <c r="EB100" s="148"/>
      <c r="EC100" s="148"/>
      <c r="ED100" s="148"/>
      <c r="EE100" s="148"/>
      <c r="EF100" s="148"/>
      <c r="EG100" s="148"/>
      <c r="EH100" s="148"/>
      <c r="EI100" s="148"/>
      <c r="EJ100" s="148"/>
      <c r="EK100" s="148"/>
      <c r="EL100" s="148"/>
      <c r="EM100" s="148"/>
      <c r="EN100" s="148"/>
      <c r="EO100" s="148"/>
      <c r="EP100" s="148"/>
      <c r="EQ100" s="148"/>
      <c r="ER100" s="148"/>
      <c r="ES100" s="148"/>
      <c r="ET100" s="148"/>
      <c r="EU100" s="148"/>
      <c r="EV100" s="148"/>
      <c r="EW100" s="148"/>
      <c r="EX100" s="148"/>
      <c r="EY100" s="148"/>
      <c r="EZ100" s="148"/>
      <c r="FA100" s="148"/>
      <c r="FB100" s="148"/>
      <c r="FC100" s="148"/>
      <c r="FD100" s="148"/>
      <c r="FE100" s="148"/>
      <c r="FF100" s="148"/>
      <c r="FG100" s="148"/>
      <c r="FH100" s="148"/>
      <c r="FI100" s="148"/>
      <c r="FJ100" s="148"/>
      <c r="FK100" s="148"/>
      <c r="FL100" s="148"/>
      <c r="FM100" s="148"/>
      <c r="FN100" s="148"/>
      <c r="FO100" s="148"/>
      <c r="FP100" s="148"/>
      <c r="FQ100" s="148"/>
      <c r="FR100" s="148"/>
      <c r="FS100" s="148"/>
      <c r="FT100" s="148"/>
      <c r="FU100" s="148"/>
      <c r="FV100" s="148"/>
      <c r="FW100" s="148"/>
      <c r="FX100" s="148"/>
      <c r="FY100" s="148"/>
      <c r="FZ100" s="148"/>
      <c r="GA100" s="148"/>
      <c r="GB100" s="148"/>
      <c r="GC100" s="148"/>
      <c r="GD100" s="148"/>
      <c r="GE100" s="148"/>
      <c r="GF100" s="148"/>
      <c r="GG100" s="148"/>
      <c r="GH100" s="148"/>
      <c r="GI100" s="148"/>
      <c r="GJ100" s="148"/>
      <c r="GK100" s="148"/>
      <c r="GL100" s="148"/>
      <c r="GM100" s="148"/>
      <c r="GN100" s="148"/>
      <c r="GO100" s="148"/>
      <c r="GP100" s="148"/>
      <c r="GQ100" s="148"/>
      <c r="GR100" s="148"/>
      <c r="GS100" s="148"/>
      <c r="GT100" s="148"/>
      <c r="GU100" s="148"/>
      <c r="GV100" s="148"/>
      <c r="GW100" s="148"/>
      <c r="GX100" s="148"/>
      <c r="GY100" s="148"/>
      <c r="GZ100" s="148"/>
      <c r="HA100" s="148"/>
      <c r="HB100" s="148"/>
      <c r="HC100" s="148"/>
      <c r="HD100" s="148"/>
      <c r="HE100" s="148"/>
      <c r="HF100" s="148"/>
      <c r="HG100" s="148"/>
      <c r="HH100" s="148"/>
      <c r="HI100" s="148"/>
      <c r="HJ100" s="148"/>
      <c r="HK100" s="148"/>
      <c r="HL100" s="148"/>
      <c r="HM100" s="148"/>
      <c r="HN100" s="148"/>
      <c r="HO100" s="148"/>
      <c r="HP100" s="148"/>
      <c r="HQ100" s="148"/>
      <c r="HR100" s="148"/>
      <c r="HS100" s="148"/>
      <c r="HT100" s="148"/>
      <c r="HU100" s="148"/>
      <c r="HV100" s="148"/>
      <c r="HW100" s="148"/>
      <c r="HX100" s="148"/>
      <c r="HY100" s="148"/>
      <c r="HZ100" s="148"/>
      <c r="IA100" s="148"/>
      <c r="IB100" s="148"/>
      <c r="IC100" s="148"/>
      <c r="ID100" s="148"/>
      <c r="IE100" s="148"/>
      <c r="IF100" s="148"/>
      <c r="IG100" s="148"/>
      <c r="IH100" s="148"/>
      <c r="II100" s="148"/>
      <c r="IJ100" s="148"/>
      <c r="IK100" s="148"/>
      <c r="IL100" s="148"/>
      <c r="IM100" s="148"/>
      <c r="IN100" s="148"/>
      <c r="IO100" s="148"/>
      <c r="IP100" s="148"/>
      <c r="IQ100" s="148"/>
      <c r="IR100" s="148"/>
      <c r="IS100" s="148"/>
      <c r="IT100" s="148"/>
      <c r="IU100" s="148"/>
      <c r="IV100" s="148"/>
      <c r="IW100" s="148"/>
      <c r="IX100" s="148"/>
      <c r="IY100" s="148"/>
      <c r="IZ100" s="148"/>
      <c r="JA100" s="148"/>
    </row>
    <row r="101" spans="1:261" s="272" customFormat="1" ht="18" customHeight="1" x14ac:dyDescent="0.35">
      <c r="A101" s="1423">
        <v>90</v>
      </c>
      <c r="B101" s="1557"/>
      <c r="C101" s="1582"/>
      <c r="D101" s="1174" t="s">
        <v>999</v>
      </c>
      <c r="E101" s="1560"/>
      <c r="F101" s="1561"/>
      <c r="G101" s="1562"/>
      <c r="H101" s="1563"/>
      <c r="I101" s="1580"/>
      <c r="J101" s="1574"/>
      <c r="K101" s="1574"/>
      <c r="L101" s="1574"/>
      <c r="M101" s="1574"/>
      <c r="N101" s="1574"/>
      <c r="O101" s="1578">
        <f>SUM(I101:N101)</f>
        <v>0</v>
      </c>
      <c r="P101" s="1567"/>
      <c r="Q101" s="148"/>
      <c r="R101" s="148"/>
      <c r="S101" s="148"/>
      <c r="T101" s="148"/>
      <c r="U101" s="148"/>
      <c r="V101" s="148"/>
      <c r="W101" s="148"/>
      <c r="X101" s="148"/>
      <c r="Y101" s="148"/>
      <c r="Z101" s="148"/>
      <c r="AA101" s="148"/>
      <c r="AB101" s="148"/>
      <c r="AC101" s="148"/>
      <c r="AD101" s="148"/>
      <c r="AE101" s="148"/>
      <c r="AF101" s="148"/>
      <c r="AG101" s="148"/>
      <c r="AH101" s="148"/>
      <c r="AI101" s="148"/>
      <c r="AJ101" s="148"/>
      <c r="AK101" s="148"/>
      <c r="AL101" s="148"/>
      <c r="AM101" s="148"/>
      <c r="AN101" s="148"/>
      <c r="AO101" s="148"/>
      <c r="AP101" s="148"/>
      <c r="AQ101" s="148"/>
      <c r="AR101" s="148"/>
      <c r="AS101" s="148"/>
      <c r="AT101" s="148"/>
      <c r="AU101" s="148"/>
      <c r="AV101" s="148"/>
      <c r="AW101" s="148"/>
      <c r="AX101" s="148"/>
      <c r="AY101" s="148"/>
      <c r="AZ101" s="148"/>
      <c r="BA101" s="148"/>
      <c r="BB101" s="148"/>
      <c r="BC101" s="148"/>
      <c r="BD101" s="148"/>
      <c r="BE101" s="148"/>
      <c r="BF101" s="148"/>
      <c r="BG101" s="148"/>
      <c r="BH101" s="148"/>
      <c r="BI101" s="148"/>
      <c r="BJ101" s="148"/>
      <c r="BK101" s="148"/>
      <c r="BL101" s="148"/>
      <c r="BM101" s="148"/>
      <c r="BN101" s="148"/>
      <c r="BO101" s="148"/>
      <c r="BP101" s="148"/>
      <c r="BQ101" s="148"/>
      <c r="BR101" s="148"/>
      <c r="BS101" s="148"/>
      <c r="BT101" s="148"/>
      <c r="BU101" s="148"/>
      <c r="BV101" s="148"/>
      <c r="BW101" s="148"/>
      <c r="BX101" s="148"/>
      <c r="BY101" s="148"/>
      <c r="BZ101" s="148"/>
      <c r="CA101" s="148"/>
      <c r="CB101" s="148"/>
      <c r="CC101" s="148"/>
      <c r="CD101" s="148"/>
      <c r="CE101" s="148"/>
      <c r="CF101" s="148"/>
      <c r="CG101" s="148"/>
      <c r="CH101" s="148"/>
      <c r="CI101" s="148"/>
      <c r="CJ101" s="148"/>
      <c r="CK101" s="148"/>
      <c r="CL101" s="148"/>
      <c r="CM101" s="148"/>
      <c r="CN101" s="148"/>
      <c r="CO101" s="148"/>
      <c r="CP101" s="148"/>
      <c r="CQ101" s="148"/>
      <c r="CR101" s="148"/>
      <c r="CS101" s="148"/>
      <c r="CT101" s="148"/>
      <c r="CU101" s="148"/>
      <c r="CV101" s="148"/>
      <c r="CW101" s="148"/>
      <c r="CX101" s="148"/>
      <c r="CY101" s="148"/>
      <c r="CZ101" s="148"/>
      <c r="DA101" s="148"/>
      <c r="DB101" s="148"/>
      <c r="DC101" s="148"/>
      <c r="DD101" s="148"/>
      <c r="DE101" s="148"/>
      <c r="DF101" s="148"/>
      <c r="DG101" s="148"/>
      <c r="DH101" s="148"/>
      <c r="DI101" s="148"/>
      <c r="DJ101" s="148"/>
      <c r="DK101" s="148"/>
      <c r="DL101" s="148"/>
      <c r="DM101" s="148"/>
      <c r="DN101" s="148"/>
      <c r="DO101" s="148"/>
      <c r="DP101" s="148"/>
      <c r="DQ101" s="148"/>
      <c r="DR101" s="148"/>
      <c r="DS101" s="148"/>
      <c r="DT101" s="148"/>
      <c r="DU101" s="148"/>
      <c r="DV101" s="148"/>
      <c r="DW101" s="148"/>
      <c r="DX101" s="148"/>
      <c r="DY101" s="148"/>
      <c r="DZ101" s="148"/>
      <c r="EA101" s="148"/>
      <c r="EB101" s="148"/>
      <c r="EC101" s="148"/>
      <c r="ED101" s="148"/>
      <c r="EE101" s="148"/>
      <c r="EF101" s="148"/>
      <c r="EG101" s="148"/>
      <c r="EH101" s="148"/>
      <c r="EI101" s="148"/>
      <c r="EJ101" s="148"/>
      <c r="EK101" s="148"/>
      <c r="EL101" s="148"/>
      <c r="EM101" s="148"/>
      <c r="EN101" s="148"/>
      <c r="EO101" s="148"/>
      <c r="EP101" s="148"/>
      <c r="EQ101" s="148"/>
      <c r="ER101" s="148"/>
      <c r="ES101" s="148"/>
      <c r="ET101" s="148"/>
      <c r="EU101" s="148"/>
      <c r="EV101" s="148"/>
      <c r="EW101" s="148"/>
      <c r="EX101" s="148"/>
      <c r="EY101" s="148"/>
      <c r="EZ101" s="148"/>
      <c r="FA101" s="148"/>
      <c r="FB101" s="148"/>
      <c r="FC101" s="148"/>
      <c r="FD101" s="148"/>
      <c r="FE101" s="148"/>
      <c r="FF101" s="148"/>
      <c r="FG101" s="148"/>
      <c r="FH101" s="148"/>
      <c r="FI101" s="148"/>
      <c r="FJ101" s="148"/>
      <c r="FK101" s="148"/>
      <c r="FL101" s="148"/>
      <c r="FM101" s="148"/>
      <c r="FN101" s="148"/>
      <c r="FO101" s="148"/>
      <c r="FP101" s="148"/>
      <c r="FQ101" s="148"/>
      <c r="FR101" s="148"/>
      <c r="FS101" s="148"/>
      <c r="FT101" s="148"/>
      <c r="FU101" s="148"/>
      <c r="FV101" s="148"/>
      <c r="FW101" s="148"/>
      <c r="FX101" s="148"/>
      <c r="FY101" s="148"/>
      <c r="FZ101" s="148"/>
      <c r="GA101" s="148"/>
      <c r="GB101" s="148"/>
      <c r="GC101" s="148"/>
      <c r="GD101" s="148"/>
      <c r="GE101" s="148"/>
      <c r="GF101" s="148"/>
      <c r="GG101" s="148"/>
      <c r="GH101" s="148"/>
      <c r="GI101" s="148"/>
      <c r="GJ101" s="148"/>
      <c r="GK101" s="148"/>
      <c r="GL101" s="148"/>
      <c r="GM101" s="148"/>
      <c r="GN101" s="148"/>
      <c r="GO101" s="148"/>
      <c r="GP101" s="148"/>
      <c r="GQ101" s="148"/>
      <c r="GR101" s="148"/>
      <c r="GS101" s="148"/>
      <c r="GT101" s="148"/>
      <c r="GU101" s="148"/>
      <c r="GV101" s="148"/>
      <c r="GW101" s="148"/>
      <c r="GX101" s="148"/>
      <c r="GY101" s="148"/>
      <c r="GZ101" s="148"/>
      <c r="HA101" s="148"/>
      <c r="HB101" s="148"/>
      <c r="HC101" s="148"/>
      <c r="HD101" s="148"/>
      <c r="HE101" s="148"/>
      <c r="HF101" s="148"/>
      <c r="HG101" s="148"/>
      <c r="HH101" s="148"/>
      <c r="HI101" s="148"/>
      <c r="HJ101" s="148"/>
      <c r="HK101" s="148"/>
      <c r="HL101" s="148"/>
      <c r="HM101" s="148"/>
      <c r="HN101" s="148"/>
      <c r="HO101" s="148"/>
      <c r="HP101" s="148"/>
      <c r="HQ101" s="148"/>
      <c r="HR101" s="148"/>
      <c r="HS101" s="148"/>
      <c r="HT101" s="148"/>
      <c r="HU101" s="148"/>
      <c r="HV101" s="148"/>
      <c r="HW101" s="148"/>
      <c r="HX101" s="148"/>
      <c r="HY101" s="148"/>
      <c r="HZ101" s="148"/>
      <c r="IA101" s="148"/>
      <c r="IB101" s="148"/>
      <c r="IC101" s="148"/>
      <c r="ID101" s="148"/>
      <c r="IE101" s="148"/>
      <c r="IF101" s="148"/>
      <c r="IG101" s="148"/>
      <c r="IH101" s="148"/>
      <c r="II101" s="148"/>
      <c r="IJ101" s="148"/>
      <c r="IK101" s="148"/>
      <c r="IL101" s="148"/>
      <c r="IM101" s="148"/>
      <c r="IN101" s="148"/>
      <c r="IO101" s="148"/>
      <c r="IP101" s="148"/>
      <c r="IQ101" s="148"/>
      <c r="IR101" s="148"/>
      <c r="IS101" s="148"/>
      <c r="IT101" s="148"/>
      <c r="IU101" s="148"/>
      <c r="IV101" s="148"/>
      <c r="IW101" s="148"/>
      <c r="IX101" s="148"/>
      <c r="IY101" s="148"/>
      <c r="IZ101" s="148"/>
      <c r="JA101" s="148"/>
    </row>
    <row r="102" spans="1:261" s="272" customFormat="1" ht="18" customHeight="1" x14ac:dyDescent="0.35">
      <c r="A102" s="1423">
        <v>91</v>
      </c>
      <c r="B102" s="1557"/>
      <c r="C102" s="1582"/>
      <c r="D102" s="1163" t="s">
        <v>1116</v>
      </c>
      <c r="E102" s="1560"/>
      <c r="F102" s="1561"/>
      <c r="G102" s="1562"/>
      <c r="H102" s="1563"/>
      <c r="I102" s="1580"/>
      <c r="J102" s="1574"/>
      <c r="K102" s="1574"/>
      <c r="L102" s="1574"/>
      <c r="M102" s="1574">
        <f>SUM(M100:M101)</f>
        <v>390564</v>
      </c>
      <c r="N102" s="1574"/>
      <c r="O102" s="1576">
        <f>SUM(I102:N102)</f>
        <v>390564</v>
      </c>
      <c r="P102" s="1567"/>
      <c r="Q102" s="148"/>
      <c r="R102" s="148"/>
      <c r="S102" s="148"/>
      <c r="T102" s="148"/>
      <c r="U102" s="148"/>
      <c r="V102" s="148"/>
      <c r="W102" s="148"/>
      <c r="X102" s="148"/>
      <c r="Y102" s="148"/>
      <c r="Z102" s="148"/>
      <c r="AA102" s="148"/>
      <c r="AB102" s="148"/>
      <c r="AC102" s="148"/>
      <c r="AD102" s="148"/>
      <c r="AE102" s="148"/>
      <c r="AF102" s="148"/>
      <c r="AG102" s="148"/>
      <c r="AH102" s="148"/>
      <c r="AI102" s="148"/>
      <c r="AJ102" s="148"/>
      <c r="AK102" s="148"/>
      <c r="AL102" s="148"/>
      <c r="AM102" s="148"/>
      <c r="AN102" s="148"/>
      <c r="AO102" s="148"/>
      <c r="AP102" s="148"/>
      <c r="AQ102" s="148"/>
      <c r="AR102" s="148"/>
      <c r="AS102" s="148"/>
      <c r="AT102" s="148"/>
      <c r="AU102" s="148"/>
      <c r="AV102" s="148"/>
      <c r="AW102" s="148"/>
      <c r="AX102" s="148"/>
      <c r="AY102" s="148"/>
      <c r="AZ102" s="148"/>
      <c r="BA102" s="148"/>
      <c r="BB102" s="148"/>
      <c r="BC102" s="148"/>
      <c r="BD102" s="148"/>
      <c r="BE102" s="148"/>
      <c r="BF102" s="148"/>
      <c r="BG102" s="148"/>
      <c r="BH102" s="148"/>
      <c r="BI102" s="148"/>
      <c r="BJ102" s="148"/>
      <c r="BK102" s="148"/>
      <c r="BL102" s="148"/>
      <c r="BM102" s="148"/>
      <c r="BN102" s="148"/>
      <c r="BO102" s="148"/>
      <c r="BP102" s="148"/>
      <c r="BQ102" s="148"/>
      <c r="BR102" s="148"/>
      <c r="BS102" s="148"/>
      <c r="BT102" s="148"/>
      <c r="BU102" s="148"/>
      <c r="BV102" s="148"/>
      <c r="BW102" s="148"/>
      <c r="BX102" s="148"/>
      <c r="BY102" s="148"/>
      <c r="BZ102" s="148"/>
      <c r="CA102" s="148"/>
      <c r="CB102" s="148"/>
      <c r="CC102" s="148"/>
      <c r="CD102" s="148"/>
      <c r="CE102" s="148"/>
      <c r="CF102" s="148"/>
      <c r="CG102" s="148"/>
      <c r="CH102" s="148"/>
      <c r="CI102" s="148"/>
      <c r="CJ102" s="148"/>
      <c r="CK102" s="148"/>
      <c r="CL102" s="148"/>
      <c r="CM102" s="148"/>
      <c r="CN102" s="148"/>
      <c r="CO102" s="148"/>
      <c r="CP102" s="148"/>
      <c r="CQ102" s="148"/>
      <c r="CR102" s="148"/>
      <c r="CS102" s="148"/>
      <c r="CT102" s="148"/>
      <c r="CU102" s="148"/>
      <c r="CV102" s="148"/>
      <c r="CW102" s="148"/>
      <c r="CX102" s="148"/>
      <c r="CY102" s="148"/>
      <c r="CZ102" s="148"/>
      <c r="DA102" s="148"/>
      <c r="DB102" s="148"/>
      <c r="DC102" s="148"/>
      <c r="DD102" s="148"/>
      <c r="DE102" s="148"/>
      <c r="DF102" s="148"/>
      <c r="DG102" s="148"/>
      <c r="DH102" s="148"/>
      <c r="DI102" s="148"/>
      <c r="DJ102" s="148"/>
      <c r="DK102" s="148"/>
      <c r="DL102" s="148"/>
      <c r="DM102" s="148"/>
      <c r="DN102" s="148"/>
      <c r="DO102" s="148"/>
      <c r="DP102" s="148"/>
      <c r="DQ102" s="148"/>
      <c r="DR102" s="148"/>
      <c r="DS102" s="148"/>
      <c r="DT102" s="148"/>
      <c r="DU102" s="148"/>
      <c r="DV102" s="148"/>
      <c r="DW102" s="148"/>
      <c r="DX102" s="148"/>
      <c r="DY102" s="148"/>
      <c r="DZ102" s="148"/>
      <c r="EA102" s="148"/>
      <c r="EB102" s="148"/>
      <c r="EC102" s="148"/>
      <c r="ED102" s="148"/>
      <c r="EE102" s="148"/>
      <c r="EF102" s="148"/>
      <c r="EG102" s="148"/>
      <c r="EH102" s="148"/>
      <c r="EI102" s="148"/>
      <c r="EJ102" s="148"/>
      <c r="EK102" s="148"/>
      <c r="EL102" s="148"/>
      <c r="EM102" s="148"/>
      <c r="EN102" s="148"/>
      <c r="EO102" s="148"/>
      <c r="EP102" s="148"/>
      <c r="EQ102" s="148"/>
      <c r="ER102" s="148"/>
      <c r="ES102" s="148"/>
      <c r="ET102" s="148"/>
      <c r="EU102" s="148"/>
      <c r="EV102" s="148"/>
      <c r="EW102" s="148"/>
      <c r="EX102" s="148"/>
      <c r="EY102" s="148"/>
      <c r="EZ102" s="148"/>
      <c r="FA102" s="148"/>
      <c r="FB102" s="148"/>
      <c r="FC102" s="148"/>
      <c r="FD102" s="148"/>
      <c r="FE102" s="148"/>
      <c r="FF102" s="148"/>
      <c r="FG102" s="148"/>
      <c r="FH102" s="148"/>
      <c r="FI102" s="148"/>
      <c r="FJ102" s="148"/>
      <c r="FK102" s="148"/>
      <c r="FL102" s="148"/>
      <c r="FM102" s="148"/>
      <c r="FN102" s="148"/>
      <c r="FO102" s="148"/>
      <c r="FP102" s="148"/>
      <c r="FQ102" s="148"/>
      <c r="FR102" s="148"/>
      <c r="FS102" s="148"/>
      <c r="FT102" s="148"/>
      <c r="FU102" s="148"/>
      <c r="FV102" s="148"/>
      <c r="FW102" s="148"/>
      <c r="FX102" s="148"/>
      <c r="FY102" s="148"/>
      <c r="FZ102" s="148"/>
      <c r="GA102" s="148"/>
      <c r="GB102" s="148"/>
      <c r="GC102" s="148"/>
      <c r="GD102" s="148"/>
      <c r="GE102" s="148"/>
      <c r="GF102" s="148"/>
      <c r="GG102" s="148"/>
      <c r="GH102" s="148"/>
      <c r="GI102" s="148"/>
      <c r="GJ102" s="148"/>
      <c r="GK102" s="148"/>
      <c r="GL102" s="148"/>
      <c r="GM102" s="148"/>
      <c r="GN102" s="148"/>
      <c r="GO102" s="148"/>
      <c r="GP102" s="148"/>
      <c r="GQ102" s="148"/>
      <c r="GR102" s="148"/>
      <c r="GS102" s="148"/>
      <c r="GT102" s="148"/>
      <c r="GU102" s="148"/>
      <c r="GV102" s="148"/>
      <c r="GW102" s="148"/>
      <c r="GX102" s="148"/>
      <c r="GY102" s="148"/>
      <c r="GZ102" s="148"/>
      <c r="HA102" s="148"/>
      <c r="HB102" s="148"/>
      <c r="HC102" s="148"/>
      <c r="HD102" s="148"/>
      <c r="HE102" s="148"/>
      <c r="HF102" s="148"/>
      <c r="HG102" s="148"/>
      <c r="HH102" s="148"/>
      <c r="HI102" s="148"/>
      <c r="HJ102" s="148"/>
      <c r="HK102" s="148"/>
      <c r="HL102" s="148"/>
      <c r="HM102" s="148"/>
      <c r="HN102" s="148"/>
      <c r="HO102" s="148"/>
      <c r="HP102" s="148"/>
      <c r="HQ102" s="148"/>
      <c r="HR102" s="148"/>
      <c r="HS102" s="148"/>
      <c r="HT102" s="148"/>
      <c r="HU102" s="148"/>
      <c r="HV102" s="148"/>
      <c r="HW102" s="148"/>
      <c r="HX102" s="148"/>
      <c r="HY102" s="148"/>
      <c r="HZ102" s="148"/>
      <c r="IA102" s="148"/>
      <c r="IB102" s="148"/>
      <c r="IC102" s="148"/>
      <c r="ID102" s="148"/>
      <c r="IE102" s="148"/>
      <c r="IF102" s="148"/>
      <c r="IG102" s="148"/>
      <c r="IH102" s="148"/>
      <c r="II102" s="148"/>
      <c r="IJ102" s="148"/>
      <c r="IK102" s="148"/>
      <c r="IL102" s="148"/>
      <c r="IM102" s="148"/>
      <c r="IN102" s="148"/>
      <c r="IO102" s="148"/>
      <c r="IP102" s="148"/>
      <c r="IQ102" s="148"/>
      <c r="IR102" s="148"/>
      <c r="IS102" s="148"/>
      <c r="IT102" s="148"/>
      <c r="IU102" s="148"/>
      <c r="IV102" s="148"/>
      <c r="IW102" s="148"/>
      <c r="IX102" s="148"/>
      <c r="IY102" s="148"/>
      <c r="IZ102" s="148"/>
      <c r="JA102" s="148"/>
    </row>
    <row r="103" spans="1:261" s="272" customFormat="1" ht="22.5" customHeight="1" x14ac:dyDescent="0.35">
      <c r="A103" s="1423">
        <v>92</v>
      </c>
      <c r="B103" s="1557"/>
      <c r="C103" s="1558">
        <v>19</v>
      </c>
      <c r="D103" s="150" t="s">
        <v>707</v>
      </c>
      <c r="E103" s="1560"/>
      <c r="F103" s="1561"/>
      <c r="G103" s="1562"/>
      <c r="H103" s="1563" t="s">
        <v>24</v>
      </c>
      <c r="I103" s="1564"/>
      <c r="J103" s="1565"/>
      <c r="K103" s="1565"/>
      <c r="L103" s="1565"/>
      <c r="M103" s="1565"/>
      <c r="N103" s="1565"/>
      <c r="O103" s="1566"/>
      <c r="P103" s="1567"/>
      <c r="Q103" s="148"/>
      <c r="R103" s="148"/>
      <c r="S103" s="148"/>
      <c r="T103" s="148"/>
      <c r="U103" s="148"/>
      <c r="V103" s="148"/>
      <c r="W103" s="148"/>
      <c r="X103" s="148"/>
      <c r="Y103" s="148"/>
      <c r="Z103" s="148"/>
      <c r="AA103" s="148"/>
      <c r="AB103" s="148"/>
      <c r="AC103" s="148"/>
      <c r="AD103" s="148"/>
      <c r="AE103" s="148"/>
      <c r="AF103" s="148"/>
      <c r="AG103" s="148"/>
      <c r="AH103" s="148"/>
      <c r="AI103" s="148"/>
      <c r="AJ103" s="148"/>
      <c r="AK103" s="148"/>
      <c r="AL103" s="148"/>
      <c r="AM103" s="148"/>
      <c r="AN103" s="148"/>
      <c r="AO103" s="148"/>
      <c r="AP103" s="148"/>
      <c r="AQ103" s="148"/>
      <c r="AR103" s="148"/>
      <c r="AS103" s="148"/>
      <c r="AT103" s="148"/>
      <c r="AU103" s="148"/>
      <c r="AV103" s="148"/>
      <c r="AW103" s="148"/>
      <c r="AX103" s="148"/>
      <c r="AY103" s="148"/>
      <c r="AZ103" s="148"/>
      <c r="BA103" s="148"/>
      <c r="BB103" s="148"/>
      <c r="BC103" s="148"/>
      <c r="BD103" s="148"/>
      <c r="BE103" s="148"/>
      <c r="BF103" s="148"/>
      <c r="BG103" s="148"/>
      <c r="BH103" s="148"/>
      <c r="BI103" s="148"/>
      <c r="BJ103" s="148"/>
      <c r="BK103" s="148"/>
      <c r="BL103" s="148"/>
      <c r="BM103" s="148"/>
      <c r="BN103" s="148"/>
      <c r="BO103" s="148"/>
      <c r="BP103" s="148"/>
      <c r="BQ103" s="148"/>
      <c r="BR103" s="148"/>
      <c r="BS103" s="148"/>
      <c r="BT103" s="148"/>
      <c r="BU103" s="148"/>
      <c r="BV103" s="148"/>
      <c r="BW103" s="148"/>
      <c r="BX103" s="148"/>
      <c r="BY103" s="148"/>
      <c r="BZ103" s="148"/>
      <c r="CA103" s="148"/>
      <c r="CB103" s="148"/>
      <c r="CC103" s="148"/>
      <c r="CD103" s="148"/>
      <c r="CE103" s="148"/>
      <c r="CF103" s="148"/>
      <c r="CG103" s="148"/>
      <c r="CH103" s="148"/>
      <c r="CI103" s="148"/>
      <c r="CJ103" s="148"/>
      <c r="CK103" s="148"/>
      <c r="CL103" s="148"/>
      <c r="CM103" s="148"/>
      <c r="CN103" s="148"/>
      <c r="CO103" s="148"/>
      <c r="CP103" s="148"/>
      <c r="CQ103" s="148"/>
      <c r="CR103" s="148"/>
      <c r="CS103" s="148"/>
      <c r="CT103" s="148"/>
      <c r="CU103" s="148"/>
      <c r="CV103" s="148"/>
      <c r="CW103" s="148"/>
      <c r="CX103" s="148"/>
      <c r="CY103" s="148"/>
      <c r="CZ103" s="148"/>
      <c r="DA103" s="148"/>
      <c r="DB103" s="148"/>
      <c r="DC103" s="148"/>
      <c r="DD103" s="148"/>
      <c r="DE103" s="148"/>
      <c r="DF103" s="148"/>
      <c r="DG103" s="148"/>
      <c r="DH103" s="148"/>
      <c r="DI103" s="148"/>
      <c r="DJ103" s="148"/>
      <c r="DK103" s="148"/>
      <c r="DL103" s="148"/>
      <c r="DM103" s="148"/>
      <c r="DN103" s="148"/>
      <c r="DO103" s="148"/>
      <c r="DP103" s="148"/>
      <c r="DQ103" s="148"/>
      <c r="DR103" s="148"/>
      <c r="DS103" s="148"/>
      <c r="DT103" s="148"/>
      <c r="DU103" s="148"/>
      <c r="DV103" s="148"/>
      <c r="DW103" s="148"/>
      <c r="DX103" s="148"/>
      <c r="DY103" s="148"/>
      <c r="DZ103" s="148"/>
      <c r="EA103" s="148"/>
      <c r="EB103" s="148"/>
      <c r="EC103" s="148"/>
      <c r="ED103" s="148"/>
      <c r="EE103" s="148"/>
      <c r="EF103" s="148"/>
      <c r="EG103" s="148"/>
      <c r="EH103" s="148"/>
      <c r="EI103" s="148"/>
      <c r="EJ103" s="148"/>
      <c r="EK103" s="148"/>
      <c r="EL103" s="148"/>
      <c r="EM103" s="148"/>
      <c r="EN103" s="148"/>
      <c r="EO103" s="148"/>
      <c r="EP103" s="148"/>
      <c r="EQ103" s="148"/>
      <c r="ER103" s="148"/>
      <c r="ES103" s="148"/>
      <c r="ET103" s="148"/>
      <c r="EU103" s="148"/>
      <c r="EV103" s="148"/>
      <c r="EW103" s="148"/>
      <c r="EX103" s="148"/>
      <c r="EY103" s="148"/>
      <c r="EZ103" s="148"/>
      <c r="FA103" s="148"/>
      <c r="FB103" s="148"/>
      <c r="FC103" s="148"/>
      <c r="FD103" s="148"/>
      <c r="FE103" s="148"/>
      <c r="FF103" s="148"/>
      <c r="FG103" s="148"/>
      <c r="FH103" s="148"/>
      <c r="FI103" s="148"/>
      <c r="FJ103" s="148"/>
      <c r="FK103" s="148"/>
      <c r="FL103" s="148"/>
      <c r="FM103" s="148"/>
      <c r="FN103" s="148"/>
      <c r="FO103" s="148"/>
      <c r="FP103" s="148"/>
      <c r="FQ103" s="148"/>
      <c r="FR103" s="148"/>
      <c r="FS103" s="148"/>
      <c r="FT103" s="148"/>
      <c r="FU103" s="148"/>
      <c r="FV103" s="148"/>
      <c r="FW103" s="148"/>
      <c r="FX103" s="148"/>
      <c r="FY103" s="148"/>
      <c r="FZ103" s="148"/>
      <c r="GA103" s="148"/>
      <c r="GB103" s="148"/>
      <c r="GC103" s="148"/>
      <c r="GD103" s="148"/>
      <c r="GE103" s="148"/>
      <c r="GF103" s="148"/>
      <c r="GG103" s="148"/>
      <c r="GH103" s="148"/>
      <c r="GI103" s="148"/>
      <c r="GJ103" s="148"/>
      <c r="GK103" s="148"/>
      <c r="GL103" s="148"/>
      <c r="GM103" s="148"/>
      <c r="GN103" s="148"/>
      <c r="GO103" s="148"/>
      <c r="GP103" s="148"/>
      <c r="GQ103" s="148"/>
      <c r="GR103" s="148"/>
      <c r="GS103" s="148"/>
      <c r="GT103" s="148"/>
      <c r="GU103" s="148"/>
      <c r="GV103" s="148"/>
      <c r="GW103" s="148"/>
      <c r="GX103" s="148"/>
      <c r="GY103" s="148"/>
      <c r="GZ103" s="148"/>
      <c r="HA103" s="148"/>
      <c r="HB103" s="148"/>
      <c r="HC103" s="148"/>
      <c r="HD103" s="148"/>
      <c r="HE103" s="148"/>
      <c r="HF103" s="148"/>
      <c r="HG103" s="148"/>
      <c r="HH103" s="148"/>
      <c r="HI103" s="148"/>
      <c r="HJ103" s="148"/>
      <c r="HK103" s="148"/>
      <c r="HL103" s="148"/>
      <c r="HM103" s="148"/>
      <c r="HN103" s="148"/>
      <c r="HO103" s="148"/>
      <c r="HP103" s="148"/>
      <c r="HQ103" s="148"/>
      <c r="HR103" s="148"/>
      <c r="HS103" s="148"/>
      <c r="HT103" s="148"/>
      <c r="HU103" s="148"/>
      <c r="HV103" s="148"/>
      <c r="HW103" s="148"/>
      <c r="HX103" s="148"/>
      <c r="HY103" s="148"/>
      <c r="HZ103" s="148"/>
      <c r="IA103" s="148"/>
      <c r="IB103" s="148"/>
      <c r="IC103" s="148"/>
      <c r="ID103" s="148"/>
      <c r="IE103" s="148"/>
      <c r="IF103" s="148"/>
      <c r="IG103" s="148"/>
      <c r="IH103" s="148"/>
      <c r="II103" s="148"/>
      <c r="IJ103" s="148"/>
      <c r="IK103" s="148"/>
      <c r="IL103" s="148"/>
      <c r="IM103" s="148"/>
      <c r="IN103" s="148"/>
      <c r="IO103" s="148"/>
      <c r="IP103" s="148"/>
      <c r="IQ103" s="148"/>
      <c r="IR103" s="148"/>
      <c r="IS103" s="148"/>
      <c r="IT103" s="148"/>
      <c r="IU103" s="148"/>
      <c r="IV103" s="148"/>
      <c r="IW103" s="148"/>
      <c r="IX103" s="148"/>
      <c r="IY103" s="148"/>
      <c r="IZ103" s="148"/>
      <c r="JA103" s="148"/>
    </row>
    <row r="104" spans="1:261" s="272" customFormat="1" ht="18" customHeight="1" x14ac:dyDescent="0.35">
      <c r="A104" s="1423">
        <v>93</v>
      </c>
      <c r="B104" s="1557"/>
      <c r="C104" s="1582"/>
      <c r="D104" s="1585" t="s">
        <v>311</v>
      </c>
      <c r="E104" s="1560">
        <f>F104+G104+O107+P107</f>
        <v>0</v>
      </c>
      <c r="F104" s="1561"/>
      <c r="G104" s="1562"/>
      <c r="H104" s="1563"/>
      <c r="I104" s="1564"/>
      <c r="J104" s="1565"/>
      <c r="K104" s="1565"/>
      <c r="L104" s="1565"/>
      <c r="M104" s="1565"/>
      <c r="N104" s="1565">
        <v>5000</v>
      </c>
      <c r="O104" s="1566">
        <f>SUM(I104:N104)</f>
        <v>5000</v>
      </c>
      <c r="P104" s="1567"/>
      <c r="Q104" s="148"/>
      <c r="R104" s="148"/>
      <c r="S104" s="148"/>
      <c r="T104" s="148"/>
      <c r="U104" s="148"/>
      <c r="V104" s="148"/>
      <c r="W104" s="148"/>
      <c r="X104" s="148"/>
      <c r="Y104" s="148"/>
      <c r="Z104" s="148"/>
      <c r="AA104" s="148"/>
      <c r="AB104" s="148"/>
      <c r="AC104" s="148"/>
      <c r="AD104" s="148"/>
      <c r="AE104" s="148"/>
      <c r="AF104" s="148"/>
      <c r="AG104" s="148"/>
      <c r="AH104" s="148"/>
      <c r="AI104" s="148"/>
      <c r="AJ104" s="148"/>
      <c r="AK104" s="148"/>
      <c r="AL104" s="148"/>
      <c r="AM104" s="148"/>
      <c r="AN104" s="148"/>
      <c r="AO104" s="148"/>
      <c r="AP104" s="148"/>
      <c r="AQ104" s="148"/>
      <c r="AR104" s="148"/>
      <c r="AS104" s="148"/>
      <c r="AT104" s="148"/>
      <c r="AU104" s="148"/>
      <c r="AV104" s="148"/>
      <c r="AW104" s="148"/>
      <c r="AX104" s="148"/>
      <c r="AY104" s="148"/>
      <c r="AZ104" s="148"/>
      <c r="BA104" s="148"/>
      <c r="BB104" s="148"/>
      <c r="BC104" s="148"/>
      <c r="BD104" s="148"/>
      <c r="BE104" s="148"/>
      <c r="BF104" s="148"/>
      <c r="BG104" s="148"/>
      <c r="BH104" s="148"/>
      <c r="BI104" s="148"/>
      <c r="BJ104" s="148"/>
      <c r="BK104" s="148"/>
      <c r="BL104" s="148"/>
      <c r="BM104" s="148"/>
      <c r="BN104" s="148"/>
      <c r="BO104" s="148"/>
      <c r="BP104" s="148"/>
      <c r="BQ104" s="148"/>
      <c r="BR104" s="148"/>
      <c r="BS104" s="148"/>
      <c r="BT104" s="148"/>
      <c r="BU104" s="148"/>
      <c r="BV104" s="148"/>
      <c r="BW104" s="148"/>
      <c r="BX104" s="148"/>
      <c r="BY104" s="148"/>
      <c r="BZ104" s="148"/>
      <c r="CA104" s="148"/>
      <c r="CB104" s="148"/>
      <c r="CC104" s="148"/>
      <c r="CD104" s="148"/>
      <c r="CE104" s="148"/>
      <c r="CF104" s="148"/>
      <c r="CG104" s="148"/>
      <c r="CH104" s="148"/>
      <c r="CI104" s="148"/>
      <c r="CJ104" s="148"/>
      <c r="CK104" s="148"/>
      <c r="CL104" s="148"/>
      <c r="CM104" s="148"/>
      <c r="CN104" s="148"/>
      <c r="CO104" s="148"/>
      <c r="CP104" s="148"/>
      <c r="CQ104" s="148"/>
      <c r="CR104" s="148"/>
      <c r="CS104" s="148"/>
      <c r="CT104" s="148"/>
      <c r="CU104" s="148"/>
      <c r="CV104" s="148"/>
      <c r="CW104" s="148"/>
      <c r="CX104" s="148"/>
      <c r="CY104" s="148"/>
      <c r="CZ104" s="148"/>
      <c r="DA104" s="148"/>
      <c r="DB104" s="148"/>
      <c r="DC104" s="148"/>
      <c r="DD104" s="148"/>
      <c r="DE104" s="148"/>
      <c r="DF104" s="148"/>
      <c r="DG104" s="148"/>
      <c r="DH104" s="148"/>
      <c r="DI104" s="148"/>
      <c r="DJ104" s="148"/>
      <c r="DK104" s="148"/>
      <c r="DL104" s="148"/>
      <c r="DM104" s="148"/>
      <c r="DN104" s="148"/>
      <c r="DO104" s="148"/>
      <c r="DP104" s="148"/>
      <c r="DQ104" s="148"/>
      <c r="DR104" s="148"/>
      <c r="DS104" s="148"/>
      <c r="DT104" s="148"/>
      <c r="DU104" s="148"/>
      <c r="DV104" s="148"/>
      <c r="DW104" s="148"/>
      <c r="DX104" s="148"/>
      <c r="DY104" s="148"/>
      <c r="DZ104" s="148"/>
      <c r="EA104" s="148"/>
      <c r="EB104" s="148"/>
      <c r="EC104" s="148"/>
      <c r="ED104" s="148"/>
      <c r="EE104" s="148"/>
      <c r="EF104" s="148"/>
      <c r="EG104" s="148"/>
      <c r="EH104" s="148"/>
      <c r="EI104" s="148"/>
      <c r="EJ104" s="148"/>
      <c r="EK104" s="148"/>
      <c r="EL104" s="148"/>
      <c r="EM104" s="148"/>
      <c r="EN104" s="148"/>
      <c r="EO104" s="148"/>
      <c r="EP104" s="148"/>
      <c r="EQ104" s="148"/>
      <c r="ER104" s="148"/>
      <c r="ES104" s="148"/>
      <c r="ET104" s="148"/>
      <c r="EU104" s="148"/>
      <c r="EV104" s="148"/>
      <c r="EW104" s="148"/>
      <c r="EX104" s="148"/>
      <c r="EY104" s="148"/>
      <c r="EZ104" s="148"/>
      <c r="FA104" s="148"/>
      <c r="FB104" s="148"/>
      <c r="FC104" s="148"/>
      <c r="FD104" s="148"/>
      <c r="FE104" s="148"/>
      <c r="FF104" s="148"/>
      <c r="FG104" s="148"/>
      <c r="FH104" s="148"/>
      <c r="FI104" s="148"/>
      <c r="FJ104" s="148"/>
      <c r="FK104" s="148"/>
      <c r="FL104" s="148"/>
      <c r="FM104" s="148"/>
      <c r="FN104" s="148"/>
      <c r="FO104" s="148"/>
      <c r="FP104" s="148"/>
      <c r="FQ104" s="148"/>
      <c r="FR104" s="148"/>
      <c r="FS104" s="148"/>
      <c r="FT104" s="148"/>
      <c r="FU104" s="148"/>
      <c r="FV104" s="148"/>
      <c r="FW104" s="148"/>
      <c r="FX104" s="148"/>
      <c r="FY104" s="148"/>
      <c r="FZ104" s="148"/>
      <c r="GA104" s="148"/>
      <c r="GB104" s="148"/>
      <c r="GC104" s="148"/>
      <c r="GD104" s="148"/>
      <c r="GE104" s="148"/>
      <c r="GF104" s="148"/>
      <c r="GG104" s="148"/>
      <c r="GH104" s="148"/>
      <c r="GI104" s="148"/>
      <c r="GJ104" s="148"/>
      <c r="GK104" s="148"/>
      <c r="GL104" s="148"/>
      <c r="GM104" s="148"/>
      <c r="GN104" s="148"/>
      <c r="GO104" s="148"/>
      <c r="GP104" s="148"/>
      <c r="GQ104" s="148"/>
      <c r="GR104" s="148"/>
      <c r="GS104" s="148"/>
      <c r="GT104" s="148"/>
      <c r="GU104" s="148"/>
      <c r="GV104" s="148"/>
      <c r="GW104" s="148"/>
      <c r="GX104" s="148"/>
      <c r="GY104" s="148"/>
      <c r="GZ104" s="148"/>
      <c r="HA104" s="148"/>
      <c r="HB104" s="148"/>
      <c r="HC104" s="148"/>
      <c r="HD104" s="148"/>
      <c r="HE104" s="148"/>
      <c r="HF104" s="148"/>
      <c r="HG104" s="148"/>
      <c r="HH104" s="148"/>
      <c r="HI104" s="148"/>
      <c r="HJ104" s="148"/>
      <c r="HK104" s="148"/>
      <c r="HL104" s="148"/>
      <c r="HM104" s="148"/>
      <c r="HN104" s="148"/>
      <c r="HO104" s="148"/>
      <c r="HP104" s="148"/>
      <c r="HQ104" s="148"/>
      <c r="HR104" s="148"/>
      <c r="HS104" s="148"/>
      <c r="HT104" s="148"/>
      <c r="HU104" s="148"/>
      <c r="HV104" s="148"/>
      <c r="HW104" s="148"/>
      <c r="HX104" s="148"/>
      <c r="HY104" s="148"/>
      <c r="HZ104" s="148"/>
      <c r="IA104" s="148"/>
      <c r="IB104" s="148"/>
      <c r="IC104" s="148"/>
      <c r="ID104" s="148"/>
      <c r="IE104" s="148"/>
      <c r="IF104" s="148"/>
      <c r="IG104" s="148"/>
      <c r="IH104" s="148"/>
      <c r="II104" s="148"/>
      <c r="IJ104" s="148"/>
      <c r="IK104" s="148"/>
      <c r="IL104" s="148"/>
      <c r="IM104" s="148"/>
      <c r="IN104" s="148"/>
      <c r="IO104" s="148"/>
      <c r="IP104" s="148"/>
      <c r="IQ104" s="148"/>
      <c r="IR104" s="148"/>
      <c r="IS104" s="148"/>
      <c r="IT104" s="148"/>
      <c r="IU104" s="148"/>
      <c r="IV104" s="148"/>
      <c r="IW104" s="148"/>
      <c r="IX104" s="148"/>
      <c r="IY104" s="148"/>
      <c r="IZ104" s="148"/>
      <c r="JA104" s="148"/>
    </row>
    <row r="105" spans="1:261" s="272" customFormat="1" ht="18" customHeight="1" x14ac:dyDescent="0.35">
      <c r="A105" s="1423">
        <v>94</v>
      </c>
      <c r="B105" s="1557"/>
      <c r="C105" s="1582"/>
      <c r="D105" s="1163" t="s">
        <v>1064</v>
      </c>
      <c r="E105" s="1560"/>
      <c r="F105" s="1561"/>
      <c r="G105" s="1562"/>
      <c r="H105" s="1563"/>
      <c r="I105" s="1564"/>
      <c r="J105" s="1565"/>
      <c r="K105" s="1565"/>
      <c r="L105" s="1565"/>
      <c r="M105" s="1565"/>
      <c r="N105" s="1574">
        <v>0</v>
      </c>
      <c r="O105" s="1576">
        <f>SUM(I105:N105)</f>
        <v>0</v>
      </c>
      <c r="P105" s="1567"/>
      <c r="Q105" s="148"/>
      <c r="R105" s="148"/>
      <c r="S105" s="148"/>
      <c r="T105" s="148"/>
      <c r="U105" s="148"/>
      <c r="V105" s="148"/>
      <c r="W105" s="148"/>
      <c r="X105" s="148"/>
      <c r="Y105" s="148"/>
      <c r="Z105" s="148"/>
      <c r="AA105" s="148"/>
      <c r="AB105" s="148"/>
      <c r="AC105" s="148"/>
      <c r="AD105" s="148"/>
      <c r="AE105" s="148"/>
      <c r="AF105" s="148"/>
      <c r="AG105" s="148"/>
      <c r="AH105" s="148"/>
      <c r="AI105" s="148"/>
      <c r="AJ105" s="148"/>
      <c r="AK105" s="148"/>
      <c r="AL105" s="148"/>
      <c r="AM105" s="148"/>
      <c r="AN105" s="148"/>
      <c r="AO105" s="148"/>
      <c r="AP105" s="148"/>
      <c r="AQ105" s="148"/>
      <c r="AR105" s="148"/>
      <c r="AS105" s="148"/>
      <c r="AT105" s="148"/>
      <c r="AU105" s="148"/>
      <c r="AV105" s="148"/>
      <c r="AW105" s="148"/>
      <c r="AX105" s="148"/>
      <c r="AY105" s="148"/>
      <c r="AZ105" s="148"/>
      <c r="BA105" s="148"/>
      <c r="BB105" s="148"/>
      <c r="BC105" s="148"/>
      <c r="BD105" s="148"/>
      <c r="BE105" s="148"/>
      <c r="BF105" s="148"/>
      <c r="BG105" s="148"/>
      <c r="BH105" s="148"/>
      <c r="BI105" s="148"/>
      <c r="BJ105" s="148"/>
      <c r="BK105" s="148"/>
      <c r="BL105" s="148"/>
      <c r="BM105" s="148"/>
      <c r="BN105" s="148"/>
      <c r="BO105" s="148"/>
      <c r="BP105" s="148"/>
      <c r="BQ105" s="148"/>
      <c r="BR105" s="148"/>
      <c r="BS105" s="148"/>
      <c r="BT105" s="148"/>
      <c r="BU105" s="148"/>
      <c r="BV105" s="148"/>
      <c r="BW105" s="148"/>
      <c r="BX105" s="148"/>
      <c r="BY105" s="148"/>
      <c r="BZ105" s="148"/>
      <c r="CA105" s="148"/>
      <c r="CB105" s="148"/>
      <c r="CC105" s="148"/>
      <c r="CD105" s="148"/>
      <c r="CE105" s="148"/>
      <c r="CF105" s="148"/>
      <c r="CG105" s="148"/>
      <c r="CH105" s="148"/>
      <c r="CI105" s="148"/>
      <c r="CJ105" s="148"/>
      <c r="CK105" s="148"/>
      <c r="CL105" s="148"/>
      <c r="CM105" s="148"/>
      <c r="CN105" s="148"/>
      <c r="CO105" s="148"/>
      <c r="CP105" s="148"/>
      <c r="CQ105" s="148"/>
      <c r="CR105" s="148"/>
      <c r="CS105" s="148"/>
      <c r="CT105" s="148"/>
      <c r="CU105" s="148"/>
      <c r="CV105" s="148"/>
      <c r="CW105" s="148"/>
      <c r="CX105" s="148"/>
      <c r="CY105" s="148"/>
      <c r="CZ105" s="148"/>
      <c r="DA105" s="148"/>
      <c r="DB105" s="148"/>
      <c r="DC105" s="148"/>
      <c r="DD105" s="148"/>
      <c r="DE105" s="148"/>
      <c r="DF105" s="148"/>
      <c r="DG105" s="148"/>
      <c r="DH105" s="148"/>
      <c r="DI105" s="148"/>
      <c r="DJ105" s="148"/>
      <c r="DK105" s="148"/>
      <c r="DL105" s="148"/>
      <c r="DM105" s="148"/>
      <c r="DN105" s="148"/>
      <c r="DO105" s="148"/>
      <c r="DP105" s="148"/>
      <c r="DQ105" s="148"/>
      <c r="DR105" s="148"/>
      <c r="DS105" s="148"/>
      <c r="DT105" s="148"/>
      <c r="DU105" s="148"/>
      <c r="DV105" s="148"/>
      <c r="DW105" s="148"/>
      <c r="DX105" s="148"/>
      <c r="DY105" s="148"/>
      <c r="DZ105" s="148"/>
      <c r="EA105" s="148"/>
      <c r="EB105" s="148"/>
      <c r="EC105" s="148"/>
      <c r="ED105" s="148"/>
      <c r="EE105" s="148"/>
      <c r="EF105" s="148"/>
      <c r="EG105" s="148"/>
      <c r="EH105" s="148"/>
      <c r="EI105" s="148"/>
      <c r="EJ105" s="148"/>
      <c r="EK105" s="148"/>
      <c r="EL105" s="148"/>
      <c r="EM105" s="148"/>
      <c r="EN105" s="148"/>
      <c r="EO105" s="148"/>
      <c r="EP105" s="148"/>
      <c r="EQ105" s="148"/>
      <c r="ER105" s="148"/>
      <c r="ES105" s="148"/>
      <c r="ET105" s="148"/>
      <c r="EU105" s="148"/>
      <c r="EV105" s="148"/>
      <c r="EW105" s="148"/>
      <c r="EX105" s="148"/>
      <c r="EY105" s="148"/>
      <c r="EZ105" s="148"/>
      <c r="FA105" s="148"/>
      <c r="FB105" s="148"/>
      <c r="FC105" s="148"/>
      <c r="FD105" s="148"/>
      <c r="FE105" s="148"/>
      <c r="FF105" s="148"/>
      <c r="FG105" s="148"/>
      <c r="FH105" s="148"/>
      <c r="FI105" s="148"/>
      <c r="FJ105" s="148"/>
      <c r="FK105" s="148"/>
      <c r="FL105" s="148"/>
      <c r="FM105" s="148"/>
      <c r="FN105" s="148"/>
      <c r="FO105" s="148"/>
      <c r="FP105" s="148"/>
      <c r="FQ105" s="148"/>
      <c r="FR105" s="148"/>
      <c r="FS105" s="148"/>
      <c r="FT105" s="148"/>
      <c r="FU105" s="148"/>
      <c r="FV105" s="148"/>
      <c r="FW105" s="148"/>
      <c r="FX105" s="148"/>
      <c r="FY105" s="148"/>
      <c r="FZ105" s="148"/>
      <c r="GA105" s="148"/>
      <c r="GB105" s="148"/>
      <c r="GC105" s="148"/>
      <c r="GD105" s="148"/>
      <c r="GE105" s="148"/>
      <c r="GF105" s="148"/>
      <c r="GG105" s="148"/>
      <c r="GH105" s="148"/>
      <c r="GI105" s="148"/>
      <c r="GJ105" s="148"/>
      <c r="GK105" s="148"/>
      <c r="GL105" s="148"/>
      <c r="GM105" s="148"/>
      <c r="GN105" s="148"/>
      <c r="GO105" s="148"/>
      <c r="GP105" s="148"/>
      <c r="GQ105" s="148"/>
      <c r="GR105" s="148"/>
      <c r="GS105" s="148"/>
      <c r="GT105" s="148"/>
      <c r="GU105" s="148"/>
      <c r="GV105" s="148"/>
      <c r="GW105" s="148"/>
      <c r="GX105" s="148"/>
      <c r="GY105" s="148"/>
      <c r="GZ105" s="148"/>
      <c r="HA105" s="148"/>
      <c r="HB105" s="148"/>
      <c r="HC105" s="148"/>
      <c r="HD105" s="148"/>
      <c r="HE105" s="148"/>
      <c r="HF105" s="148"/>
      <c r="HG105" s="148"/>
      <c r="HH105" s="148"/>
      <c r="HI105" s="148"/>
      <c r="HJ105" s="148"/>
      <c r="HK105" s="148"/>
      <c r="HL105" s="148"/>
      <c r="HM105" s="148"/>
      <c r="HN105" s="148"/>
      <c r="HO105" s="148"/>
      <c r="HP105" s="148"/>
      <c r="HQ105" s="148"/>
      <c r="HR105" s="148"/>
      <c r="HS105" s="148"/>
      <c r="HT105" s="148"/>
      <c r="HU105" s="148"/>
      <c r="HV105" s="148"/>
      <c r="HW105" s="148"/>
      <c r="HX105" s="148"/>
      <c r="HY105" s="148"/>
      <c r="HZ105" s="148"/>
      <c r="IA105" s="148"/>
      <c r="IB105" s="148"/>
      <c r="IC105" s="148"/>
      <c r="ID105" s="148"/>
      <c r="IE105" s="148"/>
      <c r="IF105" s="148"/>
      <c r="IG105" s="148"/>
      <c r="IH105" s="148"/>
      <c r="II105" s="148"/>
      <c r="IJ105" s="148"/>
      <c r="IK105" s="148"/>
      <c r="IL105" s="148"/>
      <c r="IM105" s="148"/>
      <c r="IN105" s="148"/>
      <c r="IO105" s="148"/>
      <c r="IP105" s="148"/>
      <c r="IQ105" s="148"/>
      <c r="IR105" s="148"/>
      <c r="IS105" s="148"/>
      <c r="IT105" s="148"/>
      <c r="IU105" s="148"/>
      <c r="IV105" s="148"/>
      <c r="IW105" s="148"/>
      <c r="IX105" s="148"/>
      <c r="IY105" s="148"/>
      <c r="IZ105" s="148"/>
      <c r="JA105" s="148"/>
    </row>
    <row r="106" spans="1:261" s="272" customFormat="1" ht="18" customHeight="1" x14ac:dyDescent="0.35">
      <c r="A106" s="1423">
        <v>95</v>
      </c>
      <c r="B106" s="1557"/>
      <c r="C106" s="1582"/>
      <c r="D106" s="1174" t="s">
        <v>1012</v>
      </c>
      <c r="E106" s="1560"/>
      <c r="F106" s="1561"/>
      <c r="G106" s="1562"/>
      <c r="H106" s="1563"/>
      <c r="I106" s="1580"/>
      <c r="J106" s="1574"/>
      <c r="K106" s="1574"/>
      <c r="L106" s="1574"/>
      <c r="M106" s="1574"/>
      <c r="N106" s="1581"/>
      <c r="O106" s="1578">
        <f>SUM(I106:N106)</f>
        <v>0</v>
      </c>
      <c r="P106" s="1567"/>
      <c r="Q106" s="148"/>
      <c r="R106" s="148"/>
      <c r="S106" s="148"/>
      <c r="T106" s="148"/>
      <c r="U106" s="148"/>
      <c r="V106" s="148"/>
      <c r="W106" s="148"/>
      <c r="X106" s="148"/>
      <c r="Y106" s="148"/>
      <c r="Z106" s="148"/>
      <c r="AA106" s="148"/>
      <c r="AB106" s="148"/>
      <c r="AC106" s="148"/>
      <c r="AD106" s="148"/>
      <c r="AE106" s="148"/>
      <c r="AF106" s="148"/>
      <c r="AG106" s="148"/>
      <c r="AH106" s="148"/>
      <c r="AI106" s="148"/>
      <c r="AJ106" s="148"/>
      <c r="AK106" s="148"/>
      <c r="AL106" s="148"/>
      <c r="AM106" s="148"/>
      <c r="AN106" s="148"/>
      <c r="AO106" s="148"/>
      <c r="AP106" s="148"/>
      <c r="AQ106" s="148"/>
      <c r="AR106" s="148"/>
      <c r="AS106" s="148"/>
      <c r="AT106" s="148"/>
      <c r="AU106" s="148"/>
      <c r="AV106" s="148"/>
      <c r="AW106" s="148"/>
      <c r="AX106" s="148"/>
      <c r="AY106" s="148"/>
      <c r="AZ106" s="148"/>
      <c r="BA106" s="148"/>
      <c r="BB106" s="148"/>
      <c r="BC106" s="148"/>
      <c r="BD106" s="148"/>
      <c r="BE106" s="148"/>
      <c r="BF106" s="148"/>
      <c r="BG106" s="148"/>
      <c r="BH106" s="148"/>
      <c r="BI106" s="148"/>
      <c r="BJ106" s="148"/>
      <c r="BK106" s="148"/>
      <c r="BL106" s="148"/>
      <c r="BM106" s="148"/>
      <c r="BN106" s="148"/>
      <c r="BO106" s="148"/>
      <c r="BP106" s="148"/>
      <c r="BQ106" s="148"/>
      <c r="BR106" s="148"/>
      <c r="BS106" s="148"/>
      <c r="BT106" s="148"/>
      <c r="BU106" s="148"/>
      <c r="BV106" s="148"/>
      <c r="BW106" s="148"/>
      <c r="BX106" s="148"/>
      <c r="BY106" s="148"/>
      <c r="BZ106" s="148"/>
      <c r="CA106" s="148"/>
      <c r="CB106" s="148"/>
      <c r="CC106" s="148"/>
      <c r="CD106" s="148"/>
      <c r="CE106" s="148"/>
      <c r="CF106" s="148"/>
      <c r="CG106" s="148"/>
      <c r="CH106" s="148"/>
      <c r="CI106" s="148"/>
      <c r="CJ106" s="148"/>
      <c r="CK106" s="148"/>
      <c r="CL106" s="148"/>
      <c r="CM106" s="148"/>
      <c r="CN106" s="148"/>
      <c r="CO106" s="148"/>
      <c r="CP106" s="148"/>
      <c r="CQ106" s="148"/>
      <c r="CR106" s="148"/>
      <c r="CS106" s="148"/>
      <c r="CT106" s="148"/>
      <c r="CU106" s="148"/>
      <c r="CV106" s="148"/>
      <c r="CW106" s="148"/>
      <c r="CX106" s="148"/>
      <c r="CY106" s="148"/>
      <c r="CZ106" s="148"/>
      <c r="DA106" s="148"/>
      <c r="DB106" s="148"/>
      <c r="DC106" s="148"/>
      <c r="DD106" s="148"/>
      <c r="DE106" s="148"/>
      <c r="DF106" s="148"/>
      <c r="DG106" s="148"/>
      <c r="DH106" s="148"/>
      <c r="DI106" s="148"/>
      <c r="DJ106" s="148"/>
      <c r="DK106" s="148"/>
      <c r="DL106" s="148"/>
      <c r="DM106" s="148"/>
      <c r="DN106" s="148"/>
      <c r="DO106" s="148"/>
      <c r="DP106" s="148"/>
      <c r="DQ106" s="148"/>
      <c r="DR106" s="148"/>
      <c r="DS106" s="148"/>
      <c r="DT106" s="148"/>
      <c r="DU106" s="148"/>
      <c r="DV106" s="148"/>
      <c r="DW106" s="148"/>
      <c r="DX106" s="148"/>
      <c r="DY106" s="148"/>
      <c r="DZ106" s="148"/>
      <c r="EA106" s="148"/>
      <c r="EB106" s="148"/>
      <c r="EC106" s="148"/>
      <c r="ED106" s="148"/>
      <c r="EE106" s="148"/>
      <c r="EF106" s="148"/>
      <c r="EG106" s="148"/>
      <c r="EH106" s="148"/>
      <c r="EI106" s="148"/>
      <c r="EJ106" s="148"/>
      <c r="EK106" s="148"/>
      <c r="EL106" s="148"/>
      <c r="EM106" s="148"/>
      <c r="EN106" s="148"/>
      <c r="EO106" s="148"/>
      <c r="EP106" s="148"/>
      <c r="EQ106" s="148"/>
      <c r="ER106" s="148"/>
      <c r="ES106" s="148"/>
      <c r="ET106" s="148"/>
      <c r="EU106" s="148"/>
      <c r="EV106" s="148"/>
      <c r="EW106" s="148"/>
      <c r="EX106" s="148"/>
      <c r="EY106" s="148"/>
      <c r="EZ106" s="148"/>
      <c r="FA106" s="148"/>
      <c r="FB106" s="148"/>
      <c r="FC106" s="148"/>
      <c r="FD106" s="148"/>
      <c r="FE106" s="148"/>
      <c r="FF106" s="148"/>
      <c r="FG106" s="148"/>
      <c r="FH106" s="148"/>
      <c r="FI106" s="148"/>
      <c r="FJ106" s="148"/>
      <c r="FK106" s="148"/>
      <c r="FL106" s="148"/>
      <c r="FM106" s="148"/>
      <c r="FN106" s="148"/>
      <c r="FO106" s="148"/>
      <c r="FP106" s="148"/>
      <c r="FQ106" s="148"/>
      <c r="FR106" s="148"/>
      <c r="FS106" s="148"/>
      <c r="FT106" s="148"/>
      <c r="FU106" s="148"/>
      <c r="FV106" s="148"/>
      <c r="FW106" s="148"/>
      <c r="FX106" s="148"/>
      <c r="FY106" s="148"/>
      <c r="FZ106" s="148"/>
      <c r="GA106" s="148"/>
      <c r="GB106" s="148"/>
      <c r="GC106" s="148"/>
      <c r="GD106" s="148"/>
      <c r="GE106" s="148"/>
      <c r="GF106" s="148"/>
      <c r="GG106" s="148"/>
      <c r="GH106" s="148"/>
      <c r="GI106" s="148"/>
      <c r="GJ106" s="148"/>
      <c r="GK106" s="148"/>
      <c r="GL106" s="148"/>
      <c r="GM106" s="148"/>
      <c r="GN106" s="148"/>
      <c r="GO106" s="148"/>
      <c r="GP106" s="148"/>
      <c r="GQ106" s="148"/>
      <c r="GR106" s="148"/>
      <c r="GS106" s="148"/>
      <c r="GT106" s="148"/>
      <c r="GU106" s="148"/>
      <c r="GV106" s="148"/>
      <c r="GW106" s="148"/>
      <c r="GX106" s="148"/>
      <c r="GY106" s="148"/>
      <c r="GZ106" s="148"/>
      <c r="HA106" s="148"/>
      <c r="HB106" s="148"/>
      <c r="HC106" s="148"/>
      <c r="HD106" s="148"/>
      <c r="HE106" s="148"/>
      <c r="HF106" s="148"/>
      <c r="HG106" s="148"/>
      <c r="HH106" s="148"/>
      <c r="HI106" s="148"/>
      <c r="HJ106" s="148"/>
      <c r="HK106" s="148"/>
      <c r="HL106" s="148"/>
      <c r="HM106" s="148"/>
      <c r="HN106" s="148"/>
      <c r="HO106" s="148"/>
      <c r="HP106" s="148"/>
      <c r="HQ106" s="148"/>
      <c r="HR106" s="148"/>
      <c r="HS106" s="148"/>
      <c r="HT106" s="148"/>
      <c r="HU106" s="148"/>
      <c r="HV106" s="148"/>
      <c r="HW106" s="148"/>
      <c r="HX106" s="148"/>
      <c r="HY106" s="148"/>
      <c r="HZ106" s="148"/>
      <c r="IA106" s="148"/>
      <c r="IB106" s="148"/>
      <c r="IC106" s="148"/>
      <c r="ID106" s="148"/>
      <c r="IE106" s="148"/>
      <c r="IF106" s="148"/>
      <c r="IG106" s="148"/>
      <c r="IH106" s="148"/>
      <c r="II106" s="148"/>
      <c r="IJ106" s="148"/>
      <c r="IK106" s="148"/>
      <c r="IL106" s="148"/>
      <c r="IM106" s="148"/>
      <c r="IN106" s="148"/>
      <c r="IO106" s="148"/>
      <c r="IP106" s="148"/>
      <c r="IQ106" s="148"/>
      <c r="IR106" s="148"/>
      <c r="IS106" s="148"/>
      <c r="IT106" s="148"/>
      <c r="IU106" s="148"/>
      <c r="IV106" s="148"/>
      <c r="IW106" s="148"/>
      <c r="IX106" s="148"/>
      <c r="IY106" s="148"/>
      <c r="IZ106" s="148"/>
      <c r="JA106" s="148"/>
    </row>
    <row r="107" spans="1:261" s="272" customFormat="1" ht="18" customHeight="1" x14ac:dyDescent="0.35">
      <c r="A107" s="1423">
        <v>96</v>
      </c>
      <c r="B107" s="1557"/>
      <c r="C107" s="1582"/>
      <c r="D107" s="1163" t="s">
        <v>1116</v>
      </c>
      <c r="E107" s="1560"/>
      <c r="F107" s="1561"/>
      <c r="G107" s="1562"/>
      <c r="H107" s="1563"/>
      <c r="I107" s="1580"/>
      <c r="J107" s="1574"/>
      <c r="K107" s="1574"/>
      <c r="L107" s="1574"/>
      <c r="M107" s="1574"/>
      <c r="N107" s="1574">
        <f>SUM(N105:N106)</f>
        <v>0</v>
      </c>
      <c r="O107" s="1576">
        <f>SUM(I107:N107)</f>
        <v>0</v>
      </c>
      <c r="P107" s="1567"/>
      <c r="Q107" s="148"/>
      <c r="R107" s="148"/>
      <c r="S107" s="148"/>
      <c r="T107" s="148"/>
      <c r="U107" s="148"/>
      <c r="V107" s="148"/>
      <c r="W107" s="148"/>
      <c r="X107" s="148"/>
      <c r="Y107" s="148"/>
      <c r="Z107" s="148"/>
      <c r="AA107" s="148"/>
      <c r="AB107" s="148"/>
      <c r="AC107" s="148"/>
      <c r="AD107" s="148"/>
      <c r="AE107" s="148"/>
      <c r="AF107" s="148"/>
      <c r="AG107" s="148"/>
      <c r="AH107" s="148"/>
      <c r="AI107" s="148"/>
      <c r="AJ107" s="148"/>
      <c r="AK107" s="148"/>
      <c r="AL107" s="148"/>
      <c r="AM107" s="148"/>
      <c r="AN107" s="148"/>
      <c r="AO107" s="148"/>
      <c r="AP107" s="148"/>
      <c r="AQ107" s="148"/>
      <c r="AR107" s="148"/>
      <c r="AS107" s="148"/>
      <c r="AT107" s="148"/>
      <c r="AU107" s="148"/>
      <c r="AV107" s="148"/>
      <c r="AW107" s="148"/>
      <c r="AX107" s="148"/>
      <c r="AY107" s="148"/>
      <c r="AZ107" s="148"/>
      <c r="BA107" s="148"/>
      <c r="BB107" s="148"/>
      <c r="BC107" s="148"/>
      <c r="BD107" s="148"/>
      <c r="BE107" s="148"/>
      <c r="BF107" s="148"/>
      <c r="BG107" s="148"/>
      <c r="BH107" s="148"/>
      <c r="BI107" s="148"/>
      <c r="BJ107" s="148"/>
      <c r="BK107" s="148"/>
      <c r="BL107" s="148"/>
      <c r="BM107" s="148"/>
      <c r="BN107" s="148"/>
      <c r="BO107" s="148"/>
      <c r="BP107" s="148"/>
      <c r="BQ107" s="148"/>
      <c r="BR107" s="148"/>
      <c r="BS107" s="148"/>
      <c r="BT107" s="148"/>
      <c r="BU107" s="148"/>
      <c r="BV107" s="148"/>
      <c r="BW107" s="148"/>
      <c r="BX107" s="148"/>
      <c r="BY107" s="148"/>
      <c r="BZ107" s="148"/>
      <c r="CA107" s="148"/>
      <c r="CB107" s="148"/>
      <c r="CC107" s="148"/>
      <c r="CD107" s="148"/>
      <c r="CE107" s="148"/>
      <c r="CF107" s="148"/>
      <c r="CG107" s="148"/>
      <c r="CH107" s="148"/>
      <c r="CI107" s="148"/>
      <c r="CJ107" s="148"/>
      <c r="CK107" s="148"/>
      <c r="CL107" s="148"/>
      <c r="CM107" s="148"/>
      <c r="CN107" s="148"/>
      <c r="CO107" s="148"/>
      <c r="CP107" s="148"/>
      <c r="CQ107" s="148"/>
      <c r="CR107" s="148"/>
      <c r="CS107" s="148"/>
      <c r="CT107" s="148"/>
      <c r="CU107" s="148"/>
      <c r="CV107" s="148"/>
      <c r="CW107" s="148"/>
      <c r="CX107" s="148"/>
      <c r="CY107" s="148"/>
      <c r="CZ107" s="148"/>
      <c r="DA107" s="148"/>
      <c r="DB107" s="148"/>
      <c r="DC107" s="148"/>
      <c r="DD107" s="148"/>
      <c r="DE107" s="148"/>
      <c r="DF107" s="148"/>
      <c r="DG107" s="148"/>
      <c r="DH107" s="148"/>
      <c r="DI107" s="148"/>
      <c r="DJ107" s="148"/>
      <c r="DK107" s="148"/>
      <c r="DL107" s="148"/>
      <c r="DM107" s="148"/>
      <c r="DN107" s="148"/>
      <c r="DO107" s="148"/>
      <c r="DP107" s="148"/>
      <c r="DQ107" s="148"/>
      <c r="DR107" s="148"/>
      <c r="DS107" s="148"/>
      <c r="DT107" s="148"/>
      <c r="DU107" s="148"/>
      <c r="DV107" s="148"/>
      <c r="DW107" s="148"/>
      <c r="DX107" s="148"/>
      <c r="DY107" s="148"/>
      <c r="DZ107" s="148"/>
      <c r="EA107" s="148"/>
      <c r="EB107" s="148"/>
      <c r="EC107" s="148"/>
      <c r="ED107" s="148"/>
      <c r="EE107" s="148"/>
      <c r="EF107" s="148"/>
      <c r="EG107" s="148"/>
      <c r="EH107" s="148"/>
      <c r="EI107" s="148"/>
      <c r="EJ107" s="148"/>
      <c r="EK107" s="148"/>
      <c r="EL107" s="148"/>
      <c r="EM107" s="148"/>
      <c r="EN107" s="148"/>
      <c r="EO107" s="148"/>
      <c r="EP107" s="148"/>
      <c r="EQ107" s="148"/>
      <c r="ER107" s="148"/>
      <c r="ES107" s="148"/>
      <c r="ET107" s="148"/>
      <c r="EU107" s="148"/>
      <c r="EV107" s="148"/>
      <c r="EW107" s="148"/>
      <c r="EX107" s="148"/>
      <c r="EY107" s="148"/>
      <c r="EZ107" s="148"/>
      <c r="FA107" s="148"/>
      <c r="FB107" s="148"/>
      <c r="FC107" s="148"/>
      <c r="FD107" s="148"/>
      <c r="FE107" s="148"/>
      <c r="FF107" s="148"/>
      <c r="FG107" s="148"/>
      <c r="FH107" s="148"/>
      <c r="FI107" s="148"/>
      <c r="FJ107" s="148"/>
      <c r="FK107" s="148"/>
      <c r="FL107" s="148"/>
      <c r="FM107" s="148"/>
      <c r="FN107" s="148"/>
      <c r="FO107" s="148"/>
      <c r="FP107" s="148"/>
      <c r="FQ107" s="148"/>
      <c r="FR107" s="148"/>
      <c r="FS107" s="148"/>
      <c r="FT107" s="148"/>
      <c r="FU107" s="148"/>
      <c r="FV107" s="148"/>
      <c r="FW107" s="148"/>
      <c r="FX107" s="148"/>
      <c r="FY107" s="148"/>
      <c r="FZ107" s="148"/>
      <c r="GA107" s="148"/>
      <c r="GB107" s="148"/>
      <c r="GC107" s="148"/>
      <c r="GD107" s="148"/>
      <c r="GE107" s="148"/>
      <c r="GF107" s="148"/>
      <c r="GG107" s="148"/>
      <c r="GH107" s="148"/>
      <c r="GI107" s="148"/>
      <c r="GJ107" s="148"/>
      <c r="GK107" s="148"/>
      <c r="GL107" s="148"/>
      <c r="GM107" s="148"/>
      <c r="GN107" s="148"/>
      <c r="GO107" s="148"/>
      <c r="GP107" s="148"/>
      <c r="GQ107" s="148"/>
      <c r="GR107" s="148"/>
      <c r="GS107" s="148"/>
      <c r="GT107" s="148"/>
      <c r="GU107" s="148"/>
      <c r="GV107" s="148"/>
      <c r="GW107" s="148"/>
      <c r="GX107" s="148"/>
      <c r="GY107" s="148"/>
      <c r="GZ107" s="148"/>
      <c r="HA107" s="148"/>
      <c r="HB107" s="148"/>
      <c r="HC107" s="148"/>
      <c r="HD107" s="148"/>
      <c r="HE107" s="148"/>
      <c r="HF107" s="148"/>
      <c r="HG107" s="148"/>
      <c r="HH107" s="148"/>
      <c r="HI107" s="148"/>
      <c r="HJ107" s="148"/>
      <c r="HK107" s="148"/>
      <c r="HL107" s="148"/>
      <c r="HM107" s="148"/>
      <c r="HN107" s="148"/>
      <c r="HO107" s="148"/>
      <c r="HP107" s="148"/>
      <c r="HQ107" s="148"/>
      <c r="HR107" s="148"/>
      <c r="HS107" s="148"/>
      <c r="HT107" s="148"/>
      <c r="HU107" s="148"/>
      <c r="HV107" s="148"/>
      <c r="HW107" s="148"/>
      <c r="HX107" s="148"/>
      <c r="HY107" s="148"/>
      <c r="HZ107" s="148"/>
      <c r="IA107" s="148"/>
      <c r="IB107" s="148"/>
      <c r="IC107" s="148"/>
      <c r="ID107" s="148"/>
      <c r="IE107" s="148"/>
      <c r="IF107" s="148"/>
      <c r="IG107" s="148"/>
      <c r="IH107" s="148"/>
      <c r="II107" s="148"/>
      <c r="IJ107" s="148"/>
      <c r="IK107" s="148"/>
      <c r="IL107" s="148"/>
      <c r="IM107" s="148"/>
      <c r="IN107" s="148"/>
      <c r="IO107" s="148"/>
      <c r="IP107" s="148"/>
      <c r="IQ107" s="148"/>
      <c r="IR107" s="148"/>
      <c r="IS107" s="148"/>
      <c r="IT107" s="148"/>
      <c r="IU107" s="148"/>
      <c r="IV107" s="148"/>
      <c r="IW107" s="148"/>
      <c r="IX107" s="148"/>
      <c r="IY107" s="148"/>
      <c r="IZ107" s="148"/>
      <c r="JA107" s="148"/>
    </row>
    <row r="108" spans="1:261" ht="22.5" customHeight="1" x14ac:dyDescent="0.35">
      <c r="A108" s="1423">
        <v>97</v>
      </c>
      <c r="B108" s="1589"/>
      <c r="C108" s="1558">
        <v>20</v>
      </c>
      <c r="D108" s="1579" t="s">
        <v>650</v>
      </c>
      <c r="E108" s="1560"/>
      <c r="F108" s="1561"/>
      <c r="G108" s="1562"/>
      <c r="H108" s="1563" t="s">
        <v>24</v>
      </c>
      <c r="I108" s="1564"/>
      <c r="J108" s="1565"/>
      <c r="K108" s="1565"/>
      <c r="L108" s="1565"/>
      <c r="M108" s="1565"/>
      <c r="N108" s="1565"/>
      <c r="O108" s="1566"/>
      <c r="P108" s="1567"/>
    </row>
    <row r="109" spans="1:261" s="272" customFormat="1" ht="18" customHeight="1" x14ac:dyDescent="0.35">
      <c r="A109" s="1423">
        <v>98</v>
      </c>
      <c r="B109" s="1557"/>
      <c r="C109" s="1558"/>
      <c r="D109" s="1585" t="s">
        <v>311</v>
      </c>
      <c r="E109" s="1560">
        <f>F109+G109+O112+P112+22278</f>
        <v>1662746</v>
      </c>
      <c r="F109" s="1561">
        <v>16599</v>
      </c>
      <c r="G109" s="1562">
        <f>63156+89+16537</f>
        <v>79782</v>
      </c>
      <c r="H109" s="1563"/>
      <c r="I109" s="1564"/>
      <c r="J109" s="1565"/>
      <c r="K109" s="1565">
        <v>55170</v>
      </c>
      <c r="L109" s="1565"/>
      <c r="M109" s="1565">
        <f>76000+1430561</f>
        <v>1506561</v>
      </c>
      <c r="N109" s="1565"/>
      <c r="O109" s="1566">
        <f>SUM(I109:N109)</f>
        <v>1561731</v>
      </c>
      <c r="P109" s="1567"/>
      <c r="Q109" s="148"/>
      <c r="R109" s="148"/>
      <c r="S109" s="148"/>
      <c r="T109" s="148"/>
      <c r="U109" s="148"/>
      <c r="V109" s="148"/>
      <c r="W109" s="148"/>
      <c r="X109" s="148"/>
      <c r="Y109" s="148"/>
      <c r="Z109" s="148"/>
      <c r="AA109" s="148"/>
      <c r="AB109" s="148"/>
      <c r="AC109" s="148"/>
      <c r="AD109" s="148"/>
      <c r="AE109" s="148"/>
      <c r="AF109" s="148"/>
      <c r="AG109" s="148"/>
      <c r="AH109" s="148"/>
      <c r="AI109" s="148"/>
      <c r="AJ109" s="148"/>
      <c r="AK109" s="148"/>
      <c r="AL109" s="148"/>
      <c r="AM109" s="148"/>
      <c r="AN109" s="148"/>
      <c r="AO109" s="148"/>
      <c r="AP109" s="148"/>
      <c r="AQ109" s="148"/>
      <c r="AR109" s="148"/>
      <c r="AS109" s="148"/>
      <c r="AT109" s="148"/>
      <c r="AU109" s="148"/>
      <c r="AV109" s="148"/>
      <c r="AW109" s="148"/>
      <c r="AX109" s="148"/>
      <c r="AY109" s="148"/>
      <c r="AZ109" s="148"/>
      <c r="BA109" s="148"/>
      <c r="BB109" s="148"/>
      <c r="BC109" s="148"/>
      <c r="BD109" s="148"/>
      <c r="BE109" s="148"/>
      <c r="BF109" s="148"/>
      <c r="BG109" s="148"/>
      <c r="BH109" s="148"/>
      <c r="BI109" s="148"/>
      <c r="BJ109" s="148"/>
      <c r="BK109" s="148"/>
      <c r="BL109" s="148"/>
      <c r="BM109" s="148"/>
      <c r="BN109" s="148"/>
      <c r="BO109" s="148"/>
      <c r="BP109" s="148"/>
      <c r="BQ109" s="148"/>
      <c r="BR109" s="148"/>
      <c r="BS109" s="148"/>
      <c r="BT109" s="148"/>
      <c r="BU109" s="148"/>
      <c r="BV109" s="148"/>
      <c r="BW109" s="148"/>
      <c r="BX109" s="148"/>
      <c r="BY109" s="148"/>
      <c r="BZ109" s="148"/>
      <c r="CA109" s="148"/>
      <c r="CB109" s="148"/>
      <c r="CC109" s="148"/>
      <c r="CD109" s="148"/>
      <c r="CE109" s="148"/>
      <c r="CF109" s="148"/>
      <c r="CG109" s="148"/>
      <c r="CH109" s="148"/>
      <c r="CI109" s="148"/>
      <c r="CJ109" s="148"/>
      <c r="CK109" s="148"/>
      <c r="CL109" s="148"/>
      <c r="CM109" s="148"/>
      <c r="CN109" s="148"/>
      <c r="CO109" s="148"/>
      <c r="CP109" s="148"/>
      <c r="CQ109" s="148"/>
      <c r="CR109" s="148"/>
      <c r="CS109" s="148"/>
      <c r="CT109" s="148"/>
      <c r="CU109" s="148"/>
      <c r="CV109" s="148"/>
      <c r="CW109" s="148"/>
      <c r="CX109" s="148"/>
      <c r="CY109" s="148"/>
      <c r="CZ109" s="148"/>
      <c r="DA109" s="148"/>
      <c r="DB109" s="148"/>
      <c r="DC109" s="148"/>
      <c r="DD109" s="148"/>
      <c r="DE109" s="148"/>
      <c r="DF109" s="148"/>
      <c r="DG109" s="148"/>
      <c r="DH109" s="148"/>
      <c r="DI109" s="148"/>
      <c r="DJ109" s="148"/>
      <c r="DK109" s="148"/>
      <c r="DL109" s="148"/>
      <c r="DM109" s="148"/>
      <c r="DN109" s="148"/>
      <c r="DO109" s="148"/>
      <c r="DP109" s="148"/>
      <c r="DQ109" s="148"/>
      <c r="DR109" s="148"/>
      <c r="DS109" s="148"/>
      <c r="DT109" s="148"/>
      <c r="DU109" s="148"/>
      <c r="DV109" s="148"/>
      <c r="DW109" s="148"/>
      <c r="DX109" s="148"/>
      <c r="DY109" s="148"/>
      <c r="DZ109" s="148"/>
      <c r="EA109" s="148"/>
      <c r="EB109" s="148"/>
      <c r="EC109" s="148"/>
      <c r="ED109" s="148"/>
      <c r="EE109" s="148"/>
      <c r="EF109" s="148"/>
      <c r="EG109" s="148"/>
      <c r="EH109" s="148"/>
      <c r="EI109" s="148"/>
      <c r="EJ109" s="148"/>
      <c r="EK109" s="148"/>
      <c r="EL109" s="148"/>
      <c r="EM109" s="148"/>
      <c r="EN109" s="148"/>
      <c r="EO109" s="148"/>
      <c r="EP109" s="148"/>
      <c r="EQ109" s="148"/>
      <c r="ER109" s="148"/>
      <c r="ES109" s="148"/>
      <c r="ET109" s="148"/>
      <c r="EU109" s="148"/>
      <c r="EV109" s="148"/>
      <c r="EW109" s="148"/>
      <c r="EX109" s="148"/>
      <c r="EY109" s="148"/>
      <c r="EZ109" s="148"/>
      <c r="FA109" s="148"/>
      <c r="FB109" s="148"/>
      <c r="FC109" s="148"/>
      <c r="FD109" s="148"/>
      <c r="FE109" s="148"/>
      <c r="FF109" s="148"/>
      <c r="FG109" s="148"/>
      <c r="FH109" s="148"/>
      <c r="FI109" s="148"/>
      <c r="FJ109" s="148"/>
      <c r="FK109" s="148"/>
      <c r="FL109" s="148"/>
      <c r="FM109" s="148"/>
      <c r="FN109" s="148"/>
      <c r="FO109" s="148"/>
      <c r="FP109" s="148"/>
      <c r="FQ109" s="148"/>
      <c r="FR109" s="148"/>
      <c r="FS109" s="148"/>
      <c r="FT109" s="148"/>
      <c r="FU109" s="148"/>
      <c r="FV109" s="148"/>
      <c r="FW109" s="148"/>
      <c r="FX109" s="148"/>
      <c r="FY109" s="148"/>
      <c r="FZ109" s="148"/>
      <c r="GA109" s="148"/>
      <c r="GB109" s="148"/>
      <c r="GC109" s="148"/>
      <c r="GD109" s="148"/>
      <c r="GE109" s="148"/>
      <c r="GF109" s="148"/>
      <c r="GG109" s="148"/>
      <c r="GH109" s="148"/>
      <c r="GI109" s="148"/>
      <c r="GJ109" s="148"/>
      <c r="GK109" s="148"/>
      <c r="GL109" s="148"/>
      <c r="GM109" s="148"/>
      <c r="GN109" s="148"/>
      <c r="GO109" s="148"/>
      <c r="GP109" s="148"/>
      <c r="GQ109" s="148"/>
      <c r="GR109" s="148"/>
      <c r="GS109" s="148"/>
      <c r="GT109" s="148"/>
      <c r="GU109" s="148"/>
      <c r="GV109" s="148"/>
      <c r="GW109" s="148"/>
      <c r="GX109" s="148"/>
      <c r="GY109" s="148"/>
      <c r="GZ109" s="148"/>
      <c r="HA109" s="148"/>
      <c r="HB109" s="148"/>
      <c r="HC109" s="148"/>
      <c r="HD109" s="148"/>
      <c r="HE109" s="148"/>
      <c r="HF109" s="148"/>
      <c r="HG109" s="148"/>
      <c r="HH109" s="148"/>
      <c r="HI109" s="148"/>
      <c r="HJ109" s="148"/>
      <c r="HK109" s="148"/>
      <c r="HL109" s="148"/>
      <c r="HM109" s="148"/>
      <c r="HN109" s="148"/>
      <c r="HO109" s="148"/>
      <c r="HP109" s="148"/>
      <c r="HQ109" s="148"/>
      <c r="HR109" s="148"/>
      <c r="HS109" s="148"/>
      <c r="HT109" s="148"/>
      <c r="HU109" s="148"/>
      <c r="HV109" s="148"/>
      <c r="HW109" s="148"/>
      <c r="HX109" s="148"/>
      <c r="HY109" s="148"/>
      <c r="HZ109" s="148"/>
      <c r="IA109" s="148"/>
      <c r="IB109" s="148"/>
      <c r="IC109" s="148"/>
      <c r="ID109" s="148"/>
      <c r="IE109" s="148"/>
      <c r="IF109" s="148"/>
      <c r="IG109" s="148"/>
      <c r="IH109" s="148"/>
      <c r="II109" s="148"/>
      <c r="IJ109" s="148"/>
      <c r="IK109" s="148"/>
      <c r="IL109" s="148"/>
      <c r="IM109" s="148"/>
      <c r="IN109" s="148"/>
      <c r="IO109" s="148"/>
      <c r="IP109" s="148"/>
      <c r="IQ109" s="148"/>
      <c r="IR109" s="148"/>
      <c r="IS109" s="148"/>
      <c r="IT109" s="148"/>
      <c r="IU109" s="148"/>
      <c r="IV109" s="148"/>
      <c r="IW109" s="148"/>
      <c r="IX109" s="148"/>
      <c r="IY109" s="148"/>
      <c r="IZ109" s="148"/>
      <c r="JA109" s="148"/>
    </row>
    <row r="110" spans="1:261" s="272" customFormat="1" ht="18" customHeight="1" x14ac:dyDescent="0.35">
      <c r="A110" s="1423">
        <v>99</v>
      </c>
      <c r="B110" s="1557"/>
      <c r="C110" s="1558"/>
      <c r="D110" s="1163" t="s">
        <v>1064</v>
      </c>
      <c r="E110" s="1560"/>
      <c r="F110" s="1561"/>
      <c r="G110" s="1562"/>
      <c r="H110" s="1563"/>
      <c r="I110" s="1564"/>
      <c r="J110" s="1565"/>
      <c r="K110" s="1574">
        <v>55170</v>
      </c>
      <c r="L110" s="1574"/>
      <c r="M110" s="1574">
        <v>1506561</v>
      </c>
      <c r="N110" s="1565"/>
      <c r="O110" s="1576">
        <f>SUM(I110:N110)</f>
        <v>1561731</v>
      </c>
      <c r="P110" s="1567"/>
      <c r="Q110" s="148"/>
      <c r="R110" s="148"/>
      <c r="S110" s="148"/>
      <c r="T110" s="148"/>
      <c r="U110" s="148"/>
      <c r="V110" s="148"/>
      <c r="W110" s="148"/>
      <c r="X110" s="148"/>
      <c r="Y110" s="148"/>
      <c r="Z110" s="148"/>
      <c r="AA110" s="148"/>
      <c r="AB110" s="148"/>
      <c r="AC110" s="148"/>
      <c r="AD110" s="148"/>
      <c r="AE110" s="148"/>
      <c r="AF110" s="148"/>
      <c r="AG110" s="148"/>
      <c r="AH110" s="148"/>
      <c r="AI110" s="148"/>
      <c r="AJ110" s="148"/>
      <c r="AK110" s="148"/>
      <c r="AL110" s="148"/>
      <c r="AM110" s="148"/>
      <c r="AN110" s="148"/>
      <c r="AO110" s="148"/>
      <c r="AP110" s="148"/>
      <c r="AQ110" s="148"/>
      <c r="AR110" s="148"/>
      <c r="AS110" s="148"/>
      <c r="AT110" s="148"/>
      <c r="AU110" s="148"/>
      <c r="AV110" s="148"/>
      <c r="AW110" s="148"/>
      <c r="AX110" s="148"/>
      <c r="AY110" s="148"/>
      <c r="AZ110" s="148"/>
      <c r="BA110" s="148"/>
      <c r="BB110" s="148"/>
      <c r="BC110" s="148"/>
      <c r="BD110" s="148"/>
      <c r="BE110" s="148"/>
      <c r="BF110" s="148"/>
      <c r="BG110" s="148"/>
      <c r="BH110" s="148"/>
      <c r="BI110" s="148"/>
      <c r="BJ110" s="148"/>
      <c r="BK110" s="148"/>
      <c r="BL110" s="148"/>
      <c r="BM110" s="148"/>
      <c r="BN110" s="148"/>
      <c r="BO110" s="148"/>
      <c r="BP110" s="148"/>
      <c r="BQ110" s="148"/>
      <c r="BR110" s="148"/>
      <c r="BS110" s="148"/>
      <c r="BT110" s="148"/>
      <c r="BU110" s="148"/>
      <c r="BV110" s="148"/>
      <c r="BW110" s="148"/>
      <c r="BX110" s="148"/>
      <c r="BY110" s="148"/>
      <c r="BZ110" s="148"/>
      <c r="CA110" s="148"/>
      <c r="CB110" s="148"/>
      <c r="CC110" s="148"/>
      <c r="CD110" s="148"/>
      <c r="CE110" s="148"/>
      <c r="CF110" s="148"/>
      <c r="CG110" s="148"/>
      <c r="CH110" s="148"/>
      <c r="CI110" s="148"/>
      <c r="CJ110" s="148"/>
      <c r="CK110" s="148"/>
      <c r="CL110" s="148"/>
      <c r="CM110" s="148"/>
      <c r="CN110" s="148"/>
      <c r="CO110" s="148"/>
      <c r="CP110" s="148"/>
      <c r="CQ110" s="148"/>
      <c r="CR110" s="148"/>
      <c r="CS110" s="148"/>
      <c r="CT110" s="148"/>
      <c r="CU110" s="148"/>
      <c r="CV110" s="148"/>
      <c r="CW110" s="148"/>
      <c r="CX110" s="148"/>
      <c r="CY110" s="148"/>
      <c r="CZ110" s="148"/>
      <c r="DA110" s="148"/>
      <c r="DB110" s="148"/>
      <c r="DC110" s="148"/>
      <c r="DD110" s="148"/>
      <c r="DE110" s="148"/>
      <c r="DF110" s="148"/>
      <c r="DG110" s="148"/>
      <c r="DH110" s="148"/>
      <c r="DI110" s="148"/>
      <c r="DJ110" s="148"/>
      <c r="DK110" s="148"/>
      <c r="DL110" s="148"/>
      <c r="DM110" s="148"/>
      <c r="DN110" s="148"/>
      <c r="DO110" s="148"/>
      <c r="DP110" s="148"/>
      <c r="DQ110" s="148"/>
      <c r="DR110" s="148"/>
      <c r="DS110" s="148"/>
      <c r="DT110" s="148"/>
      <c r="DU110" s="148"/>
      <c r="DV110" s="148"/>
      <c r="DW110" s="148"/>
      <c r="DX110" s="148"/>
      <c r="DY110" s="148"/>
      <c r="DZ110" s="148"/>
      <c r="EA110" s="148"/>
      <c r="EB110" s="148"/>
      <c r="EC110" s="148"/>
      <c r="ED110" s="148"/>
      <c r="EE110" s="148"/>
      <c r="EF110" s="148"/>
      <c r="EG110" s="148"/>
      <c r="EH110" s="148"/>
      <c r="EI110" s="148"/>
      <c r="EJ110" s="148"/>
      <c r="EK110" s="148"/>
      <c r="EL110" s="148"/>
      <c r="EM110" s="148"/>
      <c r="EN110" s="148"/>
      <c r="EO110" s="148"/>
      <c r="EP110" s="148"/>
      <c r="EQ110" s="148"/>
      <c r="ER110" s="148"/>
      <c r="ES110" s="148"/>
      <c r="ET110" s="148"/>
      <c r="EU110" s="148"/>
      <c r="EV110" s="148"/>
      <c r="EW110" s="148"/>
      <c r="EX110" s="148"/>
      <c r="EY110" s="148"/>
      <c r="EZ110" s="148"/>
      <c r="FA110" s="148"/>
      <c r="FB110" s="148"/>
      <c r="FC110" s="148"/>
      <c r="FD110" s="148"/>
      <c r="FE110" s="148"/>
      <c r="FF110" s="148"/>
      <c r="FG110" s="148"/>
      <c r="FH110" s="148"/>
      <c r="FI110" s="148"/>
      <c r="FJ110" s="148"/>
      <c r="FK110" s="148"/>
      <c r="FL110" s="148"/>
      <c r="FM110" s="148"/>
      <c r="FN110" s="148"/>
      <c r="FO110" s="148"/>
      <c r="FP110" s="148"/>
      <c r="FQ110" s="148"/>
      <c r="FR110" s="148"/>
      <c r="FS110" s="148"/>
      <c r="FT110" s="148"/>
      <c r="FU110" s="148"/>
      <c r="FV110" s="148"/>
      <c r="FW110" s="148"/>
      <c r="FX110" s="148"/>
      <c r="FY110" s="148"/>
      <c r="FZ110" s="148"/>
      <c r="GA110" s="148"/>
      <c r="GB110" s="148"/>
      <c r="GC110" s="148"/>
      <c r="GD110" s="148"/>
      <c r="GE110" s="148"/>
      <c r="GF110" s="148"/>
      <c r="GG110" s="148"/>
      <c r="GH110" s="148"/>
      <c r="GI110" s="148"/>
      <c r="GJ110" s="148"/>
      <c r="GK110" s="148"/>
      <c r="GL110" s="148"/>
      <c r="GM110" s="148"/>
      <c r="GN110" s="148"/>
      <c r="GO110" s="148"/>
      <c r="GP110" s="148"/>
      <c r="GQ110" s="148"/>
      <c r="GR110" s="148"/>
      <c r="GS110" s="148"/>
      <c r="GT110" s="148"/>
      <c r="GU110" s="148"/>
      <c r="GV110" s="148"/>
      <c r="GW110" s="148"/>
      <c r="GX110" s="148"/>
      <c r="GY110" s="148"/>
      <c r="GZ110" s="148"/>
      <c r="HA110" s="148"/>
      <c r="HB110" s="148"/>
      <c r="HC110" s="148"/>
      <c r="HD110" s="148"/>
      <c r="HE110" s="148"/>
      <c r="HF110" s="148"/>
      <c r="HG110" s="148"/>
      <c r="HH110" s="148"/>
      <c r="HI110" s="148"/>
      <c r="HJ110" s="148"/>
      <c r="HK110" s="148"/>
      <c r="HL110" s="148"/>
      <c r="HM110" s="148"/>
      <c r="HN110" s="148"/>
      <c r="HO110" s="148"/>
      <c r="HP110" s="148"/>
      <c r="HQ110" s="148"/>
      <c r="HR110" s="148"/>
      <c r="HS110" s="148"/>
      <c r="HT110" s="148"/>
      <c r="HU110" s="148"/>
      <c r="HV110" s="148"/>
      <c r="HW110" s="148"/>
      <c r="HX110" s="148"/>
      <c r="HY110" s="148"/>
      <c r="HZ110" s="148"/>
      <c r="IA110" s="148"/>
      <c r="IB110" s="148"/>
      <c r="IC110" s="148"/>
      <c r="ID110" s="148"/>
      <c r="IE110" s="148"/>
      <c r="IF110" s="148"/>
      <c r="IG110" s="148"/>
      <c r="IH110" s="148"/>
      <c r="II110" s="148"/>
      <c r="IJ110" s="148"/>
      <c r="IK110" s="148"/>
      <c r="IL110" s="148"/>
      <c r="IM110" s="148"/>
      <c r="IN110" s="148"/>
      <c r="IO110" s="148"/>
      <c r="IP110" s="148"/>
      <c r="IQ110" s="148"/>
      <c r="IR110" s="148"/>
      <c r="IS110" s="148"/>
      <c r="IT110" s="148"/>
      <c r="IU110" s="148"/>
      <c r="IV110" s="148"/>
      <c r="IW110" s="148"/>
      <c r="IX110" s="148"/>
      <c r="IY110" s="148"/>
      <c r="IZ110" s="148"/>
      <c r="JA110" s="148"/>
    </row>
    <row r="111" spans="1:261" s="272" customFormat="1" ht="18" customHeight="1" x14ac:dyDescent="0.35">
      <c r="A111" s="1423">
        <v>100</v>
      </c>
      <c r="B111" s="1557"/>
      <c r="C111" s="1558"/>
      <c r="D111" s="1174" t="s">
        <v>999</v>
      </c>
      <c r="E111" s="1560"/>
      <c r="F111" s="1561"/>
      <c r="G111" s="1562"/>
      <c r="H111" s="1563"/>
      <c r="I111" s="1580"/>
      <c r="J111" s="1574"/>
      <c r="K111" s="1574">
        <v>-55083</v>
      </c>
      <c r="L111" s="1574">
        <v>94075</v>
      </c>
      <c r="M111" s="1574">
        <v>-1506561</v>
      </c>
      <c r="N111" s="1574">
        <v>1449925</v>
      </c>
      <c r="O111" s="1578">
        <f>SUM(I111:N111)</f>
        <v>-17644</v>
      </c>
      <c r="P111" s="1567"/>
      <c r="Q111" s="148"/>
      <c r="R111" s="148"/>
      <c r="S111" s="148"/>
      <c r="T111" s="148"/>
      <c r="U111" s="148"/>
      <c r="V111" s="148"/>
      <c r="W111" s="148"/>
      <c r="X111" s="148"/>
      <c r="Y111" s="148"/>
      <c r="Z111" s="148"/>
      <c r="AA111" s="148"/>
      <c r="AB111" s="148"/>
      <c r="AC111" s="148"/>
      <c r="AD111" s="148"/>
      <c r="AE111" s="148"/>
      <c r="AF111" s="148"/>
      <c r="AG111" s="148"/>
      <c r="AH111" s="148"/>
      <c r="AI111" s="148"/>
      <c r="AJ111" s="148"/>
      <c r="AK111" s="148"/>
      <c r="AL111" s="148"/>
      <c r="AM111" s="148"/>
      <c r="AN111" s="148"/>
      <c r="AO111" s="148"/>
      <c r="AP111" s="148"/>
      <c r="AQ111" s="148"/>
      <c r="AR111" s="148"/>
      <c r="AS111" s="148"/>
      <c r="AT111" s="148"/>
      <c r="AU111" s="148"/>
      <c r="AV111" s="148"/>
      <c r="AW111" s="148"/>
      <c r="AX111" s="148"/>
      <c r="AY111" s="148"/>
      <c r="AZ111" s="148"/>
      <c r="BA111" s="148"/>
      <c r="BB111" s="148"/>
      <c r="BC111" s="148"/>
      <c r="BD111" s="148"/>
      <c r="BE111" s="148"/>
      <c r="BF111" s="148"/>
      <c r="BG111" s="148"/>
      <c r="BH111" s="148"/>
      <c r="BI111" s="148"/>
      <c r="BJ111" s="148"/>
      <c r="BK111" s="148"/>
      <c r="BL111" s="148"/>
      <c r="BM111" s="148"/>
      <c r="BN111" s="148"/>
      <c r="BO111" s="148"/>
      <c r="BP111" s="148"/>
      <c r="BQ111" s="148"/>
      <c r="BR111" s="148"/>
      <c r="BS111" s="148"/>
      <c r="BT111" s="148"/>
      <c r="BU111" s="148"/>
      <c r="BV111" s="148"/>
      <c r="BW111" s="148"/>
      <c r="BX111" s="148"/>
      <c r="BY111" s="148"/>
      <c r="BZ111" s="148"/>
      <c r="CA111" s="148"/>
      <c r="CB111" s="148"/>
      <c r="CC111" s="148"/>
      <c r="CD111" s="148"/>
      <c r="CE111" s="148"/>
      <c r="CF111" s="148"/>
      <c r="CG111" s="148"/>
      <c r="CH111" s="148"/>
      <c r="CI111" s="148"/>
      <c r="CJ111" s="148"/>
      <c r="CK111" s="148"/>
      <c r="CL111" s="148"/>
      <c r="CM111" s="148"/>
      <c r="CN111" s="148"/>
      <c r="CO111" s="148"/>
      <c r="CP111" s="148"/>
      <c r="CQ111" s="148"/>
      <c r="CR111" s="148"/>
      <c r="CS111" s="148"/>
      <c r="CT111" s="148"/>
      <c r="CU111" s="148"/>
      <c r="CV111" s="148"/>
      <c r="CW111" s="148"/>
      <c r="CX111" s="148"/>
      <c r="CY111" s="148"/>
      <c r="CZ111" s="148"/>
      <c r="DA111" s="148"/>
      <c r="DB111" s="148"/>
      <c r="DC111" s="148"/>
      <c r="DD111" s="148"/>
      <c r="DE111" s="148"/>
      <c r="DF111" s="148"/>
      <c r="DG111" s="148"/>
      <c r="DH111" s="148"/>
      <c r="DI111" s="148"/>
      <c r="DJ111" s="148"/>
      <c r="DK111" s="148"/>
      <c r="DL111" s="148"/>
      <c r="DM111" s="148"/>
      <c r="DN111" s="148"/>
      <c r="DO111" s="148"/>
      <c r="DP111" s="148"/>
      <c r="DQ111" s="148"/>
      <c r="DR111" s="148"/>
      <c r="DS111" s="148"/>
      <c r="DT111" s="148"/>
      <c r="DU111" s="148"/>
      <c r="DV111" s="148"/>
      <c r="DW111" s="148"/>
      <c r="DX111" s="148"/>
      <c r="DY111" s="148"/>
      <c r="DZ111" s="148"/>
      <c r="EA111" s="148"/>
      <c r="EB111" s="148"/>
      <c r="EC111" s="148"/>
      <c r="ED111" s="148"/>
      <c r="EE111" s="148"/>
      <c r="EF111" s="148"/>
      <c r="EG111" s="148"/>
      <c r="EH111" s="148"/>
      <c r="EI111" s="148"/>
      <c r="EJ111" s="148"/>
      <c r="EK111" s="148"/>
      <c r="EL111" s="148"/>
      <c r="EM111" s="148"/>
      <c r="EN111" s="148"/>
      <c r="EO111" s="148"/>
      <c r="EP111" s="148"/>
      <c r="EQ111" s="148"/>
      <c r="ER111" s="148"/>
      <c r="ES111" s="148"/>
      <c r="ET111" s="148"/>
      <c r="EU111" s="148"/>
      <c r="EV111" s="148"/>
      <c r="EW111" s="148"/>
      <c r="EX111" s="148"/>
      <c r="EY111" s="148"/>
      <c r="EZ111" s="148"/>
      <c r="FA111" s="148"/>
      <c r="FB111" s="148"/>
      <c r="FC111" s="148"/>
      <c r="FD111" s="148"/>
      <c r="FE111" s="148"/>
      <c r="FF111" s="148"/>
      <c r="FG111" s="148"/>
      <c r="FH111" s="148"/>
      <c r="FI111" s="148"/>
      <c r="FJ111" s="148"/>
      <c r="FK111" s="148"/>
      <c r="FL111" s="148"/>
      <c r="FM111" s="148"/>
      <c r="FN111" s="148"/>
      <c r="FO111" s="148"/>
      <c r="FP111" s="148"/>
      <c r="FQ111" s="148"/>
      <c r="FR111" s="148"/>
      <c r="FS111" s="148"/>
      <c r="FT111" s="148"/>
      <c r="FU111" s="148"/>
      <c r="FV111" s="148"/>
      <c r="FW111" s="148"/>
      <c r="FX111" s="148"/>
      <c r="FY111" s="148"/>
      <c r="FZ111" s="148"/>
      <c r="GA111" s="148"/>
      <c r="GB111" s="148"/>
      <c r="GC111" s="148"/>
      <c r="GD111" s="148"/>
      <c r="GE111" s="148"/>
      <c r="GF111" s="148"/>
      <c r="GG111" s="148"/>
      <c r="GH111" s="148"/>
      <c r="GI111" s="148"/>
      <c r="GJ111" s="148"/>
      <c r="GK111" s="148"/>
      <c r="GL111" s="148"/>
      <c r="GM111" s="148"/>
      <c r="GN111" s="148"/>
      <c r="GO111" s="148"/>
      <c r="GP111" s="148"/>
      <c r="GQ111" s="148"/>
      <c r="GR111" s="148"/>
      <c r="GS111" s="148"/>
      <c r="GT111" s="148"/>
      <c r="GU111" s="148"/>
      <c r="GV111" s="148"/>
      <c r="GW111" s="148"/>
      <c r="GX111" s="148"/>
      <c r="GY111" s="148"/>
      <c r="GZ111" s="148"/>
      <c r="HA111" s="148"/>
      <c r="HB111" s="148"/>
      <c r="HC111" s="148"/>
      <c r="HD111" s="148"/>
      <c r="HE111" s="148"/>
      <c r="HF111" s="148"/>
      <c r="HG111" s="148"/>
      <c r="HH111" s="148"/>
      <c r="HI111" s="148"/>
      <c r="HJ111" s="148"/>
      <c r="HK111" s="148"/>
      <c r="HL111" s="148"/>
      <c r="HM111" s="148"/>
      <c r="HN111" s="148"/>
      <c r="HO111" s="148"/>
      <c r="HP111" s="148"/>
      <c r="HQ111" s="148"/>
      <c r="HR111" s="148"/>
      <c r="HS111" s="148"/>
      <c r="HT111" s="148"/>
      <c r="HU111" s="148"/>
      <c r="HV111" s="148"/>
      <c r="HW111" s="148"/>
      <c r="HX111" s="148"/>
      <c r="HY111" s="148"/>
      <c r="HZ111" s="148"/>
      <c r="IA111" s="148"/>
      <c r="IB111" s="148"/>
      <c r="IC111" s="148"/>
      <c r="ID111" s="148"/>
      <c r="IE111" s="148"/>
      <c r="IF111" s="148"/>
      <c r="IG111" s="148"/>
      <c r="IH111" s="148"/>
      <c r="II111" s="148"/>
      <c r="IJ111" s="148"/>
      <c r="IK111" s="148"/>
      <c r="IL111" s="148"/>
      <c r="IM111" s="148"/>
      <c r="IN111" s="148"/>
      <c r="IO111" s="148"/>
      <c r="IP111" s="148"/>
      <c r="IQ111" s="148"/>
      <c r="IR111" s="148"/>
      <c r="IS111" s="148"/>
      <c r="IT111" s="148"/>
      <c r="IU111" s="148"/>
      <c r="IV111" s="148"/>
      <c r="IW111" s="148"/>
      <c r="IX111" s="148"/>
      <c r="IY111" s="148"/>
      <c r="IZ111" s="148"/>
      <c r="JA111" s="148"/>
    </row>
    <row r="112" spans="1:261" s="272" customFormat="1" ht="18" customHeight="1" x14ac:dyDescent="0.35">
      <c r="A112" s="1423">
        <v>101</v>
      </c>
      <c r="B112" s="1557"/>
      <c r="C112" s="1558"/>
      <c r="D112" s="1163" t="s">
        <v>1116</v>
      </c>
      <c r="E112" s="1560"/>
      <c r="F112" s="1561"/>
      <c r="G112" s="1562"/>
      <c r="H112" s="1563"/>
      <c r="I112" s="1580"/>
      <c r="J112" s="1574"/>
      <c r="K112" s="1574">
        <f>SUM(K110:K111)</f>
        <v>87</v>
      </c>
      <c r="L112" s="1574">
        <f>SUM(L110:L111)</f>
        <v>94075</v>
      </c>
      <c r="M112" s="1574">
        <f t="shared" ref="M112:N112" si="14">SUM(M110:M111)</f>
        <v>0</v>
      </c>
      <c r="N112" s="1574">
        <f t="shared" si="14"/>
        <v>1449925</v>
      </c>
      <c r="O112" s="1576">
        <f>SUM(I112:N112)</f>
        <v>1544087</v>
      </c>
      <c r="P112" s="1567"/>
      <c r="Q112" s="148"/>
      <c r="R112" s="148"/>
      <c r="S112" s="148"/>
      <c r="T112" s="148"/>
      <c r="U112" s="148"/>
      <c r="V112" s="148"/>
      <c r="W112" s="148"/>
      <c r="X112" s="148"/>
      <c r="Y112" s="148"/>
      <c r="Z112" s="148"/>
      <c r="AA112" s="148"/>
      <c r="AB112" s="148"/>
      <c r="AC112" s="148"/>
      <c r="AD112" s="148"/>
      <c r="AE112" s="148"/>
      <c r="AF112" s="148"/>
      <c r="AG112" s="148"/>
      <c r="AH112" s="148"/>
      <c r="AI112" s="148"/>
      <c r="AJ112" s="148"/>
      <c r="AK112" s="148"/>
      <c r="AL112" s="148"/>
      <c r="AM112" s="148"/>
      <c r="AN112" s="148"/>
      <c r="AO112" s="148"/>
      <c r="AP112" s="148"/>
      <c r="AQ112" s="148"/>
      <c r="AR112" s="148"/>
      <c r="AS112" s="148"/>
      <c r="AT112" s="148"/>
      <c r="AU112" s="148"/>
      <c r="AV112" s="148"/>
      <c r="AW112" s="148"/>
      <c r="AX112" s="148"/>
      <c r="AY112" s="148"/>
      <c r="AZ112" s="148"/>
      <c r="BA112" s="148"/>
      <c r="BB112" s="148"/>
      <c r="BC112" s="148"/>
      <c r="BD112" s="148"/>
      <c r="BE112" s="148"/>
      <c r="BF112" s="148"/>
      <c r="BG112" s="148"/>
      <c r="BH112" s="148"/>
      <c r="BI112" s="148"/>
      <c r="BJ112" s="148"/>
      <c r="BK112" s="148"/>
      <c r="BL112" s="148"/>
      <c r="BM112" s="148"/>
      <c r="BN112" s="148"/>
      <c r="BO112" s="148"/>
      <c r="BP112" s="148"/>
      <c r="BQ112" s="148"/>
      <c r="BR112" s="148"/>
      <c r="BS112" s="148"/>
      <c r="BT112" s="148"/>
      <c r="BU112" s="148"/>
      <c r="BV112" s="148"/>
      <c r="BW112" s="148"/>
      <c r="BX112" s="148"/>
      <c r="BY112" s="148"/>
      <c r="BZ112" s="148"/>
      <c r="CA112" s="148"/>
      <c r="CB112" s="148"/>
      <c r="CC112" s="148"/>
      <c r="CD112" s="148"/>
      <c r="CE112" s="148"/>
      <c r="CF112" s="148"/>
      <c r="CG112" s="148"/>
      <c r="CH112" s="148"/>
      <c r="CI112" s="148"/>
      <c r="CJ112" s="148"/>
      <c r="CK112" s="148"/>
      <c r="CL112" s="148"/>
      <c r="CM112" s="148"/>
      <c r="CN112" s="148"/>
      <c r="CO112" s="148"/>
      <c r="CP112" s="148"/>
      <c r="CQ112" s="148"/>
      <c r="CR112" s="148"/>
      <c r="CS112" s="148"/>
      <c r="CT112" s="148"/>
      <c r="CU112" s="148"/>
      <c r="CV112" s="148"/>
      <c r="CW112" s="148"/>
      <c r="CX112" s="148"/>
      <c r="CY112" s="148"/>
      <c r="CZ112" s="148"/>
      <c r="DA112" s="148"/>
      <c r="DB112" s="148"/>
      <c r="DC112" s="148"/>
      <c r="DD112" s="148"/>
      <c r="DE112" s="148"/>
      <c r="DF112" s="148"/>
      <c r="DG112" s="148"/>
      <c r="DH112" s="148"/>
      <c r="DI112" s="148"/>
      <c r="DJ112" s="148"/>
      <c r="DK112" s="148"/>
      <c r="DL112" s="148"/>
      <c r="DM112" s="148"/>
      <c r="DN112" s="148"/>
      <c r="DO112" s="148"/>
      <c r="DP112" s="148"/>
      <c r="DQ112" s="148"/>
      <c r="DR112" s="148"/>
      <c r="DS112" s="148"/>
      <c r="DT112" s="148"/>
      <c r="DU112" s="148"/>
      <c r="DV112" s="148"/>
      <c r="DW112" s="148"/>
      <c r="DX112" s="148"/>
      <c r="DY112" s="148"/>
      <c r="DZ112" s="148"/>
      <c r="EA112" s="148"/>
      <c r="EB112" s="148"/>
      <c r="EC112" s="148"/>
      <c r="ED112" s="148"/>
      <c r="EE112" s="148"/>
      <c r="EF112" s="148"/>
      <c r="EG112" s="148"/>
      <c r="EH112" s="148"/>
      <c r="EI112" s="148"/>
      <c r="EJ112" s="148"/>
      <c r="EK112" s="148"/>
      <c r="EL112" s="148"/>
      <c r="EM112" s="148"/>
      <c r="EN112" s="148"/>
      <c r="EO112" s="148"/>
      <c r="EP112" s="148"/>
      <c r="EQ112" s="148"/>
      <c r="ER112" s="148"/>
      <c r="ES112" s="148"/>
      <c r="ET112" s="148"/>
      <c r="EU112" s="148"/>
      <c r="EV112" s="148"/>
      <c r="EW112" s="148"/>
      <c r="EX112" s="148"/>
      <c r="EY112" s="148"/>
      <c r="EZ112" s="148"/>
      <c r="FA112" s="148"/>
      <c r="FB112" s="148"/>
      <c r="FC112" s="148"/>
      <c r="FD112" s="148"/>
      <c r="FE112" s="148"/>
      <c r="FF112" s="148"/>
      <c r="FG112" s="148"/>
      <c r="FH112" s="148"/>
      <c r="FI112" s="148"/>
      <c r="FJ112" s="148"/>
      <c r="FK112" s="148"/>
      <c r="FL112" s="148"/>
      <c r="FM112" s="148"/>
      <c r="FN112" s="148"/>
      <c r="FO112" s="148"/>
      <c r="FP112" s="148"/>
      <c r="FQ112" s="148"/>
      <c r="FR112" s="148"/>
      <c r="FS112" s="148"/>
      <c r="FT112" s="148"/>
      <c r="FU112" s="148"/>
      <c r="FV112" s="148"/>
      <c r="FW112" s="148"/>
      <c r="FX112" s="148"/>
      <c r="FY112" s="148"/>
      <c r="FZ112" s="148"/>
      <c r="GA112" s="148"/>
      <c r="GB112" s="148"/>
      <c r="GC112" s="148"/>
      <c r="GD112" s="148"/>
      <c r="GE112" s="148"/>
      <c r="GF112" s="148"/>
      <c r="GG112" s="148"/>
      <c r="GH112" s="148"/>
      <c r="GI112" s="148"/>
      <c r="GJ112" s="148"/>
      <c r="GK112" s="148"/>
      <c r="GL112" s="148"/>
      <c r="GM112" s="148"/>
      <c r="GN112" s="148"/>
      <c r="GO112" s="148"/>
      <c r="GP112" s="148"/>
      <c r="GQ112" s="148"/>
      <c r="GR112" s="148"/>
      <c r="GS112" s="148"/>
      <c r="GT112" s="148"/>
      <c r="GU112" s="148"/>
      <c r="GV112" s="148"/>
      <c r="GW112" s="148"/>
      <c r="GX112" s="148"/>
      <c r="GY112" s="148"/>
      <c r="GZ112" s="148"/>
      <c r="HA112" s="148"/>
      <c r="HB112" s="148"/>
      <c r="HC112" s="148"/>
      <c r="HD112" s="148"/>
      <c r="HE112" s="148"/>
      <c r="HF112" s="148"/>
      <c r="HG112" s="148"/>
      <c r="HH112" s="148"/>
      <c r="HI112" s="148"/>
      <c r="HJ112" s="148"/>
      <c r="HK112" s="148"/>
      <c r="HL112" s="148"/>
      <c r="HM112" s="148"/>
      <c r="HN112" s="148"/>
      <c r="HO112" s="148"/>
      <c r="HP112" s="148"/>
      <c r="HQ112" s="148"/>
      <c r="HR112" s="148"/>
      <c r="HS112" s="148"/>
      <c r="HT112" s="148"/>
      <c r="HU112" s="148"/>
      <c r="HV112" s="148"/>
      <c r="HW112" s="148"/>
      <c r="HX112" s="148"/>
      <c r="HY112" s="148"/>
      <c r="HZ112" s="148"/>
      <c r="IA112" s="148"/>
      <c r="IB112" s="148"/>
      <c r="IC112" s="148"/>
      <c r="ID112" s="148"/>
      <c r="IE112" s="148"/>
      <c r="IF112" s="148"/>
      <c r="IG112" s="148"/>
      <c r="IH112" s="148"/>
      <c r="II112" s="148"/>
      <c r="IJ112" s="148"/>
      <c r="IK112" s="148"/>
      <c r="IL112" s="148"/>
      <c r="IM112" s="148"/>
      <c r="IN112" s="148"/>
      <c r="IO112" s="148"/>
      <c r="IP112" s="148"/>
      <c r="IQ112" s="148"/>
      <c r="IR112" s="148"/>
      <c r="IS112" s="148"/>
      <c r="IT112" s="148"/>
      <c r="IU112" s="148"/>
      <c r="IV112" s="148"/>
      <c r="IW112" s="148"/>
      <c r="IX112" s="148"/>
      <c r="IY112" s="148"/>
      <c r="IZ112" s="148"/>
      <c r="JA112" s="148"/>
    </row>
    <row r="113" spans="1:261" ht="33" x14ac:dyDescent="0.35">
      <c r="A113" s="1423">
        <v>102</v>
      </c>
      <c r="B113" s="1589"/>
      <c r="C113" s="1582">
        <v>21</v>
      </c>
      <c r="D113" s="1414" t="s">
        <v>584</v>
      </c>
      <c r="E113" s="1560"/>
      <c r="F113" s="1561"/>
      <c r="G113" s="1562"/>
      <c r="H113" s="1563" t="s">
        <v>24</v>
      </c>
      <c r="I113" s="1564"/>
      <c r="J113" s="1565"/>
      <c r="K113" s="1565"/>
      <c r="L113" s="1565"/>
      <c r="M113" s="1565"/>
      <c r="N113" s="1565"/>
      <c r="O113" s="1566"/>
      <c r="P113" s="1567"/>
    </row>
    <row r="114" spans="1:261" s="272" customFormat="1" ht="18" customHeight="1" x14ac:dyDescent="0.35">
      <c r="A114" s="1423">
        <v>103</v>
      </c>
      <c r="B114" s="1557"/>
      <c r="C114" s="1582"/>
      <c r="D114" s="1585" t="s">
        <v>311</v>
      </c>
      <c r="E114" s="1560">
        <f>F114+G114+O117+P117</f>
        <v>1629330</v>
      </c>
      <c r="F114" s="1561">
        <v>28000</v>
      </c>
      <c r="G114" s="1562">
        <f>24019+2422</f>
        <v>26441</v>
      </c>
      <c r="H114" s="1563"/>
      <c r="I114" s="1564"/>
      <c r="J114" s="1565"/>
      <c r="K114" s="1565">
        <v>12196</v>
      </c>
      <c r="L114" s="1565"/>
      <c r="M114" s="1565">
        <f>793085+277946+491662</f>
        <v>1562693</v>
      </c>
      <c r="N114" s="1565"/>
      <c r="O114" s="1566">
        <f>SUM(I114:N114)</f>
        <v>1574889</v>
      </c>
      <c r="P114" s="1567"/>
      <c r="Q114" s="148"/>
      <c r="R114" s="148"/>
      <c r="S114" s="148"/>
      <c r="T114" s="148"/>
      <c r="U114" s="148"/>
      <c r="V114" s="148"/>
      <c r="W114" s="148"/>
      <c r="X114" s="148"/>
      <c r="Y114" s="148"/>
      <c r="Z114" s="148"/>
      <c r="AA114" s="148"/>
      <c r="AB114" s="148"/>
      <c r="AC114" s="148"/>
      <c r="AD114" s="148"/>
      <c r="AE114" s="148"/>
      <c r="AF114" s="148"/>
      <c r="AG114" s="148"/>
      <c r="AH114" s="148"/>
      <c r="AI114" s="148"/>
      <c r="AJ114" s="148"/>
      <c r="AK114" s="148"/>
      <c r="AL114" s="148"/>
      <c r="AM114" s="148"/>
      <c r="AN114" s="148"/>
      <c r="AO114" s="148"/>
      <c r="AP114" s="148"/>
      <c r="AQ114" s="148"/>
      <c r="AR114" s="148"/>
      <c r="AS114" s="148"/>
      <c r="AT114" s="148"/>
      <c r="AU114" s="148"/>
      <c r="AV114" s="148"/>
      <c r="AW114" s="148"/>
      <c r="AX114" s="148"/>
      <c r="AY114" s="148"/>
      <c r="AZ114" s="148"/>
      <c r="BA114" s="148"/>
      <c r="BB114" s="148"/>
      <c r="BC114" s="148"/>
      <c r="BD114" s="148"/>
      <c r="BE114" s="148"/>
      <c r="BF114" s="148"/>
      <c r="BG114" s="148"/>
      <c r="BH114" s="148"/>
      <c r="BI114" s="148"/>
      <c r="BJ114" s="148"/>
      <c r="BK114" s="148"/>
      <c r="BL114" s="148"/>
      <c r="BM114" s="148"/>
      <c r="BN114" s="148"/>
      <c r="BO114" s="148"/>
      <c r="BP114" s="148"/>
      <c r="BQ114" s="148"/>
      <c r="BR114" s="148"/>
      <c r="BS114" s="148"/>
      <c r="BT114" s="148"/>
      <c r="BU114" s="148"/>
      <c r="BV114" s="148"/>
      <c r="BW114" s="148"/>
      <c r="BX114" s="148"/>
      <c r="BY114" s="148"/>
      <c r="BZ114" s="148"/>
      <c r="CA114" s="148"/>
      <c r="CB114" s="148"/>
      <c r="CC114" s="148"/>
      <c r="CD114" s="148"/>
      <c r="CE114" s="148"/>
      <c r="CF114" s="148"/>
      <c r="CG114" s="148"/>
      <c r="CH114" s="148"/>
      <c r="CI114" s="148"/>
      <c r="CJ114" s="148"/>
      <c r="CK114" s="148"/>
      <c r="CL114" s="148"/>
      <c r="CM114" s="148"/>
      <c r="CN114" s="148"/>
      <c r="CO114" s="148"/>
      <c r="CP114" s="148"/>
      <c r="CQ114" s="148"/>
      <c r="CR114" s="148"/>
      <c r="CS114" s="148"/>
      <c r="CT114" s="148"/>
      <c r="CU114" s="148"/>
      <c r="CV114" s="148"/>
      <c r="CW114" s="148"/>
      <c r="CX114" s="148"/>
      <c r="CY114" s="148"/>
      <c r="CZ114" s="148"/>
      <c r="DA114" s="148"/>
      <c r="DB114" s="148"/>
      <c r="DC114" s="148"/>
      <c r="DD114" s="148"/>
      <c r="DE114" s="148"/>
      <c r="DF114" s="148"/>
      <c r="DG114" s="148"/>
      <c r="DH114" s="148"/>
      <c r="DI114" s="148"/>
      <c r="DJ114" s="148"/>
      <c r="DK114" s="148"/>
      <c r="DL114" s="148"/>
      <c r="DM114" s="148"/>
      <c r="DN114" s="148"/>
      <c r="DO114" s="148"/>
      <c r="DP114" s="148"/>
      <c r="DQ114" s="148"/>
      <c r="DR114" s="148"/>
      <c r="DS114" s="148"/>
      <c r="DT114" s="148"/>
      <c r="DU114" s="148"/>
      <c r="DV114" s="148"/>
      <c r="DW114" s="148"/>
      <c r="DX114" s="148"/>
      <c r="DY114" s="148"/>
      <c r="DZ114" s="148"/>
      <c r="EA114" s="148"/>
      <c r="EB114" s="148"/>
      <c r="EC114" s="148"/>
      <c r="ED114" s="148"/>
      <c r="EE114" s="148"/>
      <c r="EF114" s="148"/>
      <c r="EG114" s="148"/>
      <c r="EH114" s="148"/>
      <c r="EI114" s="148"/>
      <c r="EJ114" s="148"/>
      <c r="EK114" s="148"/>
      <c r="EL114" s="148"/>
      <c r="EM114" s="148"/>
      <c r="EN114" s="148"/>
      <c r="EO114" s="148"/>
      <c r="EP114" s="148"/>
      <c r="EQ114" s="148"/>
      <c r="ER114" s="148"/>
      <c r="ES114" s="148"/>
      <c r="ET114" s="148"/>
      <c r="EU114" s="148"/>
      <c r="EV114" s="148"/>
      <c r="EW114" s="148"/>
      <c r="EX114" s="148"/>
      <c r="EY114" s="148"/>
      <c r="EZ114" s="148"/>
      <c r="FA114" s="148"/>
      <c r="FB114" s="148"/>
      <c r="FC114" s="148"/>
      <c r="FD114" s="148"/>
      <c r="FE114" s="148"/>
      <c r="FF114" s="148"/>
      <c r="FG114" s="148"/>
      <c r="FH114" s="148"/>
      <c r="FI114" s="148"/>
      <c r="FJ114" s="148"/>
      <c r="FK114" s="148"/>
      <c r="FL114" s="148"/>
      <c r="FM114" s="148"/>
      <c r="FN114" s="148"/>
      <c r="FO114" s="148"/>
      <c r="FP114" s="148"/>
      <c r="FQ114" s="148"/>
      <c r="FR114" s="148"/>
      <c r="FS114" s="148"/>
      <c r="FT114" s="148"/>
      <c r="FU114" s="148"/>
      <c r="FV114" s="148"/>
      <c r="FW114" s="148"/>
      <c r="FX114" s="148"/>
      <c r="FY114" s="148"/>
      <c r="FZ114" s="148"/>
      <c r="GA114" s="148"/>
      <c r="GB114" s="148"/>
      <c r="GC114" s="148"/>
      <c r="GD114" s="148"/>
      <c r="GE114" s="148"/>
      <c r="GF114" s="148"/>
      <c r="GG114" s="148"/>
      <c r="GH114" s="148"/>
      <c r="GI114" s="148"/>
      <c r="GJ114" s="148"/>
      <c r="GK114" s="148"/>
      <c r="GL114" s="148"/>
      <c r="GM114" s="148"/>
      <c r="GN114" s="148"/>
      <c r="GO114" s="148"/>
      <c r="GP114" s="148"/>
      <c r="GQ114" s="148"/>
      <c r="GR114" s="148"/>
      <c r="GS114" s="148"/>
      <c r="GT114" s="148"/>
      <c r="GU114" s="148"/>
      <c r="GV114" s="148"/>
      <c r="GW114" s="148"/>
      <c r="GX114" s="148"/>
      <c r="GY114" s="148"/>
      <c r="GZ114" s="148"/>
      <c r="HA114" s="148"/>
      <c r="HB114" s="148"/>
      <c r="HC114" s="148"/>
      <c r="HD114" s="148"/>
      <c r="HE114" s="148"/>
      <c r="HF114" s="148"/>
      <c r="HG114" s="148"/>
      <c r="HH114" s="148"/>
      <c r="HI114" s="148"/>
      <c r="HJ114" s="148"/>
      <c r="HK114" s="148"/>
      <c r="HL114" s="148"/>
      <c r="HM114" s="148"/>
      <c r="HN114" s="148"/>
      <c r="HO114" s="148"/>
      <c r="HP114" s="148"/>
      <c r="HQ114" s="148"/>
      <c r="HR114" s="148"/>
      <c r="HS114" s="148"/>
      <c r="HT114" s="148"/>
      <c r="HU114" s="148"/>
      <c r="HV114" s="148"/>
      <c r="HW114" s="148"/>
      <c r="HX114" s="148"/>
      <c r="HY114" s="148"/>
      <c r="HZ114" s="148"/>
      <c r="IA114" s="148"/>
      <c r="IB114" s="148"/>
      <c r="IC114" s="148"/>
      <c r="ID114" s="148"/>
      <c r="IE114" s="148"/>
      <c r="IF114" s="148"/>
      <c r="IG114" s="148"/>
      <c r="IH114" s="148"/>
      <c r="II114" s="148"/>
      <c r="IJ114" s="148"/>
      <c r="IK114" s="148"/>
      <c r="IL114" s="148"/>
      <c r="IM114" s="148"/>
      <c r="IN114" s="148"/>
      <c r="IO114" s="148"/>
      <c r="IP114" s="148"/>
      <c r="IQ114" s="148"/>
      <c r="IR114" s="148"/>
      <c r="IS114" s="148"/>
      <c r="IT114" s="148"/>
      <c r="IU114" s="148"/>
      <c r="IV114" s="148"/>
      <c r="IW114" s="148"/>
      <c r="IX114" s="148"/>
      <c r="IY114" s="148"/>
      <c r="IZ114" s="148"/>
      <c r="JA114" s="148"/>
    </row>
    <row r="115" spans="1:261" s="272" customFormat="1" ht="18" customHeight="1" x14ac:dyDescent="0.35">
      <c r="A115" s="1423">
        <v>104</v>
      </c>
      <c r="B115" s="1557"/>
      <c r="C115" s="1582"/>
      <c r="D115" s="1163" t="s">
        <v>1064</v>
      </c>
      <c r="E115" s="1560"/>
      <c r="F115" s="1561"/>
      <c r="G115" s="1562"/>
      <c r="H115" s="1563"/>
      <c r="I115" s="1564"/>
      <c r="J115" s="1565"/>
      <c r="K115" s="1574">
        <v>12196</v>
      </c>
      <c r="L115" s="1574"/>
      <c r="M115" s="1574">
        <v>1562693</v>
      </c>
      <c r="N115" s="1565"/>
      <c r="O115" s="1576">
        <f>SUM(I115:N115)</f>
        <v>1574889</v>
      </c>
      <c r="P115" s="1567"/>
      <c r="Q115" s="148"/>
      <c r="R115" s="148"/>
      <c r="S115" s="148"/>
      <c r="T115" s="148"/>
      <c r="U115" s="148"/>
      <c r="V115" s="148"/>
      <c r="W115" s="148"/>
      <c r="X115" s="148"/>
      <c r="Y115" s="148"/>
      <c r="Z115" s="148"/>
      <c r="AA115" s="148"/>
      <c r="AB115" s="148"/>
      <c r="AC115" s="148"/>
      <c r="AD115" s="148"/>
      <c r="AE115" s="148"/>
      <c r="AF115" s="148"/>
      <c r="AG115" s="148"/>
      <c r="AH115" s="148"/>
      <c r="AI115" s="148"/>
      <c r="AJ115" s="148"/>
      <c r="AK115" s="148"/>
      <c r="AL115" s="148"/>
      <c r="AM115" s="148"/>
      <c r="AN115" s="148"/>
      <c r="AO115" s="148"/>
      <c r="AP115" s="148"/>
      <c r="AQ115" s="148"/>
      <c r="AR115" s="148"/>
      <c r="AS115" s="148"/>
      <c r="AT115" s="148"/>
      <c r="AU115" s="148"/>
      <c r="AV115" s="148"/>
      <c r="AW115" s="148"/>
      <c r="AX115" s="148"/>
      <c r="AY115" s="148"/>
      <c r="AZ115" s="148"/>
      <c r="BA115" s="148"/>
      <c r="BB115" s="148"/>
      <c r="BC115" s="148"/>
      <c r="BD115" s="148"/>
      <c r="BE115" s="148"/>
      <c r="BF115" s="148"/>
      <c r="BG115" s="148"/>
      <c r="BH115" s="148"/>
      <c r="BI115" s="148"/>
      <c r="BJ115" s="148"/>
      <c r="BK115" s="148"/>
      <c r="BL115" s="148"/>
      <c r="BM115" s="148"/>
      <c r="BN115" s="148"/>
      <c r="BO115" s="148"/>
      <c r="BP115" s="148"/>
      <c r="BQ115" s="148"/>
      <c r="BR115" s="148"/>
      <c r="BS115" s="148"/>
      <c r="BT115" s="148"/>
      <c r="BU115" s="148"/>
      <c r="BV115" s="148"/>
      <c r="BW115" s="148"/>
      <c r="BX115" s="148"/>
      <c r="BY115" s="148"/>
      <c r="BZ115" s="148"/>
      <c r="CA115" s="148"/>
      <c r="CB115" s="148"/>
      <c r="CC115" s="148"/>
      <c r="CD115" s="148"/>
      <c r="CE115" s="148"/>
      <c r="CF115" s="148"/>
      <c r="CG115" s="148"/>
      <c r="CH115" s="148"/>
      <c r="CI115" s="148"/>
      <c r="CJ115" s="148"/>
      <c r="CK115" s="148"/>
      <c r="CL115" s="148"/>
      <c r="CM115" s="148"/>
      <c r="CN115" s="148"/>
      <c r="CO115" s="148"/>
      <c r="CP115" s="148"/>
      <c r="CQ115" s="148"/>
      <c r="CR115" s="148"/>
      <c r="CS115" s="148"/>
      <c r="CT115" s="148"/>
      <c r="CU115" s="148"/>
      <c r="CV115" s="148"/>
      <c r="CW115" s="148"/>
      <c r="CX115" s="148"/>
      <c r="CY115" s="148"/>
      <c r="CZ115" s="148"/>
      <c r="DA115" s="148"/>
      <c r="DB115" s="148"/>
      <c r="DC115" s="148"/>
      <c r="DD115" s="148"/>
      <c r="DE115" s="148"/>
      <c r="DF115" s="148"/>
      <c r="DG115" s="148"/>
      <c r="DH115" s="148"/>
      <c r="DI115" s="148"/>
      <c r="DJ115" s="148"/>
      <c r="DK115" s="148"/>
      <c r="DL115" s="148"/>
      <c r="DM115" s="148"/>
      <c r="DN115" s="148"/>
      <c r="DO115" s="148"/>
      <c r="DP115" s="148"/>
      <c r="DQ115" s="148"/>
      <c r="DR115" s="148"/>
      <c r="DS115" s="148"/>
      <c r="DT115" s="148"/>
      <c r="DU115" s="148"/>
      <c r="DV115" s="148"/>
      <c r="DW115" s="148"/>
      <c r="DX115" s="148"/>
      <c r="DY115" s="148"/>
      <c r="DZ115" s="148"/>
      <c r="EA115" s="148"/>
      <c r="EB115" s="148"/>
      <c r="EC115" s="148"/>
      <c r="ED115" s="148"/>
      <c r="EE115" s="148"/>
      <c r="EF115" s="148"/>
      <c r="EG115" s="148"/>
      <c r="EH115" s="148"/>
      <c r="EI115" s="148"/>
      <c r="EJ115" s="148"/>
      <c r="EK115" s="148"/>
      <c r="EL115" s="148"/>
      <c r="EM115" s="148"/>
      <c r="EN115" s="148"/>
      <c r="EO115" s="148"/>
      <c r="EP115" s="148"/>
      <c r="EQ115" s="148"/>
      <c r="ER115" s="148"/>
      <c r="ES115" s="148"/>
      <c r="ET115" s="148"/>
      <c r="EU115" s="148"/>
      <c r="EV115" s="148"/>
      <c r="EW115" s="148"/>
      <c r="EX115" s="148"/>
      <c r="EY115" s="148"/>
      <c r="EZ115" s="148"/>
      <c r="FA115" s="148"/>
      <c r="FB115" s="148"/>
      <c r="FC115" s="148"/>
      <c r="FD115" s="148"/>
      <c r="FE115" s="148"/>
      <c r="FF115" s="148"/>
      <c r="FG115" s="148"/>
      <c r="FH115" s="148"/>
      <c r="FI115" s="148"/>
      <c r="FJ115" s="148"/>
      <c r="FK115" s="148"/>
      <c r="FL115" s="148"/>
      <c r="FM115" s="148"/>
      <c r="FN115" s="148"/>
      <c r="FO115" s="148"/>
      <c r="FP115" s="148"/>
      <c r="FQ115" s="148"/>
      <c r="FR115" s="148"/>
      <c r="FS115" s="148"/>
      <c r="FT115" s="148"/>
      <c r="FU115" s="148"/>
      <c r="FV115" s="148"/>
      <c r="FW115" s="148"/>
      <c r="FX115" s="148"/>
      <c r="FY115" s="148"/>
      <c r="FZ115" s="148"/>
      <c r="GA115" s="148"/>
      <c r="GB115" s="148"/>
      <c r="GC115" s="148"/>
      <c r="GD115" s="148"/>
      <c r="GE115" s="148"/>
      <c r="GF115" s="148"/>
      <c r="GG115" s="148"/>
      <c r="GH115" s="148"/>
      <c r="GI115" s="148"/>
      <c r="GJ115" s="148"/>
      <c r="GK115" s="148"/>
      <c r="GL115" s="148"/>
      <c r="GM115" s="148"/>
      <c r="GN115" s="148"/>
      <c r="GO115" s="148"/>
      <c r="GP115" s="148"/>
      <c r="GQ115" s="148"/>
      <c r="GR115" s="148"/>
      <c r="GS115" s="148"/>
      <c r="GT115" s="148"/>
      <c r="GU115" s="148"/>
      <c r="GV115" s="148"/>
      <c r="GW115" s="148"/>
      <c r="GX115" s="148"/>
      <c r="GY115" s="148"/>
      <c r="GZ115" s="148"/>
      <c r="HA115" s="148"/>
      <c r="HB115" s="148"/>
      <c r="HC115" s="148"/>
      <c r="HD115" s="148"/>
      <c r="HE115" s="148"/>
      <c r="HF115" s="148"/>
      <c r="HG115" s="148"/>
      <c r="HH115" s="148"/>
      <c r="HI115" s="148"/>
      <c r="HJ115" s="148"/>
      <c r="HK115" s="148"/>
      <c r="HL115" s="148"/>
      <c r="HM115" s="148"/>
      <c r="HN115" s="148"/>
      <c r="HO115" s="148"/>
      <c r="HP115" s="148"/>
      <c r="HQ115" s="148"/>
      <c r="HR115" s="148"/>
      <c r="HS115" s="148"/>
      <c r="HT115" s="148"/>
      <c r="HU115" s="148"/>
      <c r="HV115" s="148"/>
      <c r="HW115" s="148"/>
      <c r="HX115" s="148"/>
      <c r="HY115" s="148"/>
      <c r="HZ115" s="148"/>
      <c r="IA115" s="148"/>
      <c r="IB115" s="148"/>
      <c r="IC115" s="148"/>
      <c r="ID115" s="148"/>
      <c r="IE115" s="148"/>
      <c r="IF115" s="148"/>
      <c r="IG115" s="148"/>
      <c r="IH115" s="148"/>
      <c r="II115" s="148"/>
      <c r="IJ115" s="148"/>
      <c r="IK115" s="148"/>
      <c r="IL115" s="148"/>
      <c r="IM115" s="148"/>
      <c r="IN115" s="148"/>
      <c r="IO115" s="148"/>
      <c r="IP115" s="148"/>
      <c r="IQ115" s="148"/>
      <c r="IR115" s="148"/>
      <c r="IS115" s="148"/>
      <c r="IT115" s="148"/>
      <c r="IU115" s="148"/>
      <c r="IV115" s="148"/>
      <c r="IW115" s="148"/>
      <c r="IX115" s="148"/>
      <c r="IY115" s="148"/>
      <c r="IZ115" s="148"/>
      <c r="JA115" s="148"/>
    </row>
    <row r="116" spans="1:261" s="272" customFormat="1" ht="18" customHeight="1" x14ac:dyDescent="0.35">
      <c r="A116" s="1423">
        <v>105</v>
      </c>
      <c r="B116" s="1557"/>
      <c r="C116" s="1582"/>
      <c r="D116" s="1174" t="s">
        <v>999</v>
      </c>
      <c r="E116" s="1560"/>
      <c r="F116" s="1561"/>
      <c r="G116" s="1562"/>
      <c r="H116" s="1563"/>
      <c r="I116" s="1580"/>
      <c r="J116" s="1574"/>
      <c r="K116" s="1574"/>
      <c r="L116" s="1574"/>
      <c r="M116" s="1574"/>
      <c r="N116" s="1574"/>
      <c r="O116" s="1578">
        <f>SUM(I116:N116)</f>
        <v>0</v>
      </c>
      <c r="P116" s="1567"/>
      <c r="Q116" s="148"/>
      <c r="R116" s="148"/>
      <c r="S116" s="148"/>
      <c r="T116" s="148"/>
      <c r="U116" s="148"/>
      <c r="V116" s="148"/>
      <c r="W116" s="148"/>
      <c r="X116" s="148"/>
      <c r="Y116" s="148"/>
      <c r="Z116" s="148"/>
      <c r="AA116" s="148"/>
      <c r="AB116" s="148"/>
      <c r="AC116" s="148"/>
      <c r="AD116" s="148"/>
      <c r="AE116" s="148"/>
      <c r="AF116" s="148"/>
      <c r="AG116" s="148"/>
      <c r="AH116" s="148"/>
      <c r="AI116" s="148"/>
      <c r="AJ116" s="148"/>
      <c r="AK116" s="148"/>
      <c r="AL116" s="148"/>
      <c r="AM116" s="148"/>
      <c r="AN116" s="148"/>
      <c r="AO116" s="148"/>
      <c r="AP116" s="148"/>
      <c r="AQ116" s="148"/>
      <c r="AR116" s="148"/>
      <c r="AS116" s="148"/>
      <c r="AT116" s="148"/>
      <c r="AU116" s="148"/>
      <c r="AV116" s="148"/>
      <c r="AW116" s="148"/>
      <c r="AX116" s="148"/>
      <c r="AY116" s="148"/>
      <c r="AZ116" s="148"/>
      <c r="BA116" s="148"/>
      <c r="BB116" s="148"/>
      <c r="BC116" s="148"/>
      <c r="BD116" s="148"/>
      <c r="BE116" s="148"/>
      <c r="BF116" s="148"/>
      <c r="BG116" s="148"/>
      <c r="BH116" s="148"/>
      <c r="BI116" s="148"/>
      <c r="BJ116" s="148"/>
      <c r="BK116" s="148"/>
      <c r="BL116" s="148"/>
      <c r="BM116" s="148"/>
      <c r="BN116" s="148"/>
      <c r="BO116" s="148"/>
      <c r="BP116" s="148"/>
      <c r="BQ116" s="148"/>
      <c r="BR116" s="148"/>
      <c r="BS116" s="148"/>
      <c r="BT116" s="148"/>
      <c r="BU116" s="148"/>
      <c r="BV116" s="148"/>
      <c r="BW116" s="148"/>
      <c r="BX116" s="148"/>
      <c r="BY116" s="148"/>
      <c r="BZ116" s="148"/>
      <c r="CA116" s="148"/>
      <c r="CB116" s="148"/>
      <c r="CC116" s="148"/>
      <c r="CD116" s="148"/>
      <c r="CE116" s="148"/>
      <c r="CF116" s="148"/>
      <c r="CG116" s="148"/>
      <c r="CH116" s="148"/>
      <c r="CI116" s="148"/>
      <c r="CJ116" s="148"/>
      <c r="CK116" s="148"/>
      <c r="CL116" s="148"/>
      <c r="CM116" s="148"/>
      <c r="CN116" s="148"/>
      <c r="CO116" s="148"/>
      <c r="CP116" s="148"/>
      <c r="CQ116" s="148"/>
      <c r="CR116" s="148"/>
      <c r="CS116" s="148"/>
      <c r="CT116" s="148"/>
      <c r="CU116" s="148"/>
      <c r="CV116" s="148"/>
      <c r="CW116" s="148"/>
      <c r="CX116" s="148"/>
      <c r="CY116" s="148"/>
      <c r="CZ116" s="148"/>
      <c r="DA116" s="148"/>
      <c r="DB116" s="148"/>
      <c r="DC116" s="148"/>
      <c r="DD116" s="148"/>
      <c r="DE116" s="148"/>
      <c r="DF116" s="148"/>
      <c r="DG116" s="148"/>
      <c r="DH116" s="148"/>
      <c r="DI116" s="148"/>
      <c r="DJ116" s="148"/>
      <c r="DK116" s="148"/>
      <c r="DL116" s="148"/>
      <c r="DM116" s="148"/>
      <c r="DN116" s="148"/>
      <c r="DO116" s="148"/>
      <c r="DP116" s="148"/>
      <c r="DQ116" s="148"/>
      <c r="DR116" s="148"/>
      <c r="DS116" s="148"/>
      <c r="DT116" s="148"/>
      <c r="DU116" s="148"/>
      <c r="DV116" s="148"/>
      <c r="DW116" s="148"/>
      <c r="DX116" s="148"/>
      <c r="DY116" s="148"/>
      <c r="DZ116" s="148"/>
      <c r="EA116" s="148"/>
      <c r="EB116" s="148"/>
      <c r="EC116" s="148"/>
      <c r="ED116" s="148"/>
      <c r="EE116" s="148"/>
      <c r="EF116" s="148"/>
      <c r="EG116" s="148"/>
      <c r="EH116" s="148"/>
      <c r="EI116" s="148"/>
      <c r="EJ116" s="148"/>
      <c r="EK116" s="148"/>
      <c r="EL116" s="148"/>
      <c r="EM116" s="148"/>
      <c r="EN116" s="148"/>
      <c r="EO116" s="148"/>
      <c r="EP116" s="148"/>
      <c r="EQ116" s="148"/>
      <c r="ER116" s="148"/>
      <c r="ES116" s="148"/>
      <c r="ET116" s="148"/>
      <c r="EU116" s="148"/>
      <c r="EV116" s="148"/>
      <c r="EW116" s="148"/>
      <c r="EX116" s="148"/>
      <c r="EY116" s="148"/>
      <c r="EZ116" s="148"/>
      <c r="FA116" s="148"/>
      <c r="FB116" s="148"/>
      <c r="FC116" s="148"/>
      <c r="FD116" s="148"/>
      <c r="FE116" s="148"/>
      <c r="FF116" s="148"/>
      <c r="FG116" s="148"/>
      <c r="FH116" s="148"/>
      <c r="FI116" s="148"/>
      <c r="FJ116" s="148"/>
      <c r="FK116" s="148"/>
      <c r="FL116" s="148"/>
      <c r="FM116" s="148"/>
      <c r="FN116" s="148"/>
      <c r="FO116" s="148"/>
      <c r="FP116" s="148"/>
      <c r="FQ116" s="148"/>
      <c r="FR116" s="148"/>
      <c r="FS116" s="148"/>
      <c r="FT116" s="148"/>
      <c r="FU116" s="148"/>
      <c r="FV116" s="148"/>
      <c r="FW116" s="148"/>
      <c r="FX116" s="148"/>
      <c r="FY116" s="148"/>
      <c r="FZ116" s="148"/>
      <c r="GA116" s="148"/>
      <c r="GB116" s="148"/>
      <c r="GC116" s="148"/>
      <c r="GD116" s="148"/>
      <c r="GE116" s="148"/>
      <c r="GF116" s="148"/>
      <c r="GG116" s="148"/>
      <c r="GH116" s="148"/>
      <c r="GI116" s="148"/>
      <c r="GJ116" s="148"/>
      <c r="GK116" s="148"/>
      <c r="GL116" s="148"/>
      <c r="GM116" s="148"/>
      <c r="GN116" s="148"/>
      <c r="GO116" s="148"/>
      <c r="GP116" s="148"/>
      <c r="GQ116" s="148"/>
      <c r="GR116" s="148"/>
      <c r="GS116" s="148"/>
      <c r="GT116" s="148"/>
      <c r="GU116" s="148"/>
      <c r="GV116" s="148"/>
      <c r="GW116" s="148"/>
      <c r="GX116" s="148"/>
      <c r="GY116" s="148"/>
      <c r="GZ116" s="148"/>
      <c r="HA116" s="148"/>
      <c r="HB116" s="148"/>
      <c r="HC116" s="148"/>
      <c r="HD116" s="148"/>
      <c r="HE116" s="148"/>
      <c r="HF116" s="148"/>
      <c r="HG116" s="148"/>
      <c r="HH116" s="148"/>
      <c r="HI116" s="148"/>
      <c r="HJ116" s="148"/>
      <c r="HK116" s="148"/>
      <c r="HL116" s="148"/>
      <c r="HM116" s="148"/>
      <c r="HN116" s="148"/>
      <c r="HO116" s="148"/>
      <c r="HP116" s="148"/>
      <c r="HQ116" s="148"/>
      <c r="HR116" s="148"/>
      <c r="HS116" s="148"/>
      <c r="HT116" s="148"/>
      <c r="HU116" s="148"/>
      <c r="HV116" s="148"/>
      <c r="HW116" s="148"/>
      <c r="HX116" s="148"/>
      <c r="HY116" s="148"/>
      <c r="HZ116" s="148"/>
      <c r="IA116" s="148"/>
      <c r="IB116" s="148"/>
      <c r="IC116" s="148"/>
      <c r="ID116" s="148"/>
      <c r="IE116" s="148"/>
      <c r="IF116" s="148"/>
      <c r="IG116" s="148"/>
      <c r="IH116" s="148"/>
      <c r="II116" s="148"/>
      <c r="IJ116" s="148"/>
      <c r="IK116" s="148"/>
      <c r="IL116" s="148"/>
      <c r="IM116" s="148"/>
      <c r="IN116" s="148"/>
      <c r="IO116" s="148"/>
      <c r="IP116" s="148"/>
      <c r="IQ116" s="148"/>
      <c r="IR116" s="148"/>
      <c r="IS116" s="148"/>
      <c r="IT116" s="148"/>
      <c r="IU116" s="148"/>
      <c r="IV116" s="148"/>
      <c r="IW116" s="148"/>
      <c r="IX116" s="148"/>
      <c r="IY116" s="148"/>
      <c r="IZ116" s="148"/>
      <c r="JA116" s="148"/>
    </row>
    <row r="117" spans="1:261" s="272" customFormat="1" ht="18" customHeight="1" x14ac:dyDescent="0.35">
      <c r="A117" s="1423">
        <v>106</v>
      </c>
      <c r="B117" s="1557"/>
      <c r="C117" s="1582"/>
      <c r="D117" s="1163" t="s">
        <v>1116</v>
      </c>
      <c r="E117" s="1560"/>
      <c r="F117" s="1561"/>
      <c r="G117" s="1562"/>
      <c r="H117" s="1563"/>
      <c r="I117" s="1580"/>
      <c r="J117" s="1574"/>
      <c r="K117" s="1574">
        <f>SUM(K115:K116)</f>
        <v>12196</v>
      </c>
      <c r="L117" s="1574"/>
      <c r="M117" s="1574">
        <f t="shared" ref="M117" si="15">SUM(M115:M116)</f>
        <v>1562693</v>
      </c>
      <c r="N117" s="1574"/>
      <c r="O117" s="1576">
        <f>SUM(I117:N117)</f>
        <v>1574889</v>
      </c>
      <c r="P117" s="1567"/>
      <c r="Q117" s="148"/>
      <c r="R117" s="148"/>
      <c r="S117" s="148"/>
      <c r="T117" s="148"/>
      <c r="U117" s="148"/>
      <c r="V117" s="148"/>
      <c r="W117" s="148"/>
      <c r="X117" s="148"/>
      <c r="Y117" s="148"/>
      <c r="Z117" s="148"/>
      <c r="AA117" s="148"/>
      <c r="AB117" s="148"/>
      <c r="AC117" s="148"/>
      <c r="AD117" s="148"/>
      <c r="AE117" s="148"/>
      <c r="AF117" s="148"/>
      <c r="AG117" s="148"/>
      <c r="AH117" s="148"/>
      <c r="AI117" s="148"/>
      <c r="AJ117" s="148"/>
      <c r="AK117" s="148"/>
      <c r="AL117" s="148"/>
      <c r="AM117" s="148"/>
      <c r="AN117" s="148"/>
      <c r="AO117" s="148"/>
      <c r="AP117" s="148"/>
      <c r="AQ117" s="148"/>
      <c r="AR117" s="148"/>
      <c r="AS117" s="148"/>
      <c r="AT117" s="148"/>
      <c r="AU117" s="148"/>
      <c r="AV117" s="148"/>
      <c r="AW117" s="148"/>
      <c r="AX117" s="148"/>
      <c r="AY117" s="148"/>
      <c r="AZ117" s="148"/>
      <c r="BA117" s="148"/>
      <c r="BB117" s="148"/>
      <c r="BC117" s="148"/>
      <c r="BD117" s="148"/>
      <c r="BE117" s="148"/>
      <c r="BF117" s="148"/>
      <c r="BG117" s="148"/>
      <c r="BH117" s="148"/>
      <c r="BI117" s="148"/>
      <c r="BJ117" s="148"/>
      <c r="BK117" s="148"/>
      <c r="BL117" s="148"/>
      <c r="BM117" s="148"/>
      <c r="BN117" s="148"/>
      <c r="BO117" s="148"/>
      <c r="BP117" s="148"/>
      <c r="BQ117" s="148"/>
      <c r="BR117" s="148"/>
      <c r="BS117" s="148"/>
      <c r="BT117" s="148"/>
      <c r="BU117" s="148"/>
      <c r="BV117" s="148"/>
      <c r="BW117" s="148"/>
      <c r="BX117" s="148"/>
      <c r="BY117" s="148"/>
      <c r="BZ117" s="148"/>
      <c r="CA117" s="148"/>
      <c r="CB117" s="148"/>
      <c r="CC117" s="148"/>
      <c r="CD117" s="148"/>
      <c r="CE117" s="148"/>
      <c r="CF117" s="148"/>
      <c r="CG117" s="148"/>
      <c r="CH117" s="148"/>
      <c r="CI117" s="148"/>
      <c r="CJ117" s="148"/>
      <c r="CK117" s="148"/>
      <c r="CL117" s="148"/>
      <c r="CM117" s="148"/>
      <c r="CN117" s="148"/>
      <c r="CO117" s="148"/>
      <c r="CP117" s="148"/>
      <c r="CQ117" s="148"/>
      <c r="CR117" s="148"/>
      <c r="CS117" s="148"/>
      <c r="CT117" s="148"/>
      <c r="CU117" s="148"/>
      <c r="CV117" s="148"/>
      <c r="CW117" s="148"/>
      <c r="CX117" s="148"/>
      <c r="CY117" s="148"/>
      <c r="CZ117" s="148"/>
      <c r="DA117" s="148"/>
      <c r="DB117" s="148"/>
      <c r="DC117" s="148"/>
      <c r="DD117" s="148"/>
      <c r="DE117" s="148"/>
      <c r="DF117" s="148"/>
      <c r="DG117" s="148"/>
      <c r="DH117" s="148"/>
      <c r="DI117" s="148"/>
      <c r="DJ117" s="148"/>
      <c r="DK117" s="148"/>
      <c r="DL117" s="148"/>
      <c r="DM117" s="148"/>
      <c r="DN117" s="148"/>
      <c r="DO117" s="148"/>
      <c r="DP117" s="148"/>
      <c r="DQ117" s="148"/>
      <c r="DR117" s="148"/>
      <c r="DS117" s="148"/>
      <c r="DT117" s="148"/>
      <c r="DU117" s="148"/>
      <c r="DV117" s="148"/>
      <c r="DW117" s="148"/>
      <c r="DX117" s="148"/>
      <c r="DY117" s="148"/>
      <c r="DZ117" s="148"/>
      <c r="EA117" s="148"/>
      <c r="EB117" s="148"/>
      <c r="EC117" s="148"/>
      <c r="ED117" s="148"/>
      <c r="EE117" s="148"/>
      <c r="EF117" s="148"/>
      <c r="EG117" s="148"/>
      <c r="EH117" s="148"/>
      <c r="EI117" s="148"/>
      <c r="EJ117" s="148"/>
      <c r="EK117" s="148"/>
      <c r="EL117" s="148"/>
      <c r="EM117" s="148"/>
      <c r="EN117" s="148"/>
      <c r="EO117" s="148"/>
      <c r="EP117" s="148"/>
      <c r="EQ117" s="148"/>
      <c r="ER117" s="148"/>
      <c r="ES117" s="148"/>
      <c r="ET117" s="148"/>
      <c r="EU117" s="148"/>
      <c r="EV117" s="148"/>
      <c r="EW117" s="148"/>
      <c r="EX117" s="148"/>
      <c r="EY117" s="148"/>
      <c r="EZ117" s="148"/>
      <c r="FA117" s="148"/>
      <c r="FB117" s="148"/>
      <c r="FC117" s="148"/>
      <c r="FD117" s="148"/>
      <c r="FE117" s="148"/>
      <c r="FF117" s="148"/>
      <c r="FG117" s="148"/>
      <c r="FH117" s="148"/>
      <c r="FI117" s="148"/>
      <c r="FJ117" s="148"/>
      <c r="FK117" s="148"/>
      <c r="FL117" s="148"/>
      <c r="FM117" s="148"/>
      <c r="FN117" s="148"/>
      <c r="FO117" s="148"/>
      <c r="FP117" s="148"/>
      <c r="FQ117" s="148"/>
      <c r="FR117" s="148"/>
      <c r="FS117" s="148"/>
      <c r="FT117" s="148"/>
      <c r="FU117" s="148"/>
      <c r="FV117" s="148"/>
      <c r="FW117" s="148"/>
      <c r="FX117" s="148"/>
      <c r="FY117" s="148"/>
      <c r="FZ117" s="148"/>
      <c r="GA117" s="148"/>
      <c r="GB117" s="148"/>
      <c r="GC117" s="148"/>
      <c r="GD117" s="148"/>
      <c r="GE117" s="148"/>
      <c r="GF117" s="148"/>
      <c r="GG117" s="148"/>
      <c r="GH117" s="148"/>
      <c r="GI117" s="148"/>
      <c r="GJ117" s="148"/>
      <c r="GK117" s="148"/>
      <c r="GL117" s="148"/>
      <c r="GM117" s="148"/>
      <c r="GN117" s="148"/>
      <c r="GO117" s="148"/>
      <c r="GP117" s="148"/>
      <c r="GQ117" s="148"/>
      <c r="GR117" s="148"/>
      <c r="GS117" s="148"/>
      <c r="GT117" s="148"/>
      <c r="GU117" s="148"/>
      <c r="GV117" s="148"/>
      <c r="GW117" s="148"/>
      <c r="GX117" s="148"/>
      <c r="GY117" s="148"/>
      <c r="GZ117" s="148"/>
      <c r="HA117" s="148"/>
      <c r="HB117" s="148"/>
      <c r="HC117" s="148"/>
      <c r="HD117" s="148"/>
      <c r="HE117" s="148"/>
      <c r="HF117" s="148"/>
      <c r="HG117" s="148"/>
      <c r="HH117" s="148"/>
      <c r="HI117" s="148"/>
      <c r="HJ117" s="148"/>
      <c r="HK117" s="148"/>
      <c r="HL117" s="148"/>
      <c r="HM117" s="148"/>
      <c r="HN117" s="148"/>
      <c r="HO117" s="148"/>
      <c r="HP117" s="148"/>
      <c r="HQ117" s="148"/>
      <c r="HR117" s="148"/>
      <c r="HS117" s="148"/>
      <c r="HT117" s="148"/>
      <c r="HU117" s="148"/>
      <c r="HV117" s="148"/>
      <c r="HW117" s="148"/>
      <c r="HX117" s="148"/>
      <c r="HY117" s="148"/>
      <c r="HZ117" s="148"/>
      <c r="IA117" s="148"/>
      <c r="IB117" s="148"/>
      <c r="IC117" s="148"/>
      <c r="ID117" s="148"/>
      <c r="IE117" s="148"/>
      <c r="IF117" s="148"/>
      <c r="IG117" s="148"/>
      <c r="IH117" s="148"/>
      <c r="II117" s="148"/>
      <c r="IJ117" s="148"/>
      <c r="IK117" s="148"/>
      <c r="IL117" s="148"/>
      <c r="IM117" s="148"/>
      <c r="IN117" s="148"/>
      <c r="IO117" s="148"/>
      <c r="IP117" s="148"/>
      <c r="IQ117" s="148"/>
      <c r="IR117" s="148"/>
      <c r="IS117" s="148"/>
      <c r="IT117" s="148"/>
      <c r="IU117" s="148"/>
      <c r="IV117" s="148"/>
      <c r="IW117" s="148"/>
      <c r="IX117" s="148"/>
      <c r="IY117" s="148"/>
      <c r="IZ117" s="148"/>
      <c r="JA117" s="148"/>
    </row>
    <row r="118" spans="1:261" ht="22.5" customHeight="1" x14ac:dyDescent="0.35">
      <c r="A118" s="1423">
        <v>107</v>
      </c>
      <c r="B118" s="1589"/>
      <c r="C118" s="1558">
        <v>22</v>
      </c>
      <c r="D118" s="150" t="s">
        <v>695</v>
      </c>
      <c r="E118" s="1560"/>
      <c r="F118" s="1561"/>
      <c r="G118" s="1562"/>
      <c r="H118" s="1563" t="s">
        <v>24</v>
      </c>
      <c r="I118" s="1564"/>
      <c r="J118" s="1565"/>
      <c r="K118" s="1565"/>
      <c r="L118" s="1565"/>
      <c r="M118" s="1565"/>
      <c r="N118" s="1565"/>
      <c r="O118" s="1566"/>
      <c r="P118" s="1567"/>
    </row>
    <row r="119" spans="1:261" s="272" customFormat="1" ht="18" customHeight="1" x14ac:dyDescent="0.35">
      <c r="A119" s="1423">
        <v>108</v>
      </c>
      <c r="B119" s="1557"/>
      <c r="C119" s="1582"/>
      <c r="D119" s="1585" t="s">
        <v>311</v>
      </c>
      <c r="E119" s="1560">
        <f>F119+G119+O122+P122</f>
        <v>565</v>
      </c>
      <c r="F119" s="1561"/>
      <c r="G119" s="1562"/>
      <c r="H119" s="1563"/>
      <c r="I119" s="1564"/>
      <c r="J119" s="1565"/>
      <c r="K119" s="1565">
        <v>4792</v>
      </c>
      <c r="L119" s="1565"/>
      <c r="M119" s="1565"/>
      <c r="N119" s="1565"/>
      <c r="O119" s="1566">
        <f>SUM(I119:N119)</f>
        <v>4792</v>
      </c>
      <c r="P119" s="1567"/>
      <c r="Q119" s="148"/>
      <c r="R119" s="148"/>
      <c r="S119" s="148"/>
      <c r="T119" s="148"/>
      <c r="U119" s="148"/>
      <c r="V119" s="148"/>
      <c r="W119" s="148"/>
      <c r="X119" s="148"/>
      <c r="Y119" s="148"/>
      <c r="Z119" s="148"/>
      <c r="AA119" s="148"/>
      <c r="AB119" s="148"/>
      <c r="AC119" s="148"/>
      <c r="AD119" s="148"/>
      <c r="AE119" s="148"/>
      <c r="AF119" s="148"/>
      <c r="AG119" s="148"/>
      <c r="AH119" s="148"/>
      <c r="AI119" s="148"/>
      <c r="AJ119" s="148"/>
      <c r="AK119" s="148"/>
      <c r="AL119" s="148"/>
      <c r="AM119" s="148"/>
      <c r="AN119" s="148"/>
      <c r="AO119" s="148"/>
      <c r="AP119" s="148"/>
      <c r="AQ119" s="148"/>
      <c r="AR119" s="148"/>
      <c r="AS119" s="148"/>
      <c r="AT119" s="148"/>
      <c r="AU119" s="148"/>
      <c r="AV119" s="148"/>
      <c r="AW119" s="148"/>
      <c r="AX119" s="148"/>
      <c r="AY119" s="148"/>
      <c r="AZ119" s="148"/>
      <c r="BA119" s="148"/>
      <c r="BB119" s="148"/>
      <c r="BC119" s="148"/>
      <c r="BD119" s="148"/>
      <c r="BE119" s="148"/>
      <c r="BF119" s="148"/>
      <c r="BG119" s="148"/>
      <c r="BH119" s="148"/>
      <c r="BI119" s="148"/>
      <c r="BJ119" s="148"/>
      <c r="BK119" s="148"/>
      <c r="BL119" s="148"/>
      <c r="BM119" s="148"/>
      <c r="BN119" s="148"/>
      <c r="BO119" s="148"/>
      <c r="BP119" s="148"/>
      <c r="BQ119" s="148"/>
      <c r="BR119" s="148"/>
      <c r="BS119" s="148"/>
      <c r="BT119" s="148"/>
      <c r="BU119" s="148"/>
      <c r="BV119" s="148"/>
      <c r="BW119" s="148"/>
      <c r="BX119" s="148"/>
      <c r="BY119" s="148"/>
      <c r="BZ119" s="148"/>
      <c r="CA119" s="148"/>
      <c r="CB119" s="148"/>
      <c r="CC119" s="148"/>
      <c r="CD119" s="148"/>
      <c r="CE119" s="148"/>
      <c r="CF119" s="148"/>
      <c r="CG119" s="148"/>
      <c r="CH119" s="148"/>
      <c r="CI119" s="148"/>
      <c r="CJ119" s="148"/>
      <c r="CK119" s="148"/>
      <c r="CL119" s="148"/>
      <c r="CM119" s="148"/>
      <c r="CN119" s="148"/>
      <c r="CO119" s="148"/>
      <c r="CP119" s="148"/>
      <c r="CQ119" s="148"/>
      <c r="CR119" s="148"/>
      <c r="CS119" s="148"/>
      <c r="CT119" s="148"/>
      <c r="CU119" s="148"/>
      <c r="CV119" s="148"/>
      <c r="CW119" s="148"/>
      <c r="CX119" s="148"/>
      <c r="CY119" s="148"/>
      <c r="CZ119" s="148"/>
      <c r="DA119" s="148"/>
      <c r="DB119" s="148"/>
      <c r="DC119" s="148"/>
      <c r="DD119" s="148"/>
      <c r="DE119" s="148"/>
      <c r="DF119" s="148"/>
      <c r="DG119" s="148"/>
      <c r="DH119" s="148"/>
      <c r="DI119" s="148"/>
      <c r="DJ119" s="148"/>
      <c r="DK119" s="148"/>
      <c r="DL119" s="148"/>
      <c r="DM119" s="148"/>
      <c r="DN119" s="148"/>
      <c r="DO119" s="148"/>
      <c r="DP119" s="148"/>
      <c r="DQ119" s="148"/>
      <c r="DR119" s="148"/>
      <c r="DS119" s="148"/>
      <c r="DT119" s="148"/>
      <c r="DU119" s="148"/>
      <c r="DV119" s="148"/>
      <c r="DW119" s="148"/>
      <c r="DX119" s="148"/>
      <c r="DY119" s="148"/>
      <c r="DZ119" s="148"/>
      <c r="EA119" s="148"/>
      <c r="EB119" s="148"/>
      <c r="EC119" s="148"/>
      <c r="ED119" s="148"/>
      <c r="EE119" s="148"/>
      <c r="EF119" s="148"/>
      <c r="EG119" s="148"/>
      <c r="EH119" s="148"/>
      <c r="EI119" s="148"/>
      <c r="EJ119" s="148"/>
      <c r="EK119" s="148"/>
      <c r="EL119" s="148"/>
      <c r="EM119" s="148"/>
      <c r="EN119" s="148"/>
      <c r="EO119" s="148"/>
      <c r="EP119" s="148"/>
      <c r="EQ119" s="148"/>
      <c r="ER119" s="148"/>
      <c r="ES119" s="148"/>
      <c r="ET119" s="148"/>
      <c r="EU119" s="148"/>
      <c r="EV119" s="148"/>
      <c r="EW119" s="148"/>
      <c r="EX119" s="148"/>
      <c r="EY119" s="148"/>
      <c r="EZ119" s="148"/>
      <c r="FA119" s="148"/>
      <c r="FB119" s="148"/>
      <c r="FC119" s="148"/>
      <c r="FD119" s="148"/>
      <c r="FE119" s="148"/>
      <c r="FF119" s="148"/>
      <c r="FG119" s="148"/>
      <c r="FH119" s="148"/>
      <c r="FI119" s="148"/>
      <c r="FJ119" s="148"/>
      <c r="FK119" s="148"/>
      <c r="FL119" s="148"/>
      <c r="FM119" s="148"/>
      <c r="FN119" s="148"/>
      <c r="FO119" s="148"/>
      <c r="FP119" s="148"/>
      <c r="FQ119" s="148"/>
      <c r="FR119" s="148"/>
      <c r="FS119" s="148"/>
      <c r="FT119" s="148"/>
      <c r="FU119" s="148"/>
      <c r="FV119" s="148"/>
      <c r="FW119" s="148"/>
      <c r="FX119" s="148"/>
      <c r="FY119" s="148"/>
      <c r="FZ119" s="148"/>
      <c r="GA119" s="148"/>
      <c r="GB119" s="148"/>
      <c r="GC119" s="148"/>
      <c r="GD119" s="148"/>
      <c r="GE119" s="148"/>
      <c r="GF119" s="148"/>
      <c r="GG119" s="148"/>
      <c r="GH119" s="148"/>
      <c r="GI119" s="148"/>
      <c r="GJ119" s="148"/>
      <c r="GK119" s="148"/>
      <c r="GL119" s="148"/>
      <c r="GM119" s="148"/>
      <c r="GN119" s="148"/>
      <c r="GO119" s="148"/>
      <c r="GP119" s="148"/>
      <c r="GQ119" s="148"/>
      <c r="GR119" s="148"/>
      <c r="GS119" s="148"/>
      <c r="GT119" s="148"/>
      <c r="GU119" s="148"/>
      <c r="GV119" s="148"/>
      <c r="GW119" s="148"/>
      <c r="GX119" s="148"/>
      <c r="GY119" s="148"/>
      <c r="GZ119" s="148"/>
      <c r="HA119" s="148"/>
      <c r="HB119" s="148"/>
      <c r="HC119" s="148"/>
      <c r="HD119" s="148"/>
      <c r="HE119" s="148"/>
      <c r="HF119" s="148"/>
      <c r="HG119" s="148"/>
      <c r="HH119" s="148"/>
      <c r="HI119" s="148"/>
      <c r="HJ119" s="148"/>
      <c r="HK119" s="148"/>
      <c r="HL119" s="148"/>
      <c r="HM119" s="148"/>
      <c r="HN119" s="148"/>
      <c r="HO119" s="148"/>
      <c r="HP119" s="148"/>
      <c r="HQ119" s="148"/>
      <c r="HR119" s="148"/>
      <c r="HS119" s="148"/>
      <c r="HT119" s="148"/>
      <c r="HU119" s="148"/>
      <c r="HV119" s="148"/>
      <c r="HW119" s="148"/>
      <c r="HX119" s="148"/>
      <c r="HY119" s="148"/>
      <c r="HZ119" s="148"/>
      <c r="IA119" s="148"/>
      <c r="IB119" s="148"/>
      <c r="IC119" s="148"/>
      <c r="ID119" s="148"/>
      <c r="IE119" s="148"/>
      <c r="IF119" s="148"/>
      <c r="IG119" s="148"/>
      <c r="IH119" s="148"/>
      <c r="II119" s="148"/>
      <c r="IJ119" s="148"/>
      <c r="IK119" s="148"/>
      <c r="IL119" s="148"/>
      <c r="IM119" s="148"/>
      <c r="IN119" s="148"/>
      <c r="IO119" s="148"/>
      <c r="IP119" s="148"/>
      <c r="IQ119" s="148"/>
      <c r="IR119" s="148"/>
      <c r="IS119" s="148"/>
      <c r="IT119" s="148"/>
      <c r="IU119" s="148"/>
      <c r="IV119" s="148"/>
      <c r="IW119" s="148"/>
      <c r="IX119" s="148"/>
      <c r="IY119" s="148"/>
      <c r="IZ119" s="148"/>
      <c r="JA119" s="148"/>
    </row>
    <row r="120" spans="1:261" s="272" customFormat="1" ht="18" customHeight="1" x14ac:dyDescent="0.35">
      <c r="A120" s="1423">
        <v>109</v>
      </c>
      <c r="B120" s="1557"/>
      <c r="C120" s="1582"/>
      <c r="D120" s="1163" t="s">
        <v>1064</v>
      </c>
      <c r="E120" s="1560"/>
      <c r="F120" s="1561"/>
      <c r="G120" s="1562"/>
      <c r="H120" s="1563"/>
      <c r="I120" s="1564"/>
      <c r="J120" s="1565"/>
      <c r="K120" s="1565">
        <v>565</v>
      </c>
      <c r="L120" s="1565"/>
      <c r="M120" s="1565"/>
      <c r="N120" s="1565"/>
      <c r="O120" s="1576">
        <f>SUM(I120:N120)</f>
        <v>565</v>
      </c>
      <c r="P120" s="1567"/>
      <c r="Q120" s="148"/>
      <c r="R120" s="148"/>
      <c r="S120" s="148"/>
      <c r="T120" s="148"/>
      <c r="U120" s="148"/>
      <c r="V120" s="148"/>
      <c r="W120" s="148"/>
      <c r="X120" s="148"/>
      <c r="Y120" s="148"/>
      <c r="Z120" s="148"/>
      <c r="AA120" s="148"/>
      <c r="AB120" s="148"/>
      <c r="AC120" s="148"/>
      <c r="AD120" s="148"/>
      <c r="AE120" s="148"/>
      <c r="AF120" s="148"/>
      <c r="AG120" s="148"/>
      <c r="AH120" s="148"/>
      <c r="AI120" s="148"/>
      <c r="AJ120" s="148"/>
      <c r="AK120" s="148"/>
      <c r="AL120" s="148"/>
      <c r="AM120" s="148"/>
      <c r="AN120" s="148"/>
      <c r="AO120" s="148"/>
      <c r="AP120" s="148"/>
      <c r="AQ120" s="148"/>
      <c r="AR120" s="148"/>
      <c r="AS120" s="148"/>
      <c r="AT120" s="148"/>
      <c r="AU120" s="148"/>
      <c r="AV120" s="148"/>
      <c r="AW120" s="148"/>
      <c r="AX120" s="148"/>
      <c r="AY120" s="148"/>
      <c r="AZ120" s="148"/>
      <c r="BA120" s="148"/>
      <c r="BB120" s="148"/>
      <c r="BC120" s="148"/>
      <c r="BD120" s="148"/>
      <c r="BE120" s="148"/>
      <c r="BF120" s="148"/>
      <c r="BG120" s="148"/>
      <c r="BH120" s="148"/>
      <c r="BI120" s="148"/>
      <c r="BJ120" s="148"/>
      <c r="BK120" s="148"/>
      <c r="BL120" s="148"/>
      <c r="BM120" s="148"/>
      <c r="BN120" s="148"/>
      <c r="BO120" s="148"/>
      <c r="BP120" s="148"/>
      <c r="BQ120" s="148"/>
      <c r="BR120" s="148"/>
      <c r="BS120" s="148"/>
      <c r="BT120" s="148"/>
      <c r="BU120" s="148"/>
      <c r="BV120" s="148"/>
      <c r="BW120" s="148"/>
      <c r="BX120" s="148"/>
      <c r="BY120" s="148"/>
      <c r="BZ120" s="148"/>
      <c r="CA120" s="148"/>
      <c r="CB120" s="148"/>
      <c r="CC120" s="148"/>
      <c r="CD120" s="148"/>
      <c r="CE120" s="148"/>
      <c r="CF120" s="148"/>
      <c r="CG120" s="148"/>
      <c r="CH120" s="148"/>
      <c r="CI120" s="148"/>
      <c r="CJ120" s="148"/>
      <c r="CK120" s="148"/>
      <c r="CL120" s="148"/>
      <c r="CM120" s="148"/>
      <c r="CN120" s="148"/>
      <c r="CO120" s="148"/>
      <c r="CP120" s="148"/>
      <c r="CQ120" s="148"/>
      <c r="CR120" s="148"/>
      <c r="CS120" s="148"/>
      <c r="CT120" s="148"/>
      <c r="CU120" s="148"/>
      <c r="CV120" s="148"/>
      <c r="CW120" s="148"/>
      <c r="CX120" s="148"/>
      <c r="CY120" s="148"/>
      <c r="CZ120" s="148"/>
      <c r="DA120" s="148"/>
      <c r="DB120" s="148"/>
      <c r="DC120" s="148"/>
      <c r="DD120" s="148"/>
      <c r="DE120" s="148"/>
      <c r="DF120" s="148"/>
      <c r="DG120" s="148"/>
      <c r="DH120" s="148"/>
      <c r="DI120" s="148"/>
      <c r="DJ120" s="148"/>
      <c r="DK120" s="148"/>
      <c r="DL120" s="148"/>
      <c r="DM120" s="148"/>
      <c r="DN120" s="148"/>
      <c r="DO120" s="148"/>
      <c r="DP120" s="148"/>
      <c r="DQ120" s="148"/>
      <c r="DR120" s="148"/>
      <c r="DS120" s="148"/>
      <c r="DT120" s="148"/>
      <c r="DU120" s="148"/>
      <c r="DV120" s="148"/>
      <c r="DW120" s="148"/>
      <c r="DX120" s="148"/>
      <c r="DY120" s="148"/>
      <c r="DZ120" s="148"/>
      <c r="EA120" s="148"/>
      <c r="EB120" s="148"/>
      <c r="EC120" s="148"/>
      <c r="ED120" s="148"/>
      <c r="EE120" s="148"/>
      <c r="EF120" s="148"/>
      <c r="EG120" s="148"/>
      <c r="EH120" s="148"/>
      <c r="EI120" s="148"/>
      <c r="EJ120" s="148"/>
      <c r="EK120" s="148"/>
      <c r="EL120" s="148"/>
      <c r="EM120" s="148"/>
      <c r="EN120" s="148"/>
      <c r="EO120" s="148"/>
      <c r="EP120" s="148"/>
      <c r="EQ120" s="148"/>
      <c r="ER120" s="148"/>
      <c r="ES120" s="148"/>
      <c r="ET120" s="148"/>
      <c r="EU120" s="148"/>
      <c r="EV120" s="148"/>
      <c r="EW120" s="148"/>
      <c r="EX120" s="148"/>
      <c r="EY120" s="148"/>
      <c r="EZ120" s="148"/>
      <c r="FA120" s="148"/>
      <c r="FB120" s="148"/>
      <c r="FC120" s="148"/>
      <c r="FD120" s="148"/>
      <c r="FE120" s="148"/>
      <c r="FF120" s="148"/>
      <c r="FG120" s="148"/>
      <c r="FH120" s="148"/>
      <c r="FI120" s="148"/>
      <c r="FJ120" s="148"/>
      <c r="FK120" s="148"/>
      <c r="FL120" s="148"/>
      <c r="FM120" s="148"/>
      <c r="FN120" s="148"/>
      <c r="FO120" s="148"/>
      <c r="FP120" s="148"/>
      <c r="FQ120" s="148"/>
      <c r="FR120" s="148"/>
      <c r="FS120" s="148"/>
      <c r="FT120" s="148"/>
      <c r="FU120" s="148"/>
      <c r="FV120" s="148"/>
      <c r="FW120" s="148"/>
      <c r="FX120" s="148"/>
      <c r="FY120" s="148"/>
      <c r="FZ120" s="148"/>
      <c r="GA120" s="148"/>
      <c r="GB120" s="148"/>
      <c r="GC120" s="148"/>
      <c r="GD120" s="148"/>
      <c r="GE120" s="148"/>
      <c r="GF120" s="148"/>
      <c r="GG120" s="148"/>
      <c r="GH120" s="148"/>
      <c r="GI120" s="148"/>
      <c r="GJ120" s="148"/>
      <c r="GK120" s="148"/>
      <c r="GL120" s="148"/>
      <c r="GM120" s="148"/>
      <c r="GN120" s="148"/>
      <c r="GO120" s="148"/>
      <c r="GP120" s="148"/>
      <c r="GQ120" s="148"/>
      <c r="GR120" s="148"/>
      <c r="GS120" s="148"/>
      <c r="GT120" s="148"/>
      <c r="GU120" s="148"/>
      <c r="GV120" s="148"/>
      <c r="GW120" s="148"/>
      <c r="GX120" s="148"/>
      <c r="GY120" s="148"/>
      <c r="GZ120" s="148"/>
      <c r="HA120" s="148"/>
      <c r="HB120" s="148"/>
      <c r="HC120" s="148"/>
      <c r="HD120" s="148"/>
      <c r="HE120" s="148"/>
      <c r="HF120" s="148"/>
      <c r="HG120" s="148"/>
      <c r="HH120" s="148"/>
      <c r="HI120" s="148"/>
      <c r="HJ120" s="148"/>
      <c r="HK120" s="148"/>
      <c r="HL120" s="148"/>
      <c r="HM120" s="148"/>
      <c r="HN120" s="148"/>
      <c r="HO120" s="148"/>
      <c r="HP120" s="148"/>
      <c r="HQ120" s="148"/>
      <c r="HR120" s="148"/>
      <c r="HS120" s="148"/>
      <c r="HT120" s="148"/>
      <c r="HU120" s="148"/>
      <c r="HV120" s="148"/>
      <c r="HW120" s="148"/>
      <c r="HX120" s="148"/>
      <c r="HY120" s="148"/>
      <c r="HZ120" s="148"/>
      <c r="IA120" s="148"/>
      <c r="IB120" s="148"/>
      <c r="IC120" s="148"/>
      <c r="ID120" s="148"/>
      <c r="IE120" s="148"/>
      <c r="IF120" s="148"/>
      <c r="IG120" s="148"/>
      <c r="IH120" s="148"/>
      <c r="II120" s="148"/>
      <c r="IJ120" s="148"/>
      <c r="IK120" s="148"/>
      <c r="IL120" s="148"/>
      <c r="IM120" s="148"/>
      <c r="IN120" s="148"/>
      <c r="IO120" s="148"/>
      <c r="IP120" s="148"/>
      <c r="IQ120" s="148"/>
      <c r="IR120" s="148"/>
      <c r="IS120" s="148"/>
      <c r="IT120" s="148"/>
      <c r="IU120" s="148"/>
      <c r="IV120" s="148"/>
      <c r="IW120" s="148"/>
      <c r="IX120" s="148"/>
      <c r="IY120" s="148"/>
      <c r="IZ120" s="148"/>
      <c r="JA120" s="148"/>
    </row>
    <row r="121" spans="1:261" s="272" customFormat="1" ht="20.100000000000001" customHeight="1" x14ac:dyDescent="0.35">
      <c r="A121" s="1423">
        <v>110</v>
      </c>
      <c r="B121" s="1557"/>
      <c r="C121" s="1582"/>
      <c r="D121" s="1174" t="s">
        <v>1012</v>
      </c>
      <c r="E121" s="1560"/>
      <c r="F121" s="1561"/>
      <c r="G121" s="1562"/>
      <c r="H121" s="1563"/>
      <c r="I121" s="1580"/>
      <c r="J121" s="1574"/>
      <c r="K121" s="1574"/>
      <c r="L121" s="1574"/>
      <c r="M121" s="1574"/>
      <c r="N121" s="1574"/>
      <c r="O121" s="1578">
        <f>SUM(I121:N121)</f>
        <v>0</v>
      </c>
      <c r="P121" s="1567"/>
      <c r="Q121" s="148"/>
      <c r="R121" s="148"/>
      <c r="S121" s="148"/>
      <c r="T121" s="148"/>
      <c r="U121" s="148"/>
      <c r="V121" s="148"/>
      <c r="W121" s="148"/>
      <c r="X121" s="148"/>
      <c r="Y121" s="148"/>
      <c r="Z121" s="148"/>
      <c r="AA121" s="148"/>
      <c r="AB121" s="148"/>
      <c r="AC121" s="148"/>
      <c r="AD121" s="148"/>
      <c r="AE121" s="148"/>
      <c r="AF121" s="148"/>
      <c r="AG121" s="148"/>
      <c r="AH121" s="148"/>
      <c r="AI121" s="148"/>
      <c r="AJ121" s="148"/>
      <c r="AK121" s="148"/>
      <c r="AL121" s="148"/>
      <c r="AM121" s="148"/>
      <c r="AN121" s="148"/>
      <c r="AO121" s="148"/>
      <c r="AP121" s="148"/>
      <c r="AQ121" s="148"/>
      <c r="AR121" s="148"/>
      <c r="AS121" s="148"/>
      <c r="AT121" s="148"/>
      <c r="AU121" s="148"/>
      <c r="AV121" s="148"/>
      <c r="AW121" s="148"/>
      <c r="AX121" s="148"/>
      <c r="AY121" s="148"/>
      <c r="AZ121" s="148"/>
      <c r="BA121" s="148"/>
      <c r="BB121" s="148"/>
      <c r="BC121" s="148"/>
      <c r="BD121" s="148"/>
      <c r="BE121" s="148"/>
      <c r="BF121" s="148"/>
      <c r="BG121" s="148"/>
      <c r="BH121" s="148"/>
      <c r="BI121" s="148"/>
      <c r="BJ121" s="148"/>
      <c r="BK121" s="148"/>
      <c r="BL121" s="148"/>
      <c r="BM121" s="148"/>
      <c r="BN121" s="148"/>
      <c r="BO121" s="148"/>
      <c r="BP121" s="148"/>
      <c r="BQ121" s="148"/>
      <c r="BR121" s="148"/>
      <c r="BS121" s="148"/>
      <c r="BT121" s="148"/>
      <c r="BU121" s="148"/>
      <c r="BV121" s="148"/>
      <c r="BW121" s="148"/>
      <c r="BX121" s="148"/>
      <c r="BY121" s="148"/>
      <c r="BZ121" s="148"/>
      <c r="CA121" s="148"/>
      <c r="CB121" s="148"/>
      <c r="CC121" s="148"/>
      <c r="CD121" s="148"/>
      <c r="CE121" s="148"/>
      <c r="CF121" s="148"/>
      <c r="CG121" s="148"/>
      <c r="CH121" s="148"/>
      <c r="CI121" s="148"/>
      <c r="CJ121" s="148"/>
      <c r="CK121" s="148"/>
      <c r="CL121" s="148"/>
      <c r="CM121" s="148"/>
      <c r="CN121" s="148"/>
      <c r="CO121" s="148"/>
      <c r="CP121" s="148"/>
      <c r="CQ121" s="148"/>
      <c r="CR121" s="148"/>
      <c r="CS121" s="148"/>
      <c r="CT121" s="148"/>
      <c r="CU121" s="148"/>
      <c r="CV121" s="148"/>
      <c r="CW121" s="148"/>
      <c r="CX121" s="148"/>
      <c r="CY121" s="148"/>
      <c r="CZ121" s="148"/>
      <c r="DA121" s="148"/>
      <c r="DB121" s="148"/>
      <c r="DC121" s="148"/>
      <c r="DD121" s="148"/>
      <c r="DE121" s="148"/>
      <c r="DF121" s="148"/>
      <c r="DG121" s="148"/>
      <c r="DH121" s="148"/>
      <c r="DI121" s="148"/>
      <c r="DJ121" s="148"/>
      <c r="DK121" s="148"/>
      <c r="DL121" s="148"/>
      <c r="DM121" s="148"/>
      <c r="DN121" s="148"/>
      <c r="DO121" s="148"/>
      <c r="DP121" s="148"/>
      <c r="DQ121" s="148"/>
      <c r="DR121" s="148"/>
      <c r="DS121" s="148"/>
      <c r="DT121" s="148"/>
      <c r="DU121" s="148"/>
      <c r="DV121" s="148"/>
      <c r="DW121" s="148"/>
      <c r="DX121" s="148"/>
      <c r="DY121" s="148"/>
      <c r="DZ121" s="148"/>
      <c r="EA121" s="148"/>
      <c r="EB121" s="148"/>
      <c r="EC121" s="148"/>
      <c r="ED121" s="148"/>
      <c r="EE121" s="148"/>
      <c r="EF121" s="148"/>
      <c r="EG121" s="148"/>
      <c r="EH121" s="148"/>
      <c r="EI121" s="148"/>
      <c r="EJ121" s="148"/>
      <c r="EK121" s="148"/>
      <c r="EL121" s="148"/>
      <c r="EM121" s="148"/>
      <c r="EN121" s="148"/>
      <c r="EO121" s="148"/>
      <c r="EP121" s="148"/>
      <c r="EQ121" s="148"/>
      <c r="ER121" s="148"/>
      <c r="ES121" s="148"/>
      <c r="ET121" s="148"/>
      <c r="EU121" s="148"/>
      <c r="EV121" s="148"/>
      <c r="EW121" s="148"/>
      <c r="EX121" s="148"/>
      <c r="EY121" s="148"/>
      <c r="EZ121" s="148"/>
      <c r="FA121" s="148"/>
      <c r="FB121" s="148"/>
      <c r="FC121" s="148"/>
      <c r="FD121" s="148"/>
      <c r="FE121" s="148"/>
      <c r="FF121" s="148"/>
      <c r="FG121" s="148"/>
      <c r="FH121" s="148"/>
      <c r="FI121" s="148"/>
      <c r="FJ121" s="148"/>
      <c r="FK121" s="148"/>
      <c r="FL121" s="148"/>
      <c r="FM121" s="148"/>
      <c r="FN121" s="148"/>
      <c r="FO121" s="148"/>
      <c r="FP121" s="148"/>
      <c r="FQ121" s="148"/>
      <c r="FR121" s="148"/>
      <c r="FS121" s="148"/>
      <c r="FT121" s="148"/>
      <c r="FU121" s="148"/>
      <c r="FV121" s="148"/>
      <c r="FW121" s="148"/>
      <c r="FX121" s="148"/>
      <c r="FY121" s="148"/>
      <c r="FZ121" s="148"/>
      <c r="GA121" s="148"/>
      <c r="GB121" s="148"/>
      <c r="GC121" s="148"/>
      <c r="GD121" s="148"/>
      <c r="GE121" s="148"/>
      <c r="GF121" s="148"/>
      <c r="GG121" s="148"/>
      <c r="GH121" s="148"/>
      <c r="GI121" s="148"/>
      <c r="GJ121" s="148"/>
      <c r="GK121" s="148"/>
      <c r="GL121" s="148"/>
      <c r="GM121" s="148"/>
      <c r="GN121" s="148"/>
      <c r="GO121" s="148"/>
      <c r="GP121" s="148"/>
      <c r="GQ121" s="148"/>
      <c r="GR121" s="148"/>
      <c r="GS121" s="148"/>
      <c r="GT121" s="148"/>
      <c r="GU121" s="148"/>
      <c r="GV121" s="148"/>
      <c r="GW121" s="148"/>
      <c r="GX121" s="148"/>
      <c r="GY121" s="148"/>
      <c r="GZ121" s="148"/>
      <c r="HA121" s="148"/>
      <c r="HB121" s="148"/>
      <c r="HC121" s="148"/>
      <c r="HD121" s="148"/>
      <c r="HE121" s="148"/>
      <c r="HF121" s="148"/>
      <c r="HG121" s="148"/>
      <c r="HH121" s="148"/>
      <c r="HI121" s="148"/>
      <c r="HJ121" s="148"/>
      <c r="HK121" s="148"/>
      <c r="HL121" s="148"/>
      <c r="HM121" s="148"/>
      <c r="HN121" s="148"/>
      <c r="HO121" s="148"/>
      <c r="HP121" s="148"/>
      <c r="HQ121" s="148"/>
      <c r="HR121" s="148"/>
      <c r="HS121" s="148"/>
      <c r="HT121" s="148"/>
      <c r="HU121" s="148"/>
      <c r="HV121" s="148"/>
      <c r="HW121" s="148"/>
      <c r="HX121" s="148"/>
      <c r="HY121" s="148"/>
      <c r="HZ121" s="148"/>
      <c r="IA121" s="148"/>
      <c r="IB121" s="148"/>
      <c r="IC121" s="148"/>
      <c r="ID121" s="148"/>
      <c r="IE121" s="148"/>
      <c r="IF121" s="148"/>
      <c r="IG121" s="148"/>
      <c r="IH121" s="148"/>
      <c r="II121" s="148"/>
      <c r="IJ121" s="148"/>
      <c r="IK121" s="148"/>
      <c r="IL121" s="148"/>
      <c r="IM121" s="148"/>
      <c r="IN121" s="148"/>
      <c r="IO121" s="148"/>
      <c r="IP121" s="148"/>
      <c r="IQ121" s="148"/>
      <c r="IR121" s="148"/>
      <c r="IS121" s="148"/>
      <c r="IT121" s="148"/>
      <c r="IU121" s="148"/>
      <c r="IV121" s="148"/>
      <c r="IW121" s="148"/>
      <c r="IX121" s="148"/>
      <c r="IY121" s="148"/>
      <c r="IZ121" s="148"/>
      <c r="JA121" s="148"/>
    </row>
    <row r="122" spans="1:261" s="272" customFormat="1" ht="18" customHeight="1" x14ac:dyDescent="0.35">
      <c r="A122" s="1423">
        <v>111</v>
      </c>
      <c r="B122" s="1557"/>
      <c r="C122" s="1582"/>
      <c r="D122" s="1163" t="s">
        <v>1116</v>
      </c>
      <c r="E122" s="1560"/>
      <c r="F122" s="1561"/>
      <c r="G122" s="1562"/>
      <c r="H122" s="1563"/>
      <c r="I122" s="1580"/>
      <c r="J122" s="1574"/>
      <c r="K122" s="1574">
        <f>SUM(K120:K121)</f>
        <v>565</v>
      </c>
      <c r="L122" s="1574"/>
      <c r="M122" s="1574"/>
      <c r="N122" s="1574"/>
      <c r="O122" s="1576">
        <f>SUM(I122:N122)</f>
        <v>565</v>
      </c>
      <c r="P122" s="1567"/>
      <c r="Q122" s="148"/>
      <c r="R122" s="148"/>
      <c r="S122" s="148"/>
      <c r="T122" s="148"/>
      <c r="U122" s="148"/>
      <c r="V122" s="148"/>
      <c r="W122" s="148"/>
      <c r="X122" s="148"/>
      <c r="Y122" s="148"/>
      <c r="Z122" s="148"/>
      <c r="AA122" s="148"/>
      <c r="AB122" s="148"/>
      <c r="AC122" s="148"/>
      <c r="AD122" s="148"/>
      <c r="AE122" s="148"/>
      <c r="AF122" s="148"/>
      <c r="AG122" s="148"/>
      <c r="AH122" s="148"/>
      <c r="AI122" s="148"/>
      <c r="AJ122" s="148"/>
      <c r="AK122" s="148"/>
      <c r="AL122" s="148"/>
      <c r="AM122" s="148"/>
      <c r="AN122" s="148"/>
      <c r="AO122" s="148"/>
      <c r="AP122" s="148"/>
      <c r="AQ122" s="148"/>
      <c r="AR122" s="148"/>
      <c r="AS122" s="148"/>
      <c r="AT122" s="148"/>
      <c r="AU122" s="148"/>
      <c r="AV122" s="148"/>
      <c r="AW122" s="148"/>
      <c r="AX122" s="148"/>
      <c r="AY122" s="148"/>
      <c r="AZ122" s="148"/>
      <c r="BA122" s="148"/>
      <c r="BB122" s="148"/>
      <c r="BC122" s="148"/>
      <c r="BD122" s="148"/>
      <c r="BE122" s="148"/>
      <c r="BF122" s="148"/>
      <c r="BG122" s="148"/>
      <c r="BH122" s="148"/>
      <c r="BI122" s="148"/>
      <c r="BJ122" s="148"/>
      <c r="BK122" s="148"/>
      <c r="BL122" s="148"/>
      <c r="BM122" s="148"/>
      <c r="BN122" s="148"/>
      <c r="BO122" s="148"/>
      <c r="BP122" s="148"/>
      <c r="BQ122" s="148"/>
      <c r="BR122" s="148"/>
      <c r="BS122" s="148"/>
      <c r="BT122" s="148"/>
      <c r="BU122" s="148"/>
      <c r="BV122" s="148"/>
      <c r="BW122" s="148"/>
      <c r="BX122" s="148"/>
      <c r="BY122" s="148"/>
      <c r="BZ122" s="148"/>
      <c r="CA122" s="148"/>
      <c r="CB122" s="148"/>
      <c r="CC122" s="148"/>
      <c r="CD122" s="148"/>
      <c r="CE122" s="148"/>
      <c r="CF122" s="148"/>
      <c r="CG122" s="148"/>
      <c r="CH122" s="148"/>
      <c r="CI122" s="148"/>
      <c r="CJ122" s="148"/>
      <c r="CK122" s="148"/>
      <c r="CL122" s="148"/>
      <c r="CM122" s="148"/>
      <c r="CN122" s="148"/>
      <c r="CO122" s="148"/>
      <c r="CP122" s="148"/>
      <c r="CQ122" s="148"/>
      <c r="CR122" s="148"/>
      <c r="CS122" s="148"/>
      <c r="CT122" s="148"/>
      <c r="CU122" s="148"/>
      <c r="CV122" s="148"/>
      <c r="CW122" s="148"/>
      <c r="CX122" s="148"/>
      <c r="CY122" s="148"/>
      <c r="CZ122" s="148"/>
      <c r="DA122" s="148"/>
      <c r="DB122" s="148"/>
      <c r="DC122" s="148"/>
      <c r="DD122" s="148"/>
      <c r="DE122" s="148"/>
      <c r="DF122" s="148"/>
      <c r="DG122" s="148"/>
      <c r="DH122" s="148"/>
      <c r="DI122" s="148"/>
      <c r="DJ122" s="148"/>
      <c r="DK122" s="148"/>
      <c r="DL122" s="148"/>
      <c r="DM122" s="148"/>
      <c r="DN122" s="148"/>
      <c r="DO122" s="148"/>
      <c r="DP122" s="148"/>
      <c r="DQ122" s="148"/>
      <c r="DR122" s="148"/>
      <c r="DS122" s="148"/>
      <c r="DT122" s="148"/>
      <c r="DU122" s="148"/>
      <c r="DV122" s="148"/>
      <c r="DW122" s="148"/>
      <c r="DX122" s="148"/>
      <c r="DY122" s="148"/>
      <c r="DZ122" s="148"/>
      <c r="EA122" s="148"/>
      <c r="EB122" s="148"/>
      <c r="EC122" s="148"/>
      <c r="ED122" s="148"/>
      <c r="EE122" s="148"/>
      <c r="EF122" s="148"/>
      <c r="EG122" s="148"/>
      <c r="EH122" s="148"/>
      <c r="EI122" s="148"/>
      <c r="EJ122" s="148"/>
      <c r="EK122" s="148"/>
      <c r="EL122" s="148"/>
      <c r="EM122" s="148"/>
      <c r="EN122" s="148"/>
      <c r="EO122" s="148"/>
      <c r="EP122" s="148"/>
      <c r="EQ122" s="148"/>
      <c r="ER122" s="148"/>
      <c r="ES122" s="148"/>
      <c r="ET122" s="148"/>
      <c r="EU122" s="148"/>
      <c r="EV122" s="148"/>
      <c r="EW122" s="148"/>
      <c r="EX122" s="148"/>
      <c r="EY122" s="148"/>
      <c r="EZ122" s="148"/>
      <c r="FA122" s="148"/>
      <c r="FB122" s="148"/>
      <c r="FC122" s="148"/>
      <c r="FD122" s="148"/>
      <c r="FE122" s="148"/>
      <c r="FF122" s="148"/>
      <c r="FG122" s="148"/>
      <c r="FH122" s="148"/>
      <c r="FI122" s="148"/>
      <c r="FJ122" s="148"/>
      <c r="FK122" s="148"/>
      <c r="FL122" s="148"/>
      <c r="FM122" s="148"/>
      <c r="FN122" s="148"/>
      <c r="FO122" s="148"/>
      <c r="FP122" s="148"/>
      <c r="FQ122" s="148"/>
      <c r="FR122" s="148"/>
      <c r="FS122" s="148"/>
      <c r="FT122" s="148"/>
      <c r="FU122" s="148"/>
      <c r="FV122" s="148"/>
      <c r="FW122" s="148"/>
      <c r="FX122" s="148"/>
      <c r="FY122" s="148"/>
      <c r="FZ122" s="148"/>
      <c r="GA122" s="148"/>
      <c r="GB122" s="148"/>
      <c r="GC122" s="148"/>
      <c r="GD122" s="148"/>
      <c r="GE122" s="148"/>
      <c r="GF122" s="148"/>
      <c r="GG122" s="148"/>
      <c r="GH122" s="148"/>
      <c r="GI122" s="148"/>
      <c r="GJ122" s="148"/>
      <c r="GK122" s="148"/>
      <c r="GL122" s="148"/>
      <c r="GM122" s="148"/>
      <c r="GN122" s="148"/>
      <c r="GO122" s="148"/>
      <c r="GP122" s="148"/>
      <c r="GQ122" s="148"/>
      <c r="GR122" s="148"/>
      <c r="GS122" s="148"/>
      <c r="GT122" s="148"/>
      <c r="GU122" s="148"/>
      <c r="GV122" s="148"/>
      <c r="GW122" s="148"/>
      <c r="GX122" s="148"/>
      <c r="GY122" s="148"/>
      <c r="GZ122" s="148"/>
      <c r="HA122" s="148"/>
      <c r="HB122" s="148"/>
      <c r="HC122" s="148"/>
      <c r="HD122" s="148"/>
      <c r="HE122" s="148"/>
      <c r="HF122" s="148"/>
      <c r="HG122" s="148"/>
      <c r="HH122" s="148"/>
      <c r="HI122" s="148"/>
      <c r="HJ122" s="148"/>
      <c r="HK122" s="148"/>
      <c r="HL122" s="148"/>
      <c r="HM122" s="148"/>
      <c r="HN122" s="148"/>
      <c r="HO122" s="148"/>
      <c r="HP122" s="148"/>
      <c r="HQ122" s="148"/>
      <c r="HR122" s="148"/>
      <c r="HS122" s="148"/>
      <c r="HT122" s="148"/>
      <c r="HU122" s="148"/>
      <c r="HV122" s="148"/>
      <c r="HW122" s="148"/>
      <c r="HX122" s="148"/>
      <c r="HY122" s="148"/>
      <c r="HZ122" s="148"/>
      <c r="IA122" s="148"/>
      <c r="IB122" s="148"/>
      <c r="IC122" s="148"/>
      <c r="ID122" s="148"/>
      <c r="IE122" s="148"/>
      <c r="IF122" s="148"/>
      <c r="IG122" s="148"/>
      <c r="IH122" s="148"/>
      <c r="II122" s="148"/>
      <c r="IJ122" s="148"/>
      <c r="IK122" s="148"/>
      <c r="IL122" s="148"/>
      <c r="IM122" s="148"/>
      <c r="IN122" s="148"/>
      <c r="IO122" s="148"/>
      <c r="IP122" s="148"/>
      <c r="IQ122" s="148"/>
      <c r="IR122" s="148"/>
      <c r="IS122" s="148"/>
      <c r="IT122" s="148"/>
      <c r="IU122" s="148"/>
      <c r="IV122" s="148"/>
      <c r="IW122" s="148"/>
      <c r="IX122" s="148"/>
      <c r="IY122" s="148"/>
      <c r="IZ122" s="148"/>
      <c r="JA122" s="148"/>
    </row>
    <row r="123" spans="1:261" ht="45.75" customHeight="1" x14ac:dyDescent="0.35">
      <c r="A123" s="1423">
        <v>112</v>
      </c>
      <c r="B123" s="1589"/>
      <c r="C123" s="1582">
        <v>23</v>
      </c>
      <c r="D123" s="1414" t="s">
        <v>696</v>
      </c>
      <c r="E123" s="1560"/>
      <c r="F123" s="1561"/>
      <c r="G123" s="1562"/>
      <c r="H123" s="1563" t="s">
        <v>24</v>
      </c>
      <c r="I123" s="1564"/>
      <c r="J123" s="1565"/>
      <c r="K123" s="1565"/>
      <c r="L123" s="1565"/>
      <c r="M123" s="1565"/>
      <c r="N123" s="1565"/>
      <c r="O123" s="1566"/>
      <c r="P123" s="1567"/>
    </row>
    <row r="124" spans="1:261" s="272" customFormat="1" ht="18" customHeight="1" x14ac:dyDescent="0.35">
      <c r="A124" s="1423">
        <v>113</v>
      </c>
      <c r="B124" s="1557"/>
      <c r="C124" s="1558"/>
      <c r="D124" s="1585" t="s">
        <v>311</v>
      </c>
      <c r="E124" s="1560">
        <f>F124+G124+O127+P127</f>
        <v>267126</v>
      </c>
      <c r="F124" s="1561">
        <v>4379</v>
      </c>
      <c r="G124" s="1562">
        <f>7747+5080</f>
        <v>12827</v>
      </c>
      <c r="H124" s="1563"/>
      <c r="I124" s="1564"/>
      <c r="J124" s="1565"/>
      <c r="K124" s="1565">
        <v>3667</v>
      </c>
      <c r="L124" s="1565"/>
      <c r="M124" s="1565">
        <v>246253</v>
      </c>
      <c r="N124" s="1565"/>
      <c r="O124" s="1566">
        <f>SUM(I124:N124)</f>
        <v>249920</v>
      </c>
      <c r="P124" s="1567"/>
      <c r="Q124" s="148"/>
      <c r="R124" s="148"/>
      <c r="S124" s="148"/>
      <c r="T124" s="148"/>
      <c r="U124" s="148"/>
      <c r="V124" s="148"/>
      <c r="W124" s="148"/>
      <c r="X124" s="148"/>
      <c r="Y124" s="148"/>
      <c r="Z124" s="148"/>
      <c r="AA124" s="148"/>
      <c r="AB124" s="148"/>
      <c r="AC124" s="148"/>
      <c r="AD124" s="148"/>
      <c r="AE124" s="148"/>
      <c r="AF124" s="148"/>
      <c r="AG124" s="148"/>
      <c r="AH124" s="148"/>
      <c r="AI124" s="148"/>
      <c r="AJ124" s="148"/>
      <c r="AK124" s="148"/>
      <c r="AL124" s="148"/>
      <c r="AM124" s="148"/>
      <c r="AN124" s="148"/>
      <c r="AO124" s="148"/>
      <c r="AP124" s="148"/>
      <c r="AQ124" s="148"/>
      <c r="AR124" s="148"/>
      <c r="AS124" s="148"/>
      <c r="AT124" s="148"/>
      <c r="AU124" s="148"/>
      <c r="AV124" s="148"/>
      <c r="AW124" s="148"/>
      <c r="AX124" s="148"/>
      <c r="AY124" s="148"/>
      <c r="AZ124" s="148"/>
      <c r="BA124" s="148"/>
      <c r="BB124" s="148"/>
      <c r="BC124" s="148"/>
      <c r="BD124" s="148"/>
      <c r="BE124" s="148"/>
      <c r="BF124" s="148"/>
      <c r="BG124" s="148"/>
      <c r="BH124" s="148"/>
      <c r="BI124" s="148"/>
      <c r="BJ124" s="148"/>
      <c r="BK124" s="148"/>
      <c r="BL124" s="148"/>
      <c r="BM124" s="148"/>
      <c r="BN124" s="148"/>
      <c r="BO124" s="148"/>
      <c r="BP124" s="148"/>
      <c r="BQ124" s="148"/>
      <c r="BR124" s="148"/>
      <c r="BS124" s="148"/>
      <c r="BT124" s="148"/>
      <c r="BU124" s="148"/>
      <c r="BV124" s="148"/>
      <c r="BW124" s="148"/>
      <c r="BX124" s="148"/>
      <c r="BY124" s="148"/>
      <c r="BZ124" s="148"/>
      <c r="CA124" s="148"/>
      <c r="CB124" s="148"/>
      <c r="CC124" s="148"/>
      <c r="CD124" s="148"/>
      <c r="CE124" s="148"/>
      <c r="CF124" s="148"/>
      <c r="CG124" s="148"/>
      <c r="CH124" s="148"/>
      <c r="CI124" s="148"/>
      <c r="CJ124" s="148"/>
      <c r="CK124" s="148"/>
      <c r="CL124" s="148"/>
      <c r="CM124" s="148"/>
      <c r="CN124" s="148"/>
      <c r="CO124" s="148"/>
      <c r="CP124" s="148"/>
      <c r="CQ124" s="148"/>
      <c r="CR124" s="148"/>
      <c r="CS124" s="148"/>
      <c r="CT124" s="148"/>
      <c r="CU124" s="148"/>
      <c r="CV124" s="148"/>
      <c r="CW124" s="148"/>
      <c r="CX124" s="148"/>
      <c r="CY124" s="148"/>
      <c r="CZ124" s="148"/>
      <c r="DA124" s="148"/>
      <c r="DB124" s="148"/>
      <c r="DC124" s="148"/>
      <c r="DD124" s="148"/>
      <c r="DE124" s="148"/>
      <c r="DF124" s="148"/>
      <c r="DG124" s="148"/>
      <c r="DH124" s="148"/>
      <c r="DI124" s="148"/>
      <c r="DJ124" s="148"/>
      <c r="DK124" s="148"/>
      <c r="DL124" s="148"/>
      <c r="DM124" s="148"/>
      <c r="DN124" s="148"/>
      <c r="DO124" s="148"/>
      <c r="DP124" s="148"/>
      <c r="DQ124" s="148"/>
      <c r="DR124" s="148"/>
      <c r="DS124" s="148"/>
      <c r="DT124" s="148"/>
      <c r="DU124" s="148"/>
      <c r="DV124" s="148"/>
      <c r="DW124" s="148"/>
      <c r="DX124" s="148"/>
      <c r="DY124" s="148"/>
      <c r="DZ124" s="148"/>
      <c r="EA124" s="148"/>
      <c r="EB124" s="148"/>
      <c r="EC124" s="148"/>
      <c r="ED124" s="148"/>
      <c r="EE124" s="148"/>
      <c r="EF124" s="148"/>
      <c r="EG124" s="148"/>
      <c r="EH124" s="148"/>
      <c r="EI124" s="148"/>
      <c r="EJ124" s="148"/>
      <c r="EK124" s="148"/>
      <c r="EL124" s="148"/>
      <c r="EM124" s="148"/>
      <c r="EN124" s="148"/>
      <c r="EO124" s="148"/>
      <c r="EP124" s="148"/>
      <c r="EQ124" s="148"/>
      <c r="ER124" s="148"/>
      <c r="ES124" s="148"/>
      <c r="ET124" s="148"/>
      <c r="EU124" s="148"/>
      <c r="EV124" s="148"/>
      <c r="EW124" s="148"/>
      <c r="EX124" s="148"/>
      <c r="EY124" s="148"/>
      <c r="EZ124" s="148"/>
      <c r="FA124" s="148"/>
      <c r="FB124" s="148"/>
      <c r="FC124" s="148"/>
      <c r="FD124" s="148"/>
      <c r="FE124" s="148"/>
      <c r="FF124" s="148"/>
      <c r="FG124" s="148"/>
      <c r="FH124" s="148"/>
      <c r="FI124" s="148"/>
      <c r="FJ124" s="148"/>
      <c r="FK124" s="148"/>
      <c r="FL124" s="148"/>
      <c r="FM124" s="148"/>
      <c r="FN124" s="148"/>
      <c r="FO124" s="148"/>
      <c r="FP124" s="148"/>
      <c r="FQ124" s="148"/>
      <c r="FR124" s="148"/>
      <c r="FS124" s="148"/>
      <c r="FT124" s="148"/>
      <c r="FU124" s="148"/>
      <c r="FV124" s="148"/>
      <c r="FW124" s="148"/>
      <c r="FX124" s="148"/>
      <c r="FY124" s="148"/>
      <c r="FZ124" s="148"/>
      <c r="GA124" s="148"/>
      <c r="GB124" s="148"/>
      <c r="GC124" s="148"/>
      <c r="GD124" s="148"/>
      <c r="GE124" s="148"/>
      <c r="GF124" s="148"/>
      <c r="GG124" s="148"/>
      <c r="GH124" s="148"/>
      <c r="GI124" s="148"/>
      <c r="GJ124" s="148"/>
      <c r="GK124" s="148"/>
      <c r="GL124" s="148"/>
      <c r="GM124" s="148"/>
      <c r="GN124" s="148"/>
      <c r="GO124" s="148"/>
      <c r="GP124" s="148"/>
      <c r="GQ124" s="148"/>
      <c r="GR124" s="148"/>
      <c r="GS124" s="148"/>
      <c r="GT124" s="148"/>
      <c r="GU124" s="148"/>
      <c r="GV124" s="148"/>
      <c r="GW124" s="148"/>
      <c r="GX124" s="148"/>
      <c r="GY124" s="148"/>
      <c r="GZ124" s="148"/>
      <c r="HA124" s="148"/>
      <c r="HB124" s="148"/>
      <c r="HC124" s="148"/>
      <c r="HD124" s="148"/>
      <c r="HE124" s="148"/>
      <c r="HF124" s="148"/>
      <c r="HG124" s="148"/>
      <c r="HH124" s="148"/>
      <c r="HI124" s="148"/>
      <c r="HJ124" s="148"/>
      <c r="HK124" s="148"/>
      <c r="HL124" s="148"/>
      <c r="HM124" s="148"/>
      <c r="HN124" s="148"/>
      <c r="HO124" s="148"/>
      <c r="HP124" s="148"/>
      <c r="HQ124" s="148"/>
      <c r="HR124" s="148"/>
      <c r="HS124" s="148"/>
      <c r="HT124" s="148"/>
      <c r="HU124" s="148"/>
      <c r="HV124" s="148"/>
      <c r="HW124" s="148"/>
      <c r="HX124" s="148"/>
      <c r="HY124" s="148"/>
      <c r="HZ124" s="148"/>
      <c r="IA124" s="148"/>
      <c r="IB124" s="148"/>
      <c r="IC124" s="148"/>
      <c r="ID124" s="148"/>
      <c r="IE124" s="148"/>
      <c r="IF124" s="148"/>
      <c r="IG124" s="148"/>
      <c r="IH124" s="148"/>
      <c r="II124" s="148"/>
      <c r="IJ124" s="148"/>
      <c r="IK124" s="148"/>
      <c r="IL124" s="148"/>
      <c r="IM124" s="148"/>
      <c r="IN124" s="148"/>
      <c r="IO124" s="148"/>
      <c r="IP124" s="148"/>
      <c r="IQ124" s="148"/>
      <c r="IR124" s="148"/>
      <c r="IS124" s="148"/>
      <c r="IT124" s="148"/>
      <c r="IU124" s="148"/>
      <c r="IV124" s="148"/>
      <c r="IW124" s="148"/>
      <c r="IX124" s="148"/>
      <c r="IY124" s="148"/>
      <c r="IZ124" s="148"/>
      <c r="JA124" s="148"/>
    </row>
    <row r="125" spans="1:261" s="272" customFormat="1" ht="18" customHeight="1" x14ac:dyDescent="0.35">
      <c r="A125" s="1423">
        <v>114</v>
      </c>
      <c r="B125" s="1557"/>
      <c r="C125" s="1558"/>
      <c r="D125" s="1163" t="s">
        <v>1064</v>
      </c>
      <c r="E125" s="1560"/>
      <c r="F125" s="1561"/>
      <c r="G125" s="1562"/>
      <c r="H125" s="1563"/>
      <c r="I125" s="1564"/>
      <c r="J125" s="1565"/>
      <c r="K125" s="1574">
        <v>3667</v>
      </c>
      <c r="L125" s="1574"/>
      <c r="M125" s="1574">
        <v>246253</v>
      </c>
      <c r="N125" s="1565"/>
      <c r="O125" s="1576">
        <f>SUM(I125:N125)</f>
        <v>249920</v>
      </c>
      <c r="P125" s="1567"/>
      <c r="Q125" s="148"/>
      <c r="R125" s="148"/>
      <c r="S125" s="148"/>
      <c r="T125" s="148"/>
      <c r="U125" s="148"/>
      <c r="V125" s="148"/>
      <c r="W125" s="148"/>
      <c r="X125" s="148"/>
      <c r="Y125" s="148"/>
      <c r="Z125" s="148"/>
      <c r="AA125" s="148"/>
      <c r="AB125" s="148"/>
      <c r="AC125" s="148"/>
      <c r="AD125" s="148"/>
      <c r="AE125" s="148"/>
      <c r="AF125" s="148"/>
      <c r="AG125" s="148"/>
      <c r="AH125" s="148"/>
      <c r="AI125" s="148"/>
      <c r="AJ125" s="148"/>
      <c r="AK125" s="148"/>
      <c r="AL125" s="148"/>
      <c r="AM125" s="148"/>
      <c r="AN125" s="148"/>
      <c r="AO125" s="148"/>
      <c r="AP125" s="148"/>
      <c r="AQ125" s="148"/>
      <c r="AR125" s="148"/>
      <c r="AS125" s="148"/>
      <c r="AT125" s="148"/>
      <c r="AU125" s="148"/>
      <c r="AV125" s="148"/>
      <c r="AW125" s="148"/>
      <c r="AX125" s="148"/>
      <c r="AY125" s="148"/>
      <c r="AZ125" s="148"/>
      <c r="BA125" s="148"/>
      <c r="BB125" s="148"/>
      <c r="BC125" s="148"/>
      <c r="BD125" s="148"/>
      <c r="BE125" s="148"/>
      <c r="BF125" s="148"/>
      <c r="BG125" s="148"/>
      <c r="BH125" s="148"/>
      <c r="BI125" s="148"/>
      <c r="BJ125" s="148"/>
      <c r="BK125" s="148"/>
      <c r="BL125" s="148"/>
      <c r="BM125" s="148"/>
      <c r="BN125" s="148"/>
      <c r="BO125" s="148"/>
      <c r="BP125" s="148"/>
      <c r="BQ125" s="148"/>
      <c r="BR125" s="148"/>
      <c r="BS125" s="148"/>
      <c r="BT125" s="148"/>
      <c r="BU125" s="148"/>
      <c r="BV125" s="148"/>
      <c r="BW125" s="148"/>
      <c r="BX125" s="148"/>
      <c r="BY125" s="148"/>
      <c r="BZ125" s="148"/>
      <c r="CA125" s="148"/>
      <c r="CB125" s="148"/>
      <c r="CC125" s="148"/>
      <c r="CD125" s="148"/>
      <c r="CE125" s="148"/>
      <c r="CF125" s="148"/>
      <c r="CG125" s="148"/>
      <c r="CH125" s="148"/>
      <c r="CI125" s="148"/>
      <c r="CJ125" s="148"/>
      <c r="CK125" s="148"/>
      <c r="CL125" s="148"/>
      <c r="CM125" s="148"/>
      <c r="CN125" s="148"/>
      <c r="CO125" s="148"/>
      <c r="CP125" s="148"/>
      <c r="CQ125" s="148"/>
      <c r="CR125" s="148"/>
      <c r="CS125" s="148"/>
      <c r="CT125" s="148"/>
      <c r="CU125" s="148"/>
      <c r="CV125" s="148"/>
      <c r="CW125" s="148"/>
      <c r="CX125" s="148"/>
      <c r="CY125" s="148"/>
      <c r="CZ125" s="148"/>
      <c r="DA125" s="148"/>
      <c r="DB125" s="148"/>
      <c r="DC125" s="148"/>
      <c r="DD125" s="148"/>
      <c r="DE125" s="148"/>
      <c r="DF125" s="148"/>
      <c r="DG125" s="148"/>
      <c r="DH125" s="148"/>
      <c r="DI125" s="148"/>
      <c r="DJ125" s="148"/>
      <c r="DK125" s="148"/>
      <c r="DL125" s="148"/>
      <c r="DM125" s="148"/>
      <c r="DN125" s="148"/>
      <c r="DO125" s="148"/>
      <c r="DP125" s="148"/>
      <c r="DQ125" s="148"/>
      <c r="DR125" s="148"/>
      <c r="DS125" s="148"/>
      <c r="DT125" s="148"/>
      <c r="DU125" s="148"/>
      <c r="DV125" s="148"/>
      <c r="DW125" s="148"/>
      <c r="DX125" s="148"/>
      <c r="DY125" s="148"/>
      <c r="DZ125" s="148"/>
      <c r="EA125" s="148"/>
      <c r="EB125" s="148"/>
      <c r="EC125" s="148"/>
      <c r="ED125" s="148"/>
      <c r="EE125" s="148"/>
      <c r="EF125" s="148"/>
      <c r="EG125" s="148"/>
      <c r="EH125" s="148"/>
      <c r="EI125" s="148"/>
      <c r="EJ125" s="148"/>
      <c r="EK125" s="148"/>
      <c r="EL125" s="148"/>
      <c r="EM125" s="148"/>
      <c r="EN125" s="148"/>
      <c r="EO125" s="148"/>
      <c r="EP125" s="148"/>
      <c r="EQ125" s="148"/>
      <c r="ER125" s="148"/>
      <c r="ES125" s="148"/>
      <c r="ET125" s="148"/>
      <c r="EU125" s="148"/>
      <c r="EV125" s="148"/>
      <c r="EW125" s="148"/>
      <c r="EX125" s="148"/>
      <c r="EY125" s="148"/>
      <c r="EZ125" s="148"/>
      <c r="FA125" s="148"/>
      <c r="FB125" s="148"/>
      <c r="FC125" s="148"/>
      <c r="FD125" s="148"/>
      <c r="FE125" s="148"/>
      <c r="FF125" s="148"/>
      <c r="FG125" s="148"/>
      <c r="FH125" s="148"/>
      <c r="FI125" s="148"/>
      <c r="FJ125" s="148"/>
      <c r="FK125" s="148"/>
      <c r="FL125" s="148"/>
      <c r="FM125" s="148"/>
      <c r="FN125" s="148"/>
      <c r="FO125" s="148"/>
      <c r="FP125" s="148"/>
      <c r="FQ125" s="148"/>
      <c r="FR125" s="148"/>
      <c r="FS125" s="148"/>
      <c r="FT125" s="148"/>
      <c r="FU125" s="148"/>
      <c r="FV125" s="148"/>
      <c r="FW125" s="148"/>
      <c r="FX125" s="148"/>
      <c r="FY125" s="148"/>
      <c r="FZ125" s="148"/>
      <c r="GA125" s="148"/>
      <c r="GB125" s="148"/>
      <c r="GC125" s="148"/>
      <c r="GD125" s="148"/>
      <c r="GE125" s="148"/>
      <c r="GF125" s="148"/>
      <c r="GG125" s="148"/>
      <c r="GH125" s="148"/>
      <c r="GI125" s="148"/>
      <c r="GJ125" s="148"/>
      <c r="GK125" s="148"/>
      <c r="GL125" s="148"/>
      <c r="GM125" s="148"/>
      <c r="GN125" s="148"/>
      <c r="GO125" s="148"/>
      <c r="GP125" s="148"/>
      <c r="GQ125" s="148"/>
      <c r="GR125" s="148"/>
      <c r="GS125" s="148"/>
      <c r="GT125" s="148"/>
      <c r="GU125" s="148"/>
      <c r="GV125" s="148"/>
      <c r="GW125" s="148"/>
      <c r="GX125" s="148"/>
      <c r="GY125" s="148"/>
      <c r="GZ125" s="148"/>
      <c r="HA125" s="148"/>
      <c r="HB125" s="148"/>
      <c r="HC125" s="148"/>
      <c r="HD125" s="148"/>
      <c r="HE125" s="148"/>
      <c r="HF125" s="148"/>
      <c r="HG125" s="148"/>
      <c r="HH125" s="148"/>
      <c r="HI125" s="148"/>
      <c r="HJ125" s="148"/>
      <c r="HK125" s="148"/>
      <c r="HL125" s="148"/>
      <c r="HM125" s="148"/>
      <c r="HN125" s="148"/>
      <c r="HO125" s="148"/>
      <c r="HP125" s="148"/>
      <c r="HQ125" s="148"/>
      <c r="HR125" s="148"/>
      <c r="HS125" s="148"/>
      <c r="HT125" s="148"/>
      <c r="HU125" s="148"/>
      <c r="HV125" s="148"/>
      <c r="HW125" s="148"/>
      <c r="HX125" s="148"/>
      <c r="HY125" s="148"/>
      <c r="HZ125" s="148"/>
      <c r="IA125" s="148"/>
      <c r="IB125" s="148"/>
      <c r="IC125" s="148"/>
      <c r="ID125" s="148"/>
      <c r="IE125" s="148"/>
      <c r="IF125" s="148"/>
      <c r="IG125" s="148"/>
      <c r="IH125" s="148"/>
      <c r="II125" s="148"/>
      <c r="IJ125" s="148"/>
      <c r="IK125" s="148"/>
      <c r="IL125" s="148"/>
      <c r="IM125" s="148"/>
      <c r="IN125" s="148"/>
      <c r="IO125" s="148"/>
      <c r="IP125" s="148"/>
      <c r="IQ125" s="148"/>
      <c r="IR125" s="148"/>
      <c r="IS125" s="148"/>
      <c r="IT125" s="148"/>
      <c r="IU125" s="148"/>
      <c r="IV125" s="148"/>
      <c r="IW125" s="148"/>
      <c r="IX125" s="148"/>
      <c r="IY125" s="148"/>
      <c r="IZ125" s="148"/>
      <c r="JA125" s="148"/>
    </row>
    <row r="126" spans="1:261" s="272" customFormat="1" ht="18" customHeight="1" x14ac:dyDescent="0.35">
      <c r="A126" s="1423">
        <v>115</v>
      </c>
      <c r="B126" s="1557"/>
      <c r="C126" s="1558"/>
      <c r="D126" s="1174" t="s">
        <v>999</v>
      </c>
      <c r="E126" s="1560"/>
      <c r="F126" s="1561"/>
      <c r="G126" s="1562"/>
      <c r="H126" s="1563"/>
      <c r="I126" s="1580"/>
      <c r="J126" s="1574"/>
      <c r="K126" s="1574"/>
      <c r="L126" s="1574"/>
      <c r="M126" s="1574"/>
      <c r="N126" s="1574"/>
      <c r="O126" s="1578">
        <f>SUM(I126:N126)</f>
        <v>0</v>
      </c>
      <c r="P126" s="1567"/>
      <c r="Q126" s="148"/>
      <c r="R126" s="148"/>
      <c r="S126" s="148"/>
      <c r="T126" s="148"/>
      <c r="U126" s="148"/>
      <c r="V126" s="148"/>
      <c r="W126" s="148"/>
      <c r="X126" s="148"/>
      <c r="Y126" s="148"/>
      <c r="Z126" s="148"/>
      <c r="AA126" s="148"/>
      <c r="AB126" s="148"/>
      <c r="AC126" s="148"/>
      <c r="AD126" s="148"/>
      <c r="AE126" s="148"/>
      <c r="AF126" s="148"/>
      <c r="AG126" s="148"/>
      <c r="AH126" s="148"/>
      <c r="AI126" s="148"/>
      <c r="AJ126" s="148"/>
      <c r="AK126" s="148"/>
      <c r="AL126" s="148"/>
      <c r="AM126" s="148"/>
      <c r="AN126" s="148"/>
      <c r="AO126" s="148"/>
      <c r="AP126" s="148"/>
      <c r="AQ126" s="148"/>
      <c r="AR126" s="148"/>
      <c r="AS126" s="148"/>
      <c r="AT126" s="148"/>
      <c r="AU126" s="148"/>
      <c r="AV126" s="148"/>
      <c r="AW126" s="148"/>
      <c r="AX126" s="148"/>
      <c r="AY126" s="148"/>
      <c r="AZ126" s="148"/>
      <c r="BA126" s="148"/>
      <c r="BB126" s="148"/>
      <c r="BC126" s="148"/>
      <c r="BD126" s="148"/>
      <c r="BE126" s="148"/>
      <c r="BF126" s="148"/>
      <c r="BG126" s="148"/>
      <c r="BH126" s="148"/>
      <c r="BI126" s="148"/>
      <c r="BJ126" s="148"/>
      <c r="BK126" s="148"/>
      <c r="BL126" s="148"/>
      <c r="BM126" s="148"/>
      <c r="BN126" s="148"/>
      <c r="BO126" s="148"/>
      <c r="BP126" s="148"/>
      <c r="BQ126" s="148"/>
      <c r="BR126" s="148"/>
      <c r="BS126" s="148"/>
      <c r="BT126" s="148"/>
      <c r="BU126" s="148"/>
      <c r="BV126" s="148"/>
      <c r="BW126" s="148"/>
      <c r="BX126" s="148"/>
      <c r="BY126" s="148"/>
      <c r="BZ126" s="148"/>
      <c r="CA126" s="148"/>
      <c r="CB126" s="148"/>
      <c r="CC126" s="148"/>
      <c r="CD126" s="148"/>
      <c r="CE126" s="148"/>
      <c r="CF126" s="148"/>
      <c r="CG126" s="148"/>
      <c r="CH126" s="148"/>
      <c r="CI126" s="148"/>
      <c r="CJ126" s="148"/>
      <c r="CK126" s="148"/>
      <c r="CL126" s="148"/>
      <c r="CM126" s="148"/>
      <c r="CN126" s="148"/>
      <c r="CO126" s="148"/>
      <c r="CP126" s="148"/>
      <c r="CQ126" s="148"/>
      <c r="CR126" s="148"/>
      <c r="CS126" s="148"/>
      <c r="CT126" s="148"/>
      <c r="CU126" s="148"/>
      <c r="CV126" s="148"/>
      <c r="CW126" s="148"/>
      <c r="CX126" s="148"/>
      <c r="CY126" s="148"/>
      <c r="CZ126" s="148"/>
      <c r="DA126" s="148"/>
      <c r="DB126" s="148"/>
      <c r="DC126" s="148"/>
      <c r="DD126" s="148"/>
      <c r="DE126" s="148"/>
      <c r="DF126" s="148"/>
      <c r="DG126" s="148"/>
      <c r="DH126" s="148"/>
      <c r="DI126" s="148"/>
      <c r="DJ126" s="148"/>
      <c r="DK126" s="148"/>
      <c r="DL126" s="148"/>
      <c r="DM126" s="148"/>
      <c r="DN126" s="148"/>
      <c r="DO126" s="148"/>
      <c r="DP126" s="148"/>
      <c r="DQ126" s="148"/>
      <c r="DR126" s="148"/>
      <c r="DS126" s="148"/>
      <c r="DT126" s="148"/>
      <c r="DU126" s="148"/>
      <c r="DV126" s="148"/>
      <c r="DW126" s="148"/>
      <c r="DX126" s="148"/>
      <c r="DY126" s="148"/>
      <c r="DZ126" s="148"/>
      <c r="EA126" s="148"/>
      <c r="EB126" s="148"/>
      <c r="EC126" s="148"/>
      <c r="ED126" s="148"/>
      <c r="EE126" s="148"/>
      <c r="EF126" s="148"/>
      <c r="EG126" s="148"/>
      <c r="EH126" s="148"/>
      <c r="EI126" s="148"/>
      <c r="EJ126" s="148"/>
      <c r="EK126" s="148"/>
      <c r="EL126" s="148"/>
      <c r="EM126" s="148"/>
      <c r="EN126" s="148"/>
      <c r="EO126" s="148"/>
      <c r="EP126" s="148"/>
      <c r="EQ126" s="148"/>
      <c r="ER126" s="148"/>
      <c r="ES126" s="148"/>
      <c r="ET126" s="148"/>
      <c r="EU126" s="148"/>
      <c r="EV126" s="148"/>
      <c r="EW126" s="148"/>
      <c r="EX126" s="148"/>
      <c r="EY126" s="148"/>
      <c r="EZ126" s="148"/>
      <c r="FA126" s="148"/>
      <c r="FB126" s="148"/>
      <c r="FC126" s="148"/>
      <c r="FD126" s="148"/>
      <c r="FE126" s="148"/>
      <c r="FF126" s="148"/>
      <c r="FG126" s="148"/>
      <c r="FH126" s="148"/>
      <c r="FI126" s="148"/>
      <c r="FJ126" s="148"/>
      <c r="FK126" s="148"/>
      <c r="FL126" s="148"/>
      <c r="FM126" s="148"/>
      <c r="FN126" s="148"/>
      <c r="FO126" s="148"/>
      <c r="FP126" s="148"/>
      <c r="FQ126" s="148"/>
      <c r="FR126" s="148"/>
      <c r="FS126" s="148"/>
      <c r="FT126" s="148"/>
      <c r="FU126" s="148"/>
      <c r="FV126" s="148"/>
      <c r="FW126" s="148"/>
      <c r="FX126" s="148"/>
      <c r="FY126" s="148"/>
      <c r="FZ126" s="148"/>
      <c r="GA126" s="148"/>
      <c r="GB126" s="148"/>
      <c r="GC126" s="148"/>
      <c r="GD126" s="148"/>
      <c r="GE126" s="148"/>
      <c r="GF126" s="148"/>
      <c r="GG126" s="148"/>
      <c r="GH126" s="148"/>
      <c r="GI126" s="148"/>
      <c r="GJ126" s="148"/>
      <c r="GK126" s="148"/>
      <c r="GL126" s="148"/>
      <c r="GM126" s="148"/>
      <c r="GN126" s="148"/>
      <c r="GO126" s="148"/>
      <c r="GP126" s="148"/>
      <c r="GQ126" s="148"/>
      <c r="GR126" s="148"/>
      <c r="GS126" s="148"/>
      <c r="GT126" s="148"/>
      <c r="GU126" s="148"/>
      <c r="GV126" s="148"/>
      <c r="GW126" s="148"/>
      <c r="GX126" s="148"/>
      <c r="GY126" s="148"/>
      <c r="GZ126" s="148"/>
      <c r="HA126" s="148"/>
      <c r="HB126" s="148"/>
      <c r="HC126" s="148"/>
      <c r="HD126" s="148"/>
      <c r="HE126" s="148"/>
      <c r="HF126" s="148"/>
      <c r="HG126" s="148"/>
      <c r="HH126" s="148"/>
      <c r="HI126" s="148"/>
      <c r="HJ126" s="148"/>
      <c r="HK126" s="148"/>
      <c r="HL126" s="148"/>
      <c r="HM126" s="148"/>
      <c r="HN126" s="148"/>
      <c r="HO126" s="148"/>
      <c r="HP126" s="148"/>
      <c r="HQ126" s="148"/>
      <c r="HR126" s="148"/>
      <c r="HS126" s="148"/>
      <c r="HT126" s="148"/>
      <c r="HU126" s="148"/>
      <c r="HV126" s="148"/>
      <c r="HW126" s="148"/>
      <c r="HX126" s="148"/>
      <c r="HY126" s="148"/>
      <c r="HZ126" s="148"/>
      <c r="IA126" s="148"/>
      <c r="IB126" s="148"/>
      <c r="IC126" s="148"/>
      <c r="ID126" s="148"/>
      <c r="IE126" s="148"/>
      <c r="IF126" s="148"/>
      <c r="IG126" s="148"/>
      <c r="IH126" s="148"/>
      <c r="II126" s="148"/>
      <c r="IJ126" s="148"/>
      <c r="IK126" s="148"/>
      <c r="IL126" s="148"/>
      <c r="IM126" s="148"/>
      <c r="IN126" s="148"/>
      <c r="IO126" s="148"/>
      <c r="IP126" s="148"/>
      <c r="IQ126" s="148"/>
      <c r="IR126" s="148"/>
      <c r="IS126" s="148"/>
      <c r="IT126" s="148"/>
      <c r="IU126" s="148"/>
      <c r="IV126" s="148"/>
      <c r="IW126" s="148"/>
      <c r="IX126" s="148"/>
      <c r="IY126" s="148"/>
      <c r="IZ126" s="148"/>
      <c r="JA126" s="148"/>
    </row>
    <row r="127" spans="1:261" s="272" customFormat="1" ht="18" customHeight="1" x14ac:dyDescent="0.35">
      <c r="A127" s="1423">
        <v>116</v>
      </c>
      <c r="B127" s="1557"/>
      <c r="C127" s="1558"/>
      <c r="D127" s="1163" t="s">
        <v>1116</v>
      </c>
      <c r="E127" s="1560"/>
      <c r="F127" s="1561"/>
      <c r="G127" s="1562"/>
      <c r="H127" s="1563"/>
      <c r="I127" s="1580"/>
      <c r="J127" s="1574"/>
      <c r="K127" s="1574">
        <f>SUM(K125:K126)</f>
        <v>3667</v>
      </c>
      <c r="L127" s="1574"/>
      <c r="M127" s="1574">
        <f>SUM(M125:M126)</f>
        <v>246253</v>
      </c>
      <c r="N127" s="1574"/>
      <c r="O127" s="1576">
        <f>SUM(I127:N127)</f>
        <v>249920</v>
      </c>
      <c r="P127" s="1567"/>
      <c r="Q127" s="148"/>
      <c r="R127" s="148"/>
      <c r="S127" s="148"/>
      <c r="T127" s="148"/>
      <c r="U127" s="148"/>
      <c r="V127" s="148"/>
      <c r="W127" s="148"/>
      <c r="X127" s="148"/>
      <c r="Y127" s="148"/>
      <c r="Z127" s="148"/>
      <c r="AA127" s="148"/>
      <c r="AB127" s="148"/>
      <c r="AC127" s="148"/>
      <c r="AD127" s="148"/>
      <c r="AE127" s="148"/>
      <c r="AF127" s="148"/>
      <c r="AG127" s="148"/>
      <c r="AH127" s="148"/>
      <c r="AI127" s="148"/>
      <c r="AJ127" s="148"/>
      <c r="AK127" s="148"/>
      <c r="AL127" s="148"/>
      <c r="AM127" s="148"/>
      <c r="AN127" s="148"/>
      <c r="AO127" s="148"/>
      <c r="AP127" s="148"/>
      <c r="AQ127" s="148"/>
      <c r="AR127" s="148"/>
      <c r="AS127" s="148"/>
      <c r="AT127" s="148"/>
      <c r="AU127" s="148"/>
      <c r="AV127" s="148"/>
      <c r="AW127" s="148"/>
      <c r="AX127" s="148"/>
      <c r="AY127" s="148"/>
      <c r="AZ127" s="148"/>
      <c r="BA127" s="148"/>
      <c r="BB127" s="148"/>
      <c r="BC127" s="148"/>
      <c r="BD127" s="148"/>
      <c r="BE127" s="148"/>
      <c r="BF127" s="148"/>
      <c r="BG127" s="148"/>
      <c r="BH127" s="148"/>
      <c r="BI127" s="148"/>
      <c r="BJ127" s="148"/>
      <c r="BK127" s="148"/>
      <c r="BL127" s="148"/>
      <c r="BM127" s="148"/>
      <c r="BN127" s="148"/>
      <c r="BO127" s="148"/>
      <c r="BP127" s="148"/>
      <c r="BQ127" s="148"/>
      <c r="BR127" s="148"/>
      <c r="BS127" s="148"/>
      <c r="BT127" s="148"/>
      <c r="BU127" s="148"/>
      <c r="BV127" s="148"/>
      <c r="BW127" s="148"/>
      <c r="BX127" s="148"/>
      <c r="BY127" s="148"/>
      <c r="BZ127" s="148"/>
      <c r="CA127" s="148"/>
      <c r="CB127" s="148"/>
      <c r="CC127" s="148"/>
      <c r="CD127" s="148"/>
      <c r="CE127" s="148"/>
      <c r="CF127" s="148"/>
      <c r="CG127" s="148"/>
      <c r="CH127" s="148"/>
      <c r="CI127" s="148"/>
      <c r="CJ127" s="148"/>
      <c r="CK127" s="148"/>
      <c r="CL127" s="148"/>
      <c r="CM127" s="148"/>
      <c r="CN127" s="148"/>
      <c r="CO127" s="148"/>
      <c r="CP127" s="148"/>
      <c r="CQ127" s="148"/>
      <c r="CR127" s="148"/>
      <c r="CS127" s="148"/>
      <c r="CT127" s="148"/>
      <c r="CU127" s="148"/>
      <c r="CV127" s="148"/>
      <c r="CW127" s="148"/>
      <c r="CX127" s="148"/>
      <c r="CY127" s="148"/>
      <c r="CZ127" s="148"/>
      <c r="DA127" s="148"/>
      <c r="DB127" s="148"/>
      <c r="DC127" s="148"/>
      <c r="DD127" s="148"/>
      <c r="DE127" s="148"/>
      <c r="DF127" s="148"/>
      <c r="DG127" s="148"/>
      <c r="DH127" s="148"/>
      <c r="DI127" s="148"/>
      <c r="DJ127" s="148"/>
      <c r="DK127" s="148"/>
      <c r="DL127" s="148"/>
      <c r="DM127" s="148"/>
      <c r="DN127" s="148"/>
      <c r="DO127" s="148"/>
      <c r="DP127" s="148"/>
      <c r="DQ127" s="148"/>
      <c r="DR127" s="148"/>
      <c r="DS127" s="148"/>
      <c r="DT127" s="148"/>
      <c r="DU127" s="148"/>
      <c r="DV127" s="148"/>
      <c r="DW127" s="148"/>
      <c r="DX127" s="148"/>
      <c r="DY127" s="148"/>
      <c r="DZ127" s="148"/>
      <c r="EA127" s="148"/>
      <c r="EB127" s="148"/>
      <c r="EC127" s="148"/>
      <c r="ED127" s="148"/>
      <c r="EE127" s="148"/>
      <c r="EF127" s="148"/>
      <c r="EG127" s="148"/>
      <c r="EH127" s="148"/>
      <c r="EI127" s="148"/>
      <c r="EJ127" s="148"/>
      <c r="EK127" s="148"/>
      <c r="EL127" s="148"/>
      <c r="EM127" s="148"/>
      <c r="EN127" s="148"/>
      <c r="EO127" s="148"/>
      <c r="EP127" s="148"/>
      <c r="EQ127" s="148"/>
      <c r="ER127" s="148"/>
      <c r="ES127" s="148"/>
      <c r="ET127" s="148"/>
      <c r="EU127" s="148"/>
      <c r="EV127" s="148"/>
      <c r="EW127" s="148"/>
      <c r="EX127" s="148"/>
      <c r="EY127" s="148"/>
      <c r="EZ127" s="148"/>
      <c r="FA127" s="148"/>
      <c r="FB127" s="148"/>
      <c r="FC127" s="148"/>
      <c r="FD127" s="148"/>
      <c r="FE127" s="148"/>
      <c r="FF127" s="148"/>
      <c r="FG127" s="148"/>
      <c r="FH127" s="148"/>
      <c r="FI127" s="148"/>
      <c r="FJ127" s="148"/>
      <c r="FK127" s="148"/>
      <c r="FL127" s="148"/>
      <c r="FM127" s="148"/>
      <c r="FN127" s="148"/>
      <c r="FO127" s="148"/>
      <c r="FP127" s="148"/>
      <c r="FQ127" s="148"/>
      <c r="FR127" s="148"/>
      <c r="FS127" s="148"/>
      <c r="FT127" s="148"/>
      <c r="FU127" s="148"/>
      <c r="FV127" s="148"/>
      <c r="FW127" s="148"/>
      <c r="FX127" s="148"/>
      <c r="FY127" s="148"/>
      <c r="FZ127" s="148"/>
      <c r="GA127" s="148"/>
      <c r="GB127" s="148"/>
      <c r="GC127" s="148"/>
      <c r="GD127" s="148"/>
      <c r="GE127" s="148"/>
      <c r="GF127" s="148"/>
      <c r="GG127" s="148"/>
      <c r="GH127" s="148"/>
      <c r="GI127" s="148"/>
      <c r="GJ127" s="148"/>
      <c r="GK127" s="148"/>
      <c r="GL127" s="148"/>
      <c r="GM127" s="148"/>
      <c r="GN127" s="148"/>
      <c r="GO127" s="148"/>
      <c r="GP127" s="148"/>
      <c r="GQ127" s="148"/>
      <c r="GR127" s="148"/>
      <c r="GS127" s="148"/>
      <c r="GT127" s="148"/>
      <c r="GU127" s="148"/>
      <c r="GV127" s="148"/>
      <c r="GW127" s="148"/>
      <c r="GX127" s="148"/>
      <c r="GY127" s="148"/>
      <c r="GZ127" s="148"/>
      <c r="HA127" s="148"/>
      <c r="HB127" s="148"/>
      <c r="HC127" s="148"/>
      <c r="HD127" s="148"/>
      <c r="HE127" s="148"/>
      <c r="HF127" s="148"/>
      <c r="HG127" s="148"/>
      <c r="HH127" s="148"/>
      <c r="HI127" s="148"/>
      <c r="HJ127" s="148"/>
      <c r="HK127" s="148"/>
      <c r="HL127" s="148"/>
      <c r="HM127" s="148"/>
      <c r="HN127" s="148"/>
      <c r="HO127" s="148"/>
      <c r="HP127" s="148"/>
      <c r="HQ127" s="148"/>
      <c r="HR127" s="148"/>
      <c r="HS127" s="148"/>
      <c r="HT127" s="148"/>
      <c r="HU127" s="148"/>
      <c r="HV127" s="148"/>
      <c r="HW127" s="148"/>
      <c r="HX127" s="148"/>
      <c r="HY127" s="148"/>
      <c r="HZ127" s="148"/>
      <c r="IA127" s="148"/>
      <c r="IB127" s="148"/>
      <c r="IC127" s="148"/>
      <c r="ID127" s="148"/>
      <c r="IE127" s="148"/>
      <c r="IF127" s="148"/>
      <c r="IG127" s="148"/>
      <c r="IH127" s="148"/>
      <c r="II127" s="148"/>
      <c r="IJ127" s="148"/>
      <c r="IK127" s="148"/>
      <c r="IL127" s="148"/>
      <c r="IM127" s="148"/>
      <c r="IN127" s="148"/>
      <c r="IO127" s="148"/>
      <c r="IP127" s="148"/>
      <c r="IQ127" s="148"/>
      <c r="IR127" s="148"/>
      <c r="IS127" s="148"/>
      <c r="IT127" s="148"/>
      <c r="IU127" s="148"/>
      <c r="IV127" s="148"/>
      <c r="IW127" s="148"/>
      <c r="IX127" s="148"/>
      <c r="IY127" s="148"/>
      <c r="IZ127" s="148"/>
      <c r="JA127" s="148"/>
    </row>
    <row r="128" spans="1:261" ht="36.75" customHeight="1" x14ac:dyDescent="0.35">
      <c r="A128" s="1423">
        <v>117</v>
      </c>
      <c r="B128" s="1589"/>
      <c r="C128" s="1582">
        <v>24</v>
      </c>
      <c r="D128" s="1414" t="s">
        <v>864</v>
      </c>
      <c r="E128" s="1560"/>
      <c r="F128" s="1561"/>
      <c r="G128" s="1562"/>
      <c r="H128" s="1563" t="s">
        <v>24</v>
      </c>
      <c r="I128" s="1564"/>
      <c r="J128" s="1565"/>
      <c r="K128" s="1565"/>
      <c r="L128" s="1565"/>
      <c r="M128" s="1565"/>
      <c r="N128" s="1565"/>
      <c r="O128" s="1566"/>
      <c r="P128" s="1567"/>
    </row>
    <row r="129" spans="1:261" s="272" customFormat="1" ht="18" customHeight="1" x14ac:dyDescent="0.35">
      <c r="A129" s="1423">
        <v>118</v>
      </c>
      <c r="B129" s="1557"/>
      <c r="C129" s="1582"/>
      <c r="D129" s="1585" t="s">
        <v>311</v>
      </c>
      <c r="E129" s="1560">
        <f>F129+G129+O132+P132+89379+55491</f>
        <v>184000</v>
      </c>
      <c r="F129" s="1561">
        <v>9200</v>
      </c>
      <c r="G129" s="1562">
        <f>3350+5228+2096+1</f>
        <v>10675</v>
      </c>
      <c r="H129" s="1563"/>
      <c r="I129" s="1564"/>
      <c r="J129" s="1565"/>
      <c r="K129" s="1565">
        <v>19255</v>
      </c>
      <c r="L129" s="1565"/>
      <c r="M129" s="1565"/>
      <c r="N129" s="1565"/>
      <c r="O129" s="1566">
        <f>SUM(I129:N129)</f>
        <v>19255</v>
      </c>
      <c r="P129" s="1567"/>
      <c r="Q129" s="148"/>
      <c r="R129" s="148"/>
      <c r="S129" s="148"/>
      <c r="T129" s="148"/>
      <c r="U129" s="148"/>
      <c r="V129" s="148"/>
      <c r="W129" s="148"/>
      <c r="X129" s="148"/>
      <c r="Y129" s="148"/>
      <c r="Z129" s="148"/>
      <c r="AA129" s="148"/>
      <c r="AB129" s="148"/>
      <c r="AC129" s="148"/>
      <c r="AD129" s="148"/>
      <c r="AE129" s="148"/>
      <c r="AF129" s="148"/>
      <c r="AG129" s="148"/>
      <c r="AH129" s="148"/>
      <c r="AI129" s="148"/>
      <c r="AJ129" s="148"/>
      <c r="AK129" s="148"/>
      <c r="AL129" s="148"/>
      <c r="AM129" s="148"/>
      <c r="AN129" s="148"/>
      <c r="AO129" s="148"/>
      <c r="AP129" s="148"/>
      <c r="AQ129" s="148"/>
      <c r="AR129" s="148"/>
      <c r="AS129" s="148"/>
      <c r="AT129" s="148"/>
      <c r="AU129" s="148"/>
      <c r="AV129" s="148"/>
      <c r="AW129" s="148"/>
      <c r="AX129" s="148"/>
      <c r="AY129" s="148"/>
      <c r="AZ129" s="148"/>
      <c r="BA129" s="148"/>
      <c r="BB129" s="148"/>
      <c r="BC129" s="148"/>
      <c r="BD129" s="148"/>
      <c r="BE129" s="148"/>
      <c r="BF129" s="148"/>
      <c r="BG129" s="148"/>
      <c r="BH129" s="148"/>
      <c r="BI129" s="148"/>
      <c r="BJ129" s="148"/>
      <c r="BK129" s="148"/>
      <c r="BL129" s="148"/>
      <c r="BM129" s="148"/>
      <c r="BN129" s="148"/>
      <c r="BO129" s="148"/>
      <c r="BP129" s="148"/>
      <c r="BQ129" s="148"/>
      <c r="BR129" s="148"/>
      <c r="BS129" s="148"/>
      <c r="BT129" s="148"/>
      <c r="BU129" s="148"/>
      <c r="BV129" s="148"/>
      <c r="BW129" s="148"/>
      <c r="BX129" s="148"/>
      <c r="BY129" s="148"/>
      <c r="BZ129" s="148"/>
      <c r="CA129" s="148"/>
      <c r="CB129" s="148"/>
      <c r="CC129" s="148"/>
      <c r="CD129" s="148"/>
      <c r="CE129" s="148"/>
      <c r="CF129" s="148"/>
      <c r="CG129" s="148"/>
      <c r="CH129" s="148"/>
      <c r="CI129" s="148"/>
      <c r="CJ129" s="148"/>
      <c r="CK129" s="148"/>
      <c r="CL129" s="148"/>
      <c r="CM129" s="148"/>
      <c r="CN129" s="148"/>
      <c r="CO129" s="148"/>
      <c r="CP129" s="148"/>
      <c r="CQ129" s="148"/>
      <c r="CR129" s="148"/>
      <c r="CS129" s="148"/>
      <c r="CT129" s="148"/>
      <c r="CU129" s="148"/>
      <c r="CV129" s="148"/>
      <c r="CW129" s="148"/>
      <c r="CX129" s="148"/>
      <c r="CY129" s="148"/>
      <c r="CZ129" s="148"/>
      <c r="DA129" s="148"/>
      <c r="DB129" s="148"/>
      <c r="DC129" s="148"/>
      <c r="DD129" s="148"/>
      <c r="DE129" s="148"/>
      <c r="DF129" s="148"/>
      <c r="DG129" s="148"/>
      <c r="DH129" s="148"/>
      <c r="DI129" s="148"/>
      <c r="DJ129" s="148"/>
      <c r="DK129" s="148"/>
      <c r="DL129" s="148"/>
      <c r="DM129" s="148"/>
      <c r="DN129" s="148"/>
      <c r="DO129" s="148"/>
      <c r="DP129" s="148"/>
      <c r="DQ129" s="148"/>
      <c r="DR129" s="148"/>
      <c r="DS129" s="148"/>
      <c r="DT129" s="148"/>
      <c r="DU129" s="148"/>
      <c r="DV129" s="148"/>
      <c r="DW129" s="148"/>
      <c r="DX129" s="148"/>
      <c r="DY129" s="148"/>
      <c r="DZ129" s="148"/>
      <c r="EA129" s="148"/>
      <c r="EB129" s="148"/>
      <c r="EC129" s="148"/>
      <c r="ED129" s="148"/>
      <c r="EE129" s="148"/>
      <c r="EF129" s="148"/>
      <c r="EG129" s="148"/>
      <c r="EH129" s="148"/>
      <c r="EI129" s="148"/>
      <c r="EJ129" s="148"/>
      <c r="EK129" s="148"/>
      <c r="EL129" s="148"/>
      <c r="EM129" s="148"/>
      <c r="EN129" s="148"/>
      <c r="EO129" s="148"/>
      <c r="EP129" s="148"/>
      <c r="EQ129" s="148"/>
      <c r="ER129" s="148"/>
      <c r="ES129" s="148"/>
      <c r="ET129" s="148"/>
      <c r="EU129" s="148"/>
      <c r="EV129" s="148"/>
      <c r="EW129" s="148"/>
      <c r="EX129" s="148"/>
      <c r="EY129" s="148"/>
      <c r="EZ129" s="148"/>
      <c r="FA129" s="148"/>
      <c r="FB129" s="148"/>
      <c r="FC129" s="148"/>
      <c r="FD129" s="148"/>
      <c r="FE129" s="148"/>
      <c r="FF129" s="148"/>
      <c r="FG129" s="148"/>
      <c r="FH129" s="148"/>
      <c r="FI129" s="148"/>
      <c r="FJ129" s="148"/>
      <c r="FK129" s="148"/>
      <c r="FL129" s="148"/>
      <c r="FM129" s="148"/>
      <c r="FN129" s="148"/>
      <c r="FO129" s="148"/>
      <c r="FP129" s="148"/>
      <c r="FQ129" s="148"/>
      <c r="FR129" s="148"/>
      <c r="FS129" s="148"/>
      <c r="FT129" s="148"/>
      <c r="FU129" s="148"/>
      <c r="FV129" s="148"/>
      <c r="FW129" s="148"/>
      <c r="FX129" s="148"/>
      <c r="FY129" s="148"/>
      <c r="FZ129" s="148"/>
      <c r="GA129" s="148"/>
      <c r="GB129" s="148"/>
      <c r="GC129" s="148"/>
      <c r="GD129" s="148"/>
      <c r="GE129" s="148"/>
      <c r="GF129" s="148"/>
      <c r="GG129" s="148"/>
      <c r="GH129" s="148"/>
      <c r="GI129" s="148"/>
      <c r="GJ129" s="148"/>
      <c r="GK129" s="148"/>
      <c r="GL129" s="148"/>
      <c r="GM129" s="148"/>
      <c r="GN129" s="148"/>
      <c r="GO129" s="148"/>
      <c r="GP129" s="148"/>
      <c r="GQ129" s="148"/>
      <c r="GR129" s="148"/>
      <c r="GS129" s="148"/>
      <c r="GT129" s="148"/>
      <c r="GU129" s="148"/>
      <c r="GV129" s="148"/>
      <c r="GW129" s="148"/>
      <c r="GX129" s="148"/>
      <c r="GY129" s="148"/>
      <c r="GZ129" s="148"/>
      <c r="HA129" s="148"/>
      <c r="HB129" s="148"/>
      <c r="HC129" s="148"/>
      <c r="HD129" s="148"/>
      <c r="HE129" s="148"/>
      <c r="HF129" s="148"/>
      <c r="HG129" s="148"/>
      <c r="HH129" s="148"/>
      <c r="HI129" s="148"/>
      <c r="HJ129" s="148"/>
      <c r="HK129" s="148"/>
      <c r="HL129" s="148"/>
      <c r="HM129" s="148"/>
      <c r="HN129" s="148"/>
      <c r="HO129" s="148"/>
      <c r="HP129" s="148"/>
      <c r="HQ129" s="148"/>
      <c r="HR129" s="148"/>
      <c r="HS129" s="148"/>
      <c r="HT129" s="148"/>
      <c r="HU129" s="148"/>
      <c r="HV129" s="148"/>
      <c r="HW129" s="148"/>
      <c r="HX129" s="148"/>
      <c r="HY129" s="148"/>
      <c r="HZ129" s="148"/>
      <c r="IA129" s="148"/>
      <c r="IB129" s="148"/>
      <c r="IC129" s="148"/>
      <c r="ID129" s="148"/>
      <c r="IE129" s="148"/>
      <c r="IF129" s="148"/>
      <c r="IG129" s="148"/>
      <c r="IH129" s="148"/>
      <c r="II129" s="148"/>
      <c r="IJ129" s="148"/>
      <c r="IK129" s="148"/>
      <c r="IL129" s="148"/>
      <c r="IM129" s="148"/>
      <c r="IN129" s="148"/>
      <c r="IO129" s="148"/>
      <c r="IP129" s="148"/>
      <c r="IQ129" s="148"/>
      <c r="IR129" s="148"/>
      <c r="IS129" s="148"/>
      <c r="IT129" s="148"/>
      <c r="IU129" s="148"/>
      <c r="IV129" s="148"/>
      <c r="IW129" s="148"/>
      <c r="IX129" s="148"/>
      <c r="IY129" s="148"/>
      <c r="IZ129" s="148"/>
      <c r="JA129" s="148"/>
    </row>
    <row r="130" spans="1:261" s="272" customFormat="1" ht="18" customHeight="1" x14ac:dyDescent="0.35">
      <c r="A130" s="1423">
        <v>119</v>
      </c>
      <c r="B130" s="1557"/>
      <c r="C130" s="1582"/>
      <c r="D130" s="1163" t="s">
        <v>1064</v>
      </c>
      <c r="E130" s="1560"/>
      <c r="F130" s="1561"/>
      <c r="G130" s="1562"/>
      <c r="H130" s="1563"/>
      <c r="I130" s="1564"/>
      <c r="J130" s="1565"/>
      <c r="K130" s="1574">
        <v>19255</v>
      </c>
      <c r="L130" s="1565"/>
      <c r="M130" s="1565"/>
      <c r="N130" s="1565"/>
      <c r="O130" s="1576">
        <f>SUM(I130:N130)</f>
        <v>19255</v>
      </c>
      <c r="P130" s="1567"/>
      <c r="Q130" s="148"/>
      <c r="R130" s="148"/>
      <c r="S130" s="148"/>
      <c r="T130" s="148"/>
      <c r="U130" s="148"/>
      <c r="V130" s="148"/>
      <c r="W130" s="148"/>
      <c r="X130" s="148"/>
      <c r="Y130" s="148"/>
      <c r="Z130" s="148"/>
      <c r="AA130" s="148"/>
      <c r="AB130" s="148"/>
      <c r="AC130" s="148"/>
      <c r="AD130" s="148"/>
      <c r="AE130" s="148"/>
      <c r="AF130" s="148"/>
      <c r="AG130" s="148"/>
      <c r="AH130" s="148"/>
      <c r="AI130" s="148"/>
      <c r="AJ130" s="148"/>
      <c r="AK130" s="148"/>
      <c r="AL130" s="148"/>
      <c r="AM130" s="148"/>
      <c r="AN130" s="148"/>
      <c r="AO130" s="148"/>
      <c r="AP130" s="148"/>
      <c r="AQ130" s="148"/>
      <c r="AR130" s="148"/>
      <c r="AS130" s="148"/>
      <c r="AT130" s="148"/>
      <c r="AU130" s="148"/>
      <c r="AV130" s="148"/>
      <c r="AW130" s="148"/>
      <c r="AX130" s="148"/>
      <c r="AY130" s="148"/>
      <c r="AZ130" s="148"/>
      <c r="BA130" s="148"/>
      <c r="BB130" s="148"/>
      <c r="BC130" s="148"/>
      <c r="BD130" s="148"/>
      <c r="BE130" s="148"/>
      <c r="BF130" s="148"/>
      <c r="BG130" s="148"/>
      <c r="BH130" s="148"/>
      <c r="BI130" s="148"/>
      <c r="BJ130" s="148"/>
      <c r="BK130" s="148"/>
      <c r="BL130" s="148"/>
      <c r="BM130" s="148"/>
      <c r="BN130" s="148"/>
      <c r="BO130" s="148"/>
      <c r="BP130" s="148"/>
      <c r="BQ130" s="148"/>
      <c r="BR130" s="148"/>
      <c r="BS130" s="148"/>
      <c r="BT130" s="148"/>
      <c r="BU130" s="148"/>
      <c r="BV130" s="148"/>
      <c r="BW130" s="148"/>
      <c r="BX130" s="148"/>
      <c r="BY130" s="148"/>
      <c r="BZ130" s="148"/>
      <c r="CA130" s="148"/>
      <c r="CB130" s="148"/>
      <c r="CC130" s="148"/>
      <c r="CD130" s="148"/>
      <c r="CE130" s="148"/>
      <c r="CF130" s="148"/>
      <c r="CG130" s="148"/>
      <c r="CH130" s="148"/>
      <c r="CI130" s="148"/>
      <c r="CJ130" s="148"/>
      <c r="CK130" s="148"/>
      <c r="CL130" s="148"/>
      <c r="CM130" s="148"/>
      <c r="CN130" s="148"/>
      <c r="CO130" s="148"/>
      <c r="CP130" s="148"/>
      <c r="CQ130" s="148"/>
      <c r="CR130" s="148"/>
      <c r="CS130" s="148"/>
      <c r="CT130" s="148"/>
      <c r="CU130" s="148"/>
      <c r="CV130" s="148"/>
      <c r="CW130" s="148"/>
      <c r="CX130" s="148"/>
      <c r="CY130" s="148"/>
      <c r="CZ130" s="148"/>
      <c r="DA130" s="148"/>
      <c r="DB130" s="148"/>
      <c r="DC130" s="148"/>
      <c r="DD130" s="148"/>
      <c r="DE130" s="148"/>
      <c r="DF130" s="148"/>
      <c r="DG130" s="148"/>
      <c r="DH130" s="148"/>
      <c r="DI130" s="148"/>
      <c r="DJ130" s="148"/>
      <c r="DK130" s="148"/>
      <c r="DL130" s="148"/>
      <c r="DM130" s="148"/>
      <c r="DN130" s="148"/>
      <c r="DO130" s="148"/>
      <c r="DP130" s="148"/>
      <c r="DQ130" s="148"/>
      <c r="DR130" s="148"/>
      <c r="DS130" s="148"/>
      <c r="DT130" s="148"/>
      <c r="DU130" s="148"/>
      <c r="DV130" s="148"/>
      <c r="DW130" s="148"/>
      <c r="DX130" s="148"/>
      <c r="DY130" s="148"/>
      <c r="DZ130" s="148"/>
      <c r="EA130" s="148"/>
      <c r="EB130" s="148"/>
      <c r="EC130" s="148"/>
      <c r="ED130" s="148"/>
      <c r="EE130" s="148"/>
      <c r="EF130" s="148"/>
      <c r="EG130" s="148"/>
      <c r="EH130" s="148"/>
      <c r="EI130" s="148"/>
      <c r="EJ130" s="148"/>
      <c r="EK130" s="148"/>
      <c r="EL130" s="148"/>
      <c r="EM130" s="148"/>
      <c r="EN130" s="148"/>
      <c r="EO130" s="148"/>
      <c r="EP130" s="148"/>
      <c r="EQ130" s="148"/>
      <c r="ER130" s="148"/>
      <c r="ES130" s="148"/>
      <c r="ET130" s="148"/>
      <c r="EU130" s="148"/>
      <c r="EV130" s="148"/>
      <c r="EW130" s="148"/>
      <c r="EX130" s="148"/>
      <c r="EY130" s="148"/>
      <c r="EZ130" s="148"/>
      <c r="FA130" s="148"/>
      <c r="FB130" s="148"/>
      <c r="FC130" s="148"/>
      <c r="FD130" s="148"/>
      <c r="FE130" s="148"/>
      <c r="FF130" s="148"/>
      <c r="FG130" s="148"/>
      <c r="FH130" s="148"/>
      <c r="FI130" s="148"/>
      <c r="FJ130" s="148"/>
      <c r="FK130" s="148"/>
      <c r="FL130" s="148"/>
      <c r="FM130" s="148"/>
      <c r="FN130" s="148"/>
      <c r="FO130" s="148"/>
      <c r="FP130" s="148"/>
      <c r="FQ130" s="148"/>
      <c r="FR130" s="148"/>
      <c r="FS130" s="148"/>
      <c r="FT130" s="148"/>
      <c r="FU130" s="148"/>
      <c r="FV130" s="148"/>
      <c r="FW130" s="148"/>
      <c r="FX130" s="148"/>
      <c r="FY130" s="148"/>
      <c r="FZ130" s="148"/>
      <c r="GA130" s="148"/>
      <c r="GB130" s="148"/>
      <c r="GC130" s="148"/>
      <c r="GD130" s="148"/>
      <c r="GE130" s="148"/>
      <c r="GF130" s="148"/>
      <c r="GG130" s="148"/>
      <c r="GH130" s="148"/>
      <c r="GI130" s="148"/>
      <c r="GJ130" s="148"/>
      <c r="GK130" s="148"/>
      <c r="GL130" s="148"/>
      <c r="GM130" s="148"/>
      <c r="GN130" s="148"/>
      <c r="GO130" s="148"/>
      <c r="GP130" s="148"/>
      <c r="GQ130" s="148"/>
      <c r="GR130" s="148"/>
      <c r="GS130" s="148"/>
      <c r="GT130" s="148"/>
      <c r="GU130" s="148"/>
      <c r="GV130" s="148"/>
      <c r="GW130" s="148"/>
      <c r="GX130" s="148"/>
      <c r="GY130" s="148"/>
      <c r="GZ130" s="148"/>
      <c r="HA130" s="148"/>
      <c r="HB130" s="148"/>
      <c r="HC130" s="148"/>
      <c r="HD130" s="148"/>
      <c r="HE130" s="148"/>
      <c r="HF130" s="148"/>
      <c r="HG130" s="148"/>
      <c r="HH130" s="148"/>
      <c r="HI130" s="148"/>
      <c r="HJ130" s="148"/>
      <c r="HK130" s="148"/>
      <c r="HL130" s="148"/>
      <c r="HM130" s="148"/>
      <c r="HN130" s="148"/>
      <c r="HO130" s="148"/>
      <c r="HP130" s="148"/>
      <c r="HQ130" s="148"/>
      <c r="HR130" s="148"/>
      <c r="HS130" s="148"/>
      <c r="HT130" s="148"/>
      <c r="HU130" s="148"/>
      <c r="HV130" s="148"/>
      <c r="HW130" s="148"/>
      <c r="HX130" s="148"/>
      <c r="HY130" s="148"/>
      <c r="HZ130" s="148"/>
      <c r="IA130" s="148"/>
      <c r="IB130" s="148"/>
      <c r="IC130" s="148"/>
      <c r="ID130" s="148"/>
      <c r="IE130" s="148"/>
      <c r="IF130" s="148"/>
      <c r="IG130" s="148"/>
      <c r="IH130" s="148"/>
      <c r="II130" s="148"/>
      <c r="IJ130" s="148"/>
      <c r="IK130" s="148"/>
      <c r="IL130" s="148"/>
      <c r="IM130" s="148"/>
      <c r="IN130" s="148"/>
      <c r="IO130" s="148"/>
      <c r="IP130" s="148"/>
      <c r="IQ130" s="148"/>
      <c r="IR130" s="148"/>
      <c r="IS130" s="148"/>
      <c r="IT130" s="148"/>
      <c r="IU130" s="148"/>
      <c r="IV130" s="148"/>
      <c r="IW130" s="148"/>
      <c r="IX130" s="148"/>
      <c r="IY130" s="148"/>
      <c r="IZ130" s="148"/>
      <c r="JA130" s="148"/>
    </row>
    <row r="131" spans="1:261" s="272" customFormat="1" ht="18" customHeight="1" x14ac:dyDescent="0.35">
      <c r="A131" s="1423">
        <v>120</v>
      </c>
      <c r="B131" s="1557"/>
      <c r="C131" s="1582"/>
      <c r="D131" s="1174" t="s">
        <v>999</v>
      </c>
      <c r="E131" s="1560"/>
      <c r="F131" s="1561"/>
      <c r="G131" s="1562"/>
      <c r="H131" s="1563"/>
      <c r="I131" s="1580"/>
      <c r="J131" s="1574"/>
      <c r="K131" s="1574"/>
      <c r="L131" s="1574"/>
      <c r="M131" s="1574"/>
      <c r="N131" s="1574"/>
      <c r="O131" s="1578">
        <f>SUM(I131:N131)</f>
        <v>0</v>
      </c>
      <c r="P131" s="1567"/>
      <c r="Q131" s="148"/>
      <c r="R131" s="148"/>
      <c r="S131" s="148"/>
      <c r="T131" s="148"/>
      <c r="U131" s="148"/>
      <c r="V131" s="148"/>
      <c r="W131" s="148"/>
      <c r="X131" s="148"/>
      <c r="Y131" s="148"/>
      <c r="Z131" s="148"/>
      <c r="AA131" s="148"/>
      <c r="AB131" s="148"/>
      <c r="AC131" s="148"/>
      <c r="AD131" s="148"/>
      <c r="AE131" s="148"/>
      <c r="AF131" s="148"/>
      <c r="AG131" s="148"/>
      <c r="AH131" s="148"/>
      <c r="AI131" s="148"/>
      <c r="AJ131" s="148"/>
      <c r="AK131" s="148"/>
      <c r="AL131" s="148"/>
      <c r="AM131" s="148"/>
      <c r="AN131" s="148"/>
      <c r="AO131" s="148"/>
      <c r="AP131" s="148"/>
      <c r="AQ131" s="148"/>
      <c r="AR131" s="148"/>
      <c r="AS131" s="148"/>
      <c r="AT131" s="148"/>
      <c r="AU131" s="148"/>
      <c r="AV131" s="148"/>
      <c r="AW131" s="148"/>
      <c r="AX131" s="148"/>
      <c r="AY131" s="148"/>
      <c r="AZ131" s="148"/>
      <c r="BA131" s="148"/>
      <c r="BB131" s="148"/>
      <c r="BC131" s="148"/>
      <c r="BD131" s="148"/>
      <c r="BE131" s="148"/>
      <c r="BF131" s="148"/>
      <c r="BG131" s="148"/>
      <c r="BH131" s="148"/>
      <c r="BI131" s="148"/>
      <c r="BJ131" s="148"/>
      <c r="BK131" s="148"/>
      <c r="BL131" s="148"/>
      <c r="BM131" s="148"/>
      <c r="BN131" s="148"/>
      <c r="BO131" s="148"/>
      <c r="BP131" s="148"/>
      <c r="BQ131" s="148"/>
      <c r="BR131" s="148"/>
      <c r="BS131" s="148"/>
      <c r="BT131" s="148"/>
      <c r="BU131" s="148"/>
      <c r="BV131" s="148"/>
      <c r="BW131" s="148"/>
      <c r="BX131" s="148"/>
      <c r="BY131" s="148"/>
      <c r="BZ131" s="148"/>
      <c r="CA131" s="148"/>
      <c r="CB131" s="148"/>
      <c r="CC131" s="148"/>
      <c r="CD131" s="148"/>
      <c r="CE131" s="148"/>
      <c r="CF131" s="148"/>
      <c r="CG131" s="148"/>
      <c r="CH131" s="148"/>
      <c r="CI131" s="148"/>
      <c r="CJ131" s="148"/>
      <c r="CK131" s="148"/>
      <c r="CL131" s="148"/>
      <c r="CM131" s="148"/>
      <c r="CN131" s="148"/>
      <c r="CO131" s="148"/>
      <c r="CP131" s="148"/>
      <c r="CQ131" s="148"/>
      <c r="CR131" s="148"/>
      <c r="CS131" s="148"/>
      <c r="CT131" s="148"/>
      <c r="CU131" s="148"/>
      <c r="CV131" s="148"/>
      <c r="CW131" s="148"/>
      <c r="CX131" s="148"/>
      <c r="CY131" s="148"/>
      <c r="CZ131" s="148"/>
      <c r="DA131" s="148"/>
      <c r="DB131" s="148"/>
      <c r="DC131" s="148"/>
      <c r="DD131" s="148"/>
      <c r="DE131" s="148"/>
      <c r="DF131" s="148"/>
      <c r="DG131" s="148"/>
      <c r="DH131" s="148"/>
      <c r="DI131" s="148"/>
      <c r="DJ131" s="148"/>
      <c r="DK131" s="148"/>
      <c r="DL131" s="148"/>
      <c r="DM131" s="148"/>
      <c r="DN131" s="148"/>
      <c r="DO131" s="148"/>
      <c r="DP131" s="148"/>
      <c r="DQ131" s="148"/>
      <c r="DR131" s="148"/>
      <c r="DS131" s="148"/>
      <c r="DT131" s="148"/>
      <c r="DU131" s="148"/>
      <c r="DV131" s="148"/>
      <c r="DW131" s="148"/>
      <c r="DX131" s="148"/>
      <c r="DY131" s="148"/>
      <c r="DZ131" s="148"/>
      <c r="EA131" s="148"/>
      <c r="EB131" s="148"/>
      <c r="EC131" s="148"/>
      <c r="ED131" s="148"/>
      <c r="EE131" s="148"/>
      <c r="EF131" s="148"/>
      <c r="EG131" s="148"/>
      <c r="EH131" s="148"/>
      <c r="EI131" s="148"/>
      <c r="EJ131" s="148"/>
      <c r="EK131" s="148"/>
      <c r="EL131" s="148"/>
      <c r="EM131" s="148"/>
      <c r="EN131" s="148"/>
      <c r="EO131" s="148"/>
      <c r="EP131" s="148"/>
      <c r="EQ131" s="148"/>
      <c r="ER131" s="148"/>
      <c r="ES131" s="148"/>
      <c r="ET131" s="148"/>
      <c r="EU131" s="148"/>
      <c r="EV131" s="148"/>
      <c r="EW131" s="148"/>
      <c r="EX131" s="148"/>
      <c r="EY131" s="148"/>
      <c r="EZ131" s="148"/>
      <c r="FA131" s="148"/>
      <c r="FB131" s="148"/>
      <c r="FC131" s="148"/>
      <c r="FD131" s="148"/>
      <c r="FE131" s="148"/>
      <c r="FF131" s="148"/>
      <c r="FG131" s="148"/>
      <c r="FH131" s="148"/>
      <c r="FI131" s="148"/>
      <c r="FJ131" s="148"/>
      <c r="FK131" s="148"/>
      <c r="FL131" s="148"/>
      <c r="FM131" s="148"/>
      <c r="FN131" s="148"/>
      <c r="FO131" s="148"/>
      <c r="FP131" s="148"/>
      <c r="FQ131" s="148"/>
      <c r="FR131" s="148"/>
      <c r="FS131" s="148"/>
      <c r="FT131" s="148"/>
      <c r="FU131" s="148"/>
      <c r="FV131" s="148"/>
      <c r="FW131" s="148"/>
      <c r="FX131" s="148"/>
      <c r="FY131" s="148"/>
      <c r="FZ131" s="148"/>
      <c r="GA131" s="148"/>
      <c r="GB131" s="148"/>
      <c r="GC131" s="148"/>
      <c r="GD131" s="148"/>
      <c r="GE131" s="148"/>
      <c r="GF131" s="148"/>
      <c r="GG131" s="148"/>
      <c r="GH131" s="148"/>
      <c r="GI131" s="148"/>
      <c r="GJ131" s="148"/>
      <c r="GK131" s="148"/>
      <c r="GL131" s="148"/>
      <c r="GM131" s="148"/>
      <c r="GN131" s="148"/>
      <c r="GO131" s="148"/>
      <c r="GP131" s="148"/>
      <c r="GQ131" s="148"/>
      <c r="GR131" s="148"/>
      <c r="GS131" s="148"/>
      <c r="GT131" s="148"/>
      <c r="GU131" s="148"/>
      <c r="GV131" s="148"/>
      <c r="GW131" s="148"/>
      <c r="GX131" s="148"/>
      <c r="GY131" s="148"/>
      <c r="GZ131" s="148"/>
      <c r="HA131" s="148"/>
      <c r="HB131" s="148"/>
      <c r="HC131" s="148"/>
      <c r="HD131" s="148"/>
      <c r="HE131" s="148"/>
      <c r="HF131" s="148"/>
      <c r="HG131" s="148"/>
      <c r="HH131" s="148"/>
      <c r="HI131" s="148"/>
      <c r="HJ131" s="148"/>
      <c r="HK131" s="148"/>
      <c r="HL131" s="148"/>
      <c r="HM131" s="148"/>
      <c r="HN131" s="148"/>
      <c r="HO131" s="148"/>
      <c r="HP131" s="148"/>
      <c r="HQ131" s="148"/>
      <c r="HR131" s="148"/>
      <c r="HS131" s="148"/>
      <c r="HT131" s="148"/>
      <c r="HU131" s="148"/>
      <c r="HV131" s="148"/>
      <c r="HW131" s="148"/>
      <c r="HX131" s="148"/>
      <c r="HY131" s="148"/>
      <c r="HZ131" s="148"/>
      <c r="IA131" s="148"/>
      <c r="IB131" s="148"/>
      <c r="IC131" s="148"/>
      <c r="ID131" s="148"/>
      <c r="IE131" s="148"/>
      <c r="IF131" s="148"/>
      <c r="IG131" s="148"/>
      <c r="IH131" s="148"/>
      <c r="II131" s="148"/>
      <c r="IJ131" s="148"/>
      <c r="IK131" s="148"/>
      <c r="IL131" s="148"/>
      <c r="IM131" s="148"/>
      <c r="IN131" s="148"/>
      <c r="IO131" s="148"/>
      <c r="IP131" s="148"/>
      <c r="IQ131" s="148"/>
      <c r="IR131" s="148"/>
      <c r="IS131" s="148"/>
      <c r="IT131" s="148"/>
      <c r="IU131" s="148"/>
      <c r="IV131" s="148"/>
      <c r="IW131" s="148"/>
      <c r="IX131" s="148"/>
      <c r="IY131" s="148"/>
      <c r="IZ131" s="148"/>
      <c r="JA131" s="148"/>
    </row>
    <row r="132" spans="1:261" s="272" customFormat="1" ht="18" customHeight="1" x14ac:dyDescent="0.35">
      <c r="A132" s="1423">
        <v>121</v>
      </c>
      <c r="B132" s="1557"/>
      <c r="C132" s="1582"/>
      <c r="D132" s="1163" t="s">
        <v>1116</v>
      </c>
      <c r="E132" s="1560"/>
      <c r="F132" s="1561"/>
      <c r="G132" s="1562"/>
      <c r="H132" s="1563"/>
      <c r="I132" s="1580"/>
      <c r="J132" s="1574"/>
      <c r="K132" s="1574">
        <f>SUM(K130:K131)</f>
        <v>19255</v>
      </c>
      <c r="L132" s="1574"/>
      <c r="M132" s="1574"/>
      <c r="N132" s="1574"/>
      <c r="O132" s="1576">
        <f>SUM(I132:N132)</f>
        <v>19255</v>
      </c>
      <c r="P132" s="1567"/>
      <c r="Q132" s="148"/>
      <c r="R132" s="148"/>
      <c r="S132" s="148"/>
      <c r="T132" s="148"/>
      <c r="U132" s="148"/>
      <c r="V132" s="148"/>
      <c r="W132" s="148"/>
      <c r="X132" s="148"/>
      <c r="Y132" s="148"/>
      <c r="Z132" s="148"/>
      <c r="AA132" s="148"/>
      <c r="AB132" s="148"/>
      <c r="AC132" s="148"/>
      <c r="AD132" s="148"/>
      <c r="AE132" s="148"/>
      <c r="AF132" s="148"/>
      <c r="AG132" s="148"/>
      <c r="AH132" s="148"/>
      <c r="AI132" s="148"/>
      <c r="AJ132" s="148"/>
      <c r="AK132" s="148"/>
      <c r="AL132" s="148"/>
      <c r="AM132" s="148"/>
      <c r="AN132" s="148"/>
      <c r="AO132" s="148"/>
      <c r="AP132" s="148"/>
      <c r="AQ132" s="148"/>
      <c r="AR132" s="148"/>
      <c r="AS132" s="148"/>
      <c r="AT132" s="148"/>
      <c r="AU132" s="148"/>
      <c r="AV132" s="148"/>
      <c r="AW132" s="148"/>
      <c r="AX132" s="148"/>
      <c r="AY132" s="148"/>
      <c r="AZ132" s="148"/>
      <c r="BA132" s="148"/>
      <c r="BB132" s="148"/>
      <c r="BC132" s="148"/>
      <c r="BD132" s="148"/>
      <c r="BE132" s="148"/>
      <c r="BF132" s="148"/>
      <c r="BG132" s="148"/>
      <c r="BH132" s="148"/>
      <c r="BI132" s="148"/>
      <c r="BJ132" s="148"/>
      <c r="BK132" s="148"/>
      <c r="BL132" s="148"/>
      <c r="BM132" s="148"/>
      <c r="BN132" s="148"/>
      <c r="BO132" s="148"/>
      <c r="BP132" s="148"/>
      <c r="BQ132" s="148"/>
      <c r="BR132" s="148"/>
      <c r="BS132" s="148"/>
      <c r="BT132" s="148"/>
      <c r="BU132" s="148"/>
      <c r="BV132" s="148"/>
      <c r="BW132" s="148"/>
      <c r="BX132" s="148"/>
      <c r="BY132" s="148"/>
      <c r="BZ132" s="148"/>
      <c r="CA132" s="148"/>
      <c r="CB132" s="148"/>
      <c r="CC132" s="148"/>
      <c r="CD132" s="148"/>
      <c r="CE132" s="148"/>
      <c r="CF132" s="148"/>
      <c r="CG132" s="148"/>
      <c r="CH132" s="148"/>
      <c r="CI132" s="148"/>
      <c r="CJ132" s="148"/>
      <c r="CK132" s="148"/>
      <c r="CL132" s="148"/>
      <c r="CM132" s="148"/>
      <c r="CN132" s="148"/>
      <c r="CO132" s="148"/>
      <c r="CP132" s="148"/>
      <c r="CQ132" s="148"/>
      <c r="CR132" s="148"/>
      <c r="CS132" s="148"/>
      <c r="CT132" s="148"/>
      <c r="CU132" s="148"/>
      <c r="CV132" s="148"/>
      <c r="CW132" s="148"/>
      <c r="CX132" s="148"/>
      <c r="CY132" s="148"/>
      <c r="CZ132" s="148"/>
      <c r="DA132" s="148"/>
      <c r="DB132" s="148"/>
      <c r="DC132" s="148"/>
      <c r="DD132" s="148"/>
      <c r="DE132" s="148"/>
      <c r="DF132" s="148"/>
      <c r="DG132" s="148"/>
      <c r="DH132" s="148"/>
      <c r="DI132" s="148"/>
      <c r="DJ132" s="148"/>
      <c r="DK132" s="148"/>
      <c r="DL132" s="148"/>
      <c r="DM132" s="148"/>
      <c r="DN132" s="148"/>
      <c r="DO132" s="148"/>
      <c r="DP132" s="148"/>
      <c r="DQ132" s="148"/>
      <c r="DR132" s="148"/>
      <c r="DS132" s="148"/>
      <c r="DT132" s="148"/>
      <c r="DU132" s="148"/>
      <c r="DV132" s="148"/>
      <c r="DW132" s="148"/>
      <c r="DX132" s="148"/>
      <c r="DY132" s="148"/>
      <c r="DZ132" s="148"/>
      <c r="EA132" s="148"/>
      <c r="EB132" s="148"/>
      <c r="EC132" s="148"/>
      <c r="ED132" s="148"/>
      <c r="EE132" s="148"/>
      <c r="EF132" s="148"/>
      <c r="EG132" s="148"/>
      <c r="EH132" s="148"/>
      <c r="EI132" s="148"/>
      <c r="EJ132" s="148"/>
      <c r="EK132" s="148"/>
      <c r="EL132" s="148"/>
      <c r="EM132" s="148"/>
      <c r="EN132" s="148"/>
      <c r="EO132" s="148"/>
      <c r="EP132" s="148"/>
      <c r="EQ132" s="148"/>
      <c r="ER132" s="148"/>
      <c r="ES132" s="148"/>
      <c r="ET132" s="148"/>
      <c r="EU132" s="148"/>
      <c r="EV132" s="148"/>
      <c r="EW132" s="148"/>
      <c r="EX132" s="148"/>
      <c r="EY132" s="148"/>
      <c r="EZ132" s="148"/>
      <c r="FA132" s="148"/>
      <c r="FB132" s="148"/>
      <c r="FC132" s="148"/>
      <c r="FD132" s="148"/>
      <c r="FE132" s="148"/>
      <c r="FF132" s="148"/>
      <c r="FG132" s="148"/>
      <c r="FH132" s="148"/>
      <c r="FI132" s="148"/>
      <c r="FJ132" s="148"/>
      <c r="FK132" s="148"/>
      <c r="FL132" s="148"/>
      <c r="FM132" s="148"/>
      <c r="FN132" s="148"/>
      <c r="FO132" s="148"/>
      <c r="FP132" s="148"/>
      <c r="FQ132" s="148"/>
      <c r="FR132" s="148"/>
      <c r="FS132" s="148"/>
      <c r="FT132" s="148"/>
      <c r="FU132" s="148"/>
      <c r="FV132" s="148"/>
      <c r="FW132" s="148"/>
      <c r="FX132" s="148"/>
      <c r="FY132" s="148"/>
      <c r="FZ132" s="148"/>
      <c r="GA132" s="148"/>
      <c r="GB132" s="148"/>
      <c r="GC132" s="148"/>
      <c r="GD132" s="148"/>
      <c r="GE132" s="148"/>
      <c r="GF132" s="148"/>
      <c r="GG132" s="148"/>
      <c r="GH132" s="148"/>
      <c r="GI132" s="148"/>
      <c r="GJ132" s="148"/>
      <c r="GK132" s="148"/>
      <c r="GL132" s="148"/>
      <c r="GM132" s="148"/>
      <c r="GN132" s="148"/>
      <c r="GO132" s="148"/>
      <c r="GP132" s="148"/>
      <c r="GQ132" s="148"/>
      <c r="GR132" s="148"/>
      <c r="GS132" s="148"/>
      <c r="GT132" s="148"/>
      <c r="GU132" s="148"/>
      <c r="GV132" s="148"/>
      <c r="GW132" s="148"/>
      <c r="GX132" s="148"/>
      <c r="GY132" s="148"/>
      <c r="GZ132" s="148"/>
      <c r="HA132" s="148"/>
      <c r="HB132" s="148"/>
      <c r="HC132" s="148"/>
      <c r="HD132" s="148"/>
      <c r="HE132" s="148"/>
      <c r="HF132" s="148"/>
      <c r="HG132" s="148"/>
      <c r="HH132" s="148"/>
      <c r="HI132" s="148"/>
      <c r="HJ132" s="148"/>
      <c r="HK132" s="148"/>
      <c r="HL132" s="148"/>
      <c r="HM132" s="148"/>
      <c r="HN132" s="148"/>
      <c r="HO132" s="148"/>
      <c r="HP132" s="148"/>
      <c r="HQ132" s="148"/>
      <c r="HR132" s="148"/>
      <c r="HS132" s="148"/>
      <c r="HT132" s="148"/>
      <c r="HU132" s="148"/>
      <c r="HV132" s="148"/>
      <c r="HW132" s="148"/>
      <c r="HX132" s="148"/>
      <c r="HY132" s="148"/>
      <c r="HZ132" s="148"/>
      <c r="IA132" s="148"/>
      <c r="IB132" s="148"/>
      <c r="IC132" s="148"/>
      <c r="ID132" s="148"/>
      <c r="IE132" s="148"/>
      <c r="IF132" s="148"/>
      <c r="IG132" s="148"/>
      <c r="IH132" s="148"/>
      <c r="II132" s="148"/>
      <c r="IJ132" s="148"/>
      <c r="IK132" s="148"/>
      <c r="IL132" s="148"/>
      <c r="IM132" s="148"/>
      <c r="IN132" s="148"/>
      <c r="IO132" s="148"/>
      <c r="IP132" s="148"/>
      <c r="IQ132" s="148"/>
      <c r="IR132" s="148"/>
      <c r="IS132" s="148"/>
      <c r="IT132" s="148"/>
      <c r="IU132" s="148"/>
      <c r="IV132" s="148"/>
      <c r="IW132" s="148"/>
      <c r="IX132" s="148"/>
      <c r="IY132" s="148"/>
      <c r="IZ132" s="148"/>
      <c r="JA132" s="148"/>
    </row>
    <row r="133" spans="1:261" ht="36" customHeight="1" x14ac:dyDescent="0.35">
      <c r="A133" s="1423">
        <v>122</v>
      </c>
      <c r="B133" s="1589"/>
      <c r="C133" s="1582">
        <v>25</v>
      </c>
      <c r="D133" s="1414" t="s">
        <v>540</v>
      </c>
      <c r="E133" s="1560"/>
      <c r="F133" s="1561"/>
      <c r="G133" s="1562"/>
      <c r="H133" s="1563" t="s">
        <v>24</v>
      </c>
      <c r="I133" s="1564"/>
      <c r="J133" s="1565"/>
      <c r="K133" s="1565"/>
      <c r="L133" s="1565"/>
      <c r="M133" s="1565"/>
      <c r="N133" s="1565"/>
      <c r="O133" s="1566"/>
      <c r="P133" s="1567"/>
    </row>
    <row r="134" spans="1:261" s="272" customFormat="1" ht="18" customHeight="1" x14ac:dyDescent="0.35">
      <c r="A134" s="1423">
        <v>123</v>
      </c>
      <c r="B134" s="1557"/>
      <c r="C134" s="1582"/>
      <c r="D134" s="1585" t="s">
        <v>311</v>
      </c>
      <c r="E134" s="1560">
        <f>F134+G134+O137+P137+62</f>
        <v>49107</v>
      </c>
      <c r="F134" s="1561">
        <v>1176</v>
      </c>
      <c r="G134" s="1562">
        <f>23795+13</f>
        <v>23808</v>
      </c>
      <c r="H134" s="1563"/>
      <c r="I134" s="1564"/>
      <c r="J134" s="1565"/>
      <c r="K134" s="1565">
        <f>15925+8079</f>
        <v>24004</v>
      </c>
      <c r="L134" s="1565"/>
      <c r="M134" s="1565"/>
      <c r="N134" s="1565"/>
      <c r="O134" s="1566">
        <f>SUM(I134:N134)</f>
        <v>24004</v>
      </c>
      <c r="P134" s="1567"/>
      <c r="Q134" s="148"/>
      <c r="R134" s="148"/>
      <c r="S134" s="148"/>
      <c r="T134" s="148"/>
      <c r="U134" s="148"/>
      <c r="V134" s="148"/>
      <c r="W134" s="148"/>
      <c r="X134" s="148"/>
      <c r="Y134" s="148"/>
      <c r="Z134" s="148"/>
      <c r="AA134" s="148"/>
      <c r="AB134" s="148"/>
      <c r="AC134" s="148"/>
      <c r="AD134" s="148"/>
      <c r="AE134" s="148"/>
      <c r="AF134" s="148"/>
      <c r="AG134" s="148"/>
      <c r="AH134" s="148"/>
      <c r="AI134" s="148"/>
      <c r="AJ134" s="148"/>
      <c r="AK134" s="148"/>
      <c r="AL134" s="148"/>
      <c r="AM134" s="148"/>
      <c r="AN134" s="148"/>
      <c r="AO134" s="148"/>
      <c r="AP134" s="148"/>
      <c r="AQ134" s="148"/>
      <c r="AR134" s="148"/>
      <c r="AS134" s="148"/>
      <c r="AT134" s="148"/>
      <c r="AU134" s="148"/>
      <c r="AV134" s="148"/>
      <c r="AW134" s="148"/>
      <c r="AX134" s="148"/>
      <c r="AY134" s="148"/>
      <c r="AZ134" s="148"/>
      <c r="BA134" s="148"/>
      <c r="BB134" s="148"/>
      <c r="BC134" s="148"/>
      <c r="BD134" s="148"/>
      <c r="BE134" s="148"/>
      <c r="BF134" s="148"/>
      <c r="BG134" s="148"/>
      <c r="BH134" s="148"/>
      <c r="BI134" s="148"/>
      <c r="BJ134" s="148"/>
      <c r="BK134" s="148"/>
      <c r="BL134" s="148"/>
      <c r="BM134" s="148"/>
      <c r="BN134" s="148"/>
      <c r="BO134" s="148"/>
      <c r="BP134" s="148"/>
      <c r="BQ134" s="148"/>
      <c r="BR134" s="148"/>
      <c r="BS134" s="148"/>
      <c r="BT134" s="148"/>
      <c r="BU134" s="148"/>
      <c r="BV134" s="148"/>
      <c r="BW134" s="148"/>
      <c r="BX134" s="148"/>
      <c r="BY134" s="148"/>
      <c r="BZ134" s="148"/>
      <c r="CA134" s="148"/>
      <c r="CB134" s="148"/>
      <c r="CC134" s="148"/>
      <c r="CD134" s="148"/>
      <c r="CE134" s="148"/>
      <c r="CF134" s="148"/>
      <c r="CG134" s="148"/>
      <c r="CH134" s="148"/>
      <c r="CI134" s="148"/>
      <c r="CJ134" s="148"/>
      <c r="CK134" s="148"/>
      <c r="CL134" s="148"/>
      <c r="CM134" s="148"/>
      <c r="CN134" s="148"/>
      <c r="CO134" s="148"/>
      <c r="CP134" s="148"/>
      <c r="CQ134" s="148"/>
      <c r="CR134" s="148"/>
      <c r="CS134" s="148"/>
      <c r="CT134" s="148"/>
      <c r="CU134" s="148"/>
      <c r="CV134" s="148"/>
      <c r="CW134" s="148"/>
      <c r="CX134" s="148"/>
      <c r="CY134" s="148"/>
      <c r="CZ134" s="148"/>
      <c r="DA134" s="148"/>
      <c r="DB134" s="148"/>
      <c r="DC134" s="148"/>
      <c r="DD134" s="148"/>
      <c r="DE134" s="148"/>
      <c r="DF134" s="148"/>
      <c r="DG134" s="148"/>
      <c r="DH134" s="148"/>
      <c r="DI134" s="148"/>
      <c r="DJ134" s="148"/>
      <c r="DK134" s="148"/>
      <c r="DL134" s="148"/>
      <c r="DM134" s="148"/>
      <c r="DN134" s="148"/>
      <c r="DO134" s="148"/>
      <c r="DP134" s="148"/>
      <c r="DQ134" s="148"/>
      <c r="DR134" s="148"/>
      <c r="DS134" s="148"/>
      <c r="DT134" s="148"/>
      <c r="DU134" s="148"/>
      <c r="DV134" s="148"/>
      <c r="DW134" s="148"/>
      <c r="DX134" s="148"/>
      <c r="DY134" s="148"/>
      <c r="DZ134" s="148"/>
      <c r="EA134" s="148"/>
      <c r="EB134" s="148"/>
      <c r="EC134" s="148"/>
      <c r="ED134" s="148"/>
      <c r="EE134" s="148"/>
      <c r="EF134" s="148"/>
      <c r="EG134" s="148"/>
      <c r="EH134" s="148"/>
      <c r="EI134" s="148"/>
      <c r="EJ134" s="148"/>
      <c r="EK134" s="148"/>
      <c r="EL134" s="148"/>
      <c r="EM134" s="148"/>
      <c r="EN134" s="148"/>
      <c r="EO134" s="148"/>
      <c r="EP134" s="148"/>
      <c r="EQ134" s="148"/>
      <c r="ER134" s="148"/>
      <c r="ES134" s="148"/>
      <c r="ET134" s="148"/>
      <c r="EU134" s="148"/>
      <c r="EV134" s="148"/>
      <c r="EW134" s="148"/>
      <c r="EX134" s="148"/>
      <c r="EY134" s="148"/>
      <c r="EZ134" s="148"/>
      <c r="FA134" s="148"/>
      <c r="FB134" s="148"/>
      <c r="FC134" s="148"/>
      <c r="FD134" s="148"/>
      <c r="FE134" s="148"/>
      <c r="FF134" s="148"/>
      <c r="FG134" s="148"/>
      <c r="FH134" s="148"/>
      <c r="FI134" s="148"/>
      <c r="FJ134" s="148"/>
      <c r="FK134" s="148"/>
      <c r="FL134" s="148"/>
      <c r="FM134" s="148"/>
      <c r="FN134" s="148"/>
      <c r="FO134" s="148"/>
      <c r="FP134" s="148"/>
      <c r="FQ134" s="148"/>
      <c r="FR134" s="148"/>
      <c r="FS134" s="148"/>
      <c r="FT134" s="148"/>
      <c r="FU134" s="148"/>
      <c r="FV134" s="148"/>
      <c r="FW134" s="148"/>
      <c r="FX134" s="148"/>
      <c r="FY134" s="148"/>
      <c r="FZ134" s="148"/>
      <c r="GA134" s="148"/>
      <c r="GB134" s="148"/>
      <c r="GC134" s="148"/>
      <c r="GD134" s="148"/>
      <c r="GE134" s="148"/>
      <c r="GF134" s="148"/>
      <c r="GG134" s="148"/>
      <c r="GH134" s="148"/>
      <c r="GI134" s="148"/>
      <c r="GJ134" s="148"/>
      <c r="GK134" s="148"/>
      <c r="GL134" s="148"/>
      <c r="GM134" s="148"/>
      <c r="GN134" s="148"/>
      <c r="GO134" s="148"/>
      <c r="GP134" s="148"/>
      <c r="GQ134" s="148"/>
      <c r="GR134" s="148"/>
      <c r="GS134" s="148"/>
      <c r="GT134" s="148"/>
      <c r="GU134" s="148"/>
      <c r="GV134" s="148"/>
      <c r="GW134" s="148"/>
      <c r="GX134" s="148"/>
      <c r="GY134" s="148"/>
      <c r="GZ134" s="148"/>
      <c r="HA134" s="148"/>
      <c r="HB134" s="148"/>
      <c r="HC134" s="148"/>
      <c r="HD134" s="148"/>
      <c r="HE134" s="148"/>
      <c r="HF134" s="148"/>
      <c r="HG134" s="148"/>
      <c r="HH134" s="148"/>
      <c r="HI134" s="148"/>
      <c r="HJ134" s="148"/>
      <c r="HK134" s="148"/>
      <c r="HL134" s="148"/>
      <c r="HM134" s="148"/>
      <c r="HN134" s="148"/>
      <c r="HO134" s="148"/>
      <c r="HP134" s="148"/>
      <c r="HQ134" s="148"/>
      <c r="HR134" s="148"/>
      <c r="HS134" s="148"/>
      <c r="HT134" s="148"/>
      <c r="HU134" s="148"/>
      <c r="HV134" s="148"/>
      <c r="HW134" s="148"/>
      <c r="HX134" s="148"/>
      <c r="HY134" s="148"/>
      <c r="HZ134" s="148"/>
      <c r="IA134" s="148"/>
      <c r="IB134" s="148"/>
      <c r="IC134" s="148"/>
      <c r="ID134" s="148"/>
      <c r="IE134" s="148"/>
      <c r="IF134" s="148"/>
      <c r="IG134" s="148"/>
      <c r="IH134" s="148"/>
      <c r="II134" s="148"/>
      <c r="IJ134" s="148"/>
      <c r="IK134" s="148"/>
      <c r="IL134" s="148"/>
      <c r="IM134" s="148"/>
      <c r="IN134" s="148"/>
      <c r="IO134" s="148"/>
      <c r="IP134" s="148"/>
      <c r="IQ134" s="148"/>
      <c r="IR134" s="148"/>
      <c r="IS134" s="148"/>
      <c r="IT134" s="148"/>
      <c r="IU134" s="148"/>
      <c r="IV134" s="148"/>
      <c r="IW134" s="148"/>
      <c r="IX134" s="148"/>
      <c r="IY134" s="148"/>
      <c r="IZ134" s="148"/>
      <c r="JA134" s="148"/>
    </row>
    <row r="135" spans="1:261" s="272" customFormat="1" ht="18" customHeight="1" x14ac:dyDescent="0.35">
      <c r="A135" s="1423">
        <v>124</v>
      </c>
      <c r="B135" s="1557"/>
      <c r="C135" s="1582"/>
      <c r="D135" s="1163" t="s">
        <v>1064</v>
      </c>
      <c r="E135" s="1560"/>
      <c r="F135" s="1561"/>
      <c r="G135" s="1562"/>
      <c r="H135" s="1563"/>
      <c r="I135" s="1580">
        <v>781</v>
      </c>
      <c r="J135" s="1574">
        <v>299</v>
      </c>
      <c r="K135" s="1574">
        <v>22919</v>
      </c>
      <c r="L135" s="1565"/>
      <c r="M135" s="1565"/>
      <c r="N135" s="1565"/>
      <c r="O135" s="1576">
        <f>SUM(I135:N135)</f>
        <v>23999</v>
      </c>
      <c r="P135" s="1567"/>
      <c r="Q135" s="148"/>
      <c r="R135" s="148"/>
      <c r="S135" s="148"/>
      <c r="T135" s="148"/>
      <c r="U135" s="148"/>
      <c r="V135" s="148"/>
      <c r="W135" s="148"/>
      <c r="X135" s="148"/>
      <c r="Y135" s="148"/>
      <c r="Z135" s="148"/>
      <c r="AA135" s="148"/>
      <c r="AB135" s="148"/>
      <c r="AC135" s="148"/>
      <c r="AD135" s="148"/>
      <c r="AE135" s="148"/>
      <c r="AF135" s="148"/>
      <c r="AG135" s="148"/>
      <c r="AH135" s="148"/>
      <c r="AI135" s="148"/>
      <c r="AJ135" s="148"/>
      <c r="AK135" s="148"/>
      <c r="AL135" s="148"/>
      <c r="AM135" s="148"/>
      <c r="AN135" s="148"/>
      <c r="AO135" s="148"/>
      <c r="AP135" s="148"/>
      <c r="AQ135" s="148"/>
      <c r="AR135" s="148"/>
      <c r="AS135" s="148"/>
      <c r="AT135" s="148"/>
      <c r="AU135" s="148"/>
      <c r="AV135" s="148"/>
      <c r="AW135" s="148"/>
      <c r="AX135" s="148"/>
      <c r="AY135" s="148"/>
      <c r="AZ135" s="148"/>
      <c r="BA135" s="148"/>
      <c r="BB135" s="148"/>
      <c r="BC135" s="148"/>
      <c r="BD135" s="148"/>
      <c r="BE135" s="148"/>
      <c r="BF135" s="148"/>
      <c r="BG135" s="148"/>
      <c r="BH135" s="148"/>
      <c r="BI135" s="148"/>
      <c r="BJ135" s="148"/>
      <c r="BK135" s="148"/>
      <c r="BL135" s="148"/>
      <c r="BM135" s="148"/>
      <c r="BN135" s="148"/>
      <c r="BO135" s="148"/>
      <c r="BP135" s="148"/>
      <c r="BQ135" s="148"/>
      <c r="BR135" s="148"/>
      <c r="BS135" s="148"/>
      <c r="BT135" s="148"/>
      <c r="BU135" s="148"/>
      <c r="BV135" s="148"/>
      <c r="BW135" s="148"/>
      <c r="BX135" s="148"/>
      <c r="BY135" s="148"/>
      <c r="BZ135" s="148"/>
      <c r="CA135" s="148"/>
      <c r="CB135" s="148"/>
      <c r="CC135" s="148"/>
      <c r="CD135" s="148"/>
      <c r="CE135" s="148"/>
      <c r="CF135" s="148"/>
      <c r="CG135" s="148"/>
      <c r="CH135" s="148"/>
      <c r="CI135" s="148"/>
      <c r="CJ135" s="148"/>
      <c r="CK135" s="148"/>
      <c r="CL135" s="148"/>
      <c r="CM135" s="148"/>
      <c r="CN135" s="148"/>
      <c r="CO135" s="148"/>
      <c r="CP135" s="148"/>
      <c r="CQ135" s="148"/>
      <c r="CR135" s="148"/>
      <c r="CS135" s="148"/>
      <c r="CT135" s="148"/>
      <c r="CU135" s="148"/>
      <c r="CV135" s="148"/>
      <c r="CW135" s="148"/>
      <c r="CX135" s="148"/>
      <c r="CY135" s="148"/>
      <c r="CZ135" s="148"/>
      <c r="DA135" s="148"/>
      <c r="DB135" s="148"/>
      <c r="DC135" s="148"/>
      <c r="DD135" s="148"/>
      <c r="DE135" s="148"/>
      <c r="DF135" s="148"/>
      <c r="DG135" s="148"/>
      <c r="DH135" s="148"/>
      <c r="DI135" s="148"/>
      <c r="DJ135" s="148"/>
      <c r="DK135" s="148"/>
      <c r="DL135" s="148"/>
      <c r="DM135" s="148"/>
      <c r="DN135" s="148"/>
      <c r="DO135" s="148"/>
      <c r="DP135" s="148"/>
      <c r="DQ135" s="148"/>
      <c r="DR135" s="148"/>
      <c r="DS135" s="148"/>
      <c r="DT135" s="148"/>
      <c r="DU135" s="148"/>
      <c r="DV135" s="148"/>
      <c r="DW135" s="148"/>
      <c r="DX135" s="148"/>
      <c r="DY135" s="148"/>
      <c r="DZ135" s="148"/>
      <c r="EA135" s="148"/>
      <c r="EB135" s="148"/>
      <c r="EC135" s="148"/>
      <c r="ED135" s="148"/>
      <c r="EE135" s="148"/>
      <c r="EF135" s="148"/>
      <c r="EG135" s="148"/>
      <c r="EH135" s="148"/>
      <c r="EI135" s="148"/>
      <c r="EJ135" s="148"/>
      <c r="EK135" s="148"/>
      <c r="EL135" s="148"/>
      <c r="EM135" s="148"/>
      <c r="EN135" s="148"/>
      <c r="EO135" s="148"/>
      <c r="EP135" s="148"/>
      <c r="EQ135" s="148"/>
      <c r="ER135" s="148"/>
      <c r="ES135" s="148"/>
      <c r="ET135" s="148"/>
      <c r="EU135" s="148"/>
      <c r="EV135" s="148"/>
      <c r="EW135" s="148"/>
      <c r="EX135" s="148"/>
      <c r="EY135" s="148"/>
      <c r="EZ135" s="148"/>
      <c r="FA135" s="148"/>
      <c r="FB135" s="148"/>
      <c r="FC135" s="148"/>
      <c r="FD135" s="148"/>
      <c r="FE135" s="148"/>
      <c r="FF135" s="148"/>
      <c r="FG135" s="148"/>
      <c r="FH135" s="148"/>
      <c r="FI135" s="148"/>
      <c r="FJ135" s="148"/>
      <c r="FK135" s="148"/>
      <c r="FL135" s="148"/>
      <c r="FM135" s="148"/>
      <c r="FN135" s="148"/>
      <c r="FO135" s="148"/>
      <c r="FP135" s="148"/>
      <c r="FQ135" s="148"/>
      <c r="FR135" s="148"/>
      <c r="FS135" s="148"/>
      <c r="FT135" s="148"/>
      <c r="FU135" s="148"/>
      <c r="FV135" s="148"/>
      <c r="FW135" s="148"/>
      <c r="FX135" s="148"/>
      <c r="FY135" s="148"/>
      <c r="FZ135" s="148"/>
      <c r="GA135" s="148"/>
      <c r="GB135" s="148"/>
      <c r="GC135" s="148"/>
      <c r="GD135" s="148"/>
      <c r="GE135" s="148"/>
      <c r="GF135" s="148"/>
      <c r="GG135" s="148"/>
      <c r="GH135" s="148"/>
      <c r="GI135" s="148"/>
      <c r="GJ135" s="148"/>
      <c r="GK135" s="148"/>
      <c r="GL135" s="148"/>
      <c r="GM135" s="148"/>
      <c r="GN135" s="148"/>
      <c r="GO135" s="148"/>
      <c r="GP135" s="148"/>
      <c r="GQ135" s="148"/>
      <c r="GR135" s="148"/>
      <c r="GS135" s="148"/>
      <c r="GT135" s="148"/>
      <c r="GU135" s="148"/>
      <c r="GV135" s="148"/>
      <c r="GW135" s="148"/>
      <c r="GX135" s="148"/>
      <c r="GY135" s="148"/>
      <c r="GZ135" s="148"/>
      <c r="HA135" s="148"/>
      <c r="HB135" s="148"/>
      <c r="HC135" s="148"/>
      <c r="HD135" s="148"/>
      <c r="HE135" s="148"/>
      <c r="HF135" s="148"/>
      <c r="HG135" s="148"/>
      <c r="HH135" s="148"/>
      <c r="HI135" s="148"/>
      <c r="HJ135" s="148"/>
      <c r="HK135" s="148"/>
      <c r="HL135" s="148"/>
      <c r="HM135" s="148"/>
      <c r="HN135" s="148"/>
      <c r="HO135" s="148"/>
      <c r="HP135" s="148"/>
      <c r="HQ135" s="148"/>
      <c r="HR135" s="148"/>
      <c r="HS135" s="148"/>
      <c r="HT135" s="148"/>
      <c r="HU135" s="148"/>
      <c r="HV135" s="148"/>
      <c r="HW135" s="148"/>
      <c r="HX135" s="148"/>
      <c r="HY135" s="148"/>
      <c r="HZ135" s="148"/>
      <c r="IA135" s="148"/>
      <c r="IB135" s="148"/>
      <c r="IC135" s="148"/>
      <c r="ID135" s="148"/>
      <c r="IE135" s="148"/>
      <c r="IF135" s="148"/>
      <c r="IG135" s="148"/>
      <c r="IH135" s="148"/>
      <c r="II135" s="148"/>
      <c r="IJ135" s="148"/>
      <c r="IK135" s="148"/>
      <c r="IL135" s="148"/>
      <c r="IM135" s="148"/>
      <c r="IN135" s="148"/>
      <c r="IO135" s="148"/>
      <c r="IP135" s="148"/>
      <c r="IQ135" s="148"/>
      <c r="IR135" s="148"/>
      <c r="IS135" s="148"/>
      <c r="IT135" s="148"/>
      <c r="IU135" s="148"/>
      <c r="IV135" s="148"/>
      <c r="IW135" s="148"/>
      <c r="IX135" s="148"/>
      <c r="IY135" s="148"/>
      <c r="IZ135" s="148"/>
      <c r="JA135" s="148"/>
    </row>
    <row r="136" spans="1:261" s="272" customFormat="1" ht="18" customHeight="1" x14ac:dyDescent="0.35">
      <c r="A136" s="1423">
        <v>125</v>
      </c>
      <c r="B136" s="1557"/>
      <c r="C136" s="1582"/>
      <c r="D136" s="1595" t="s">
        <v>990</v>
      </c>
      <c r="E136" s="1560"/>
      <c r="F136" s="1561"/>
      <c r="G136" s="1562"/>
      <c r="H136" s="1563"/>
      <c r="I136" s="1596">
        <v>-37</v>
      </c>
      <c r="J136" s="1581">
        <v>34</v>
      </c>
      <c r="K136" s="1581">
        <v>-15074</v>
      </c>
      <c r="L136" s="1574">
        <v>15139</v>
      </c>
      <c r="M136" s="1574"/>
      <c r="N136" s="1574"/>
      <c r="O136" s="1578">
        <f>SUM(I136:N136)</f>
        <v>62</v>
      </c>
      <c r="P136" s="1567"/>
      <c r="Q136" s="148"/>
      <c r="R136" s="148"/>
      <c r="S136" s="148"/>
      <c r="T136" s="148"/>
      <c r="U136" s="148"/>
      <c r="V136" s="148"/>
      <c r="W136" s="148"/>
      <c r="X136" s="148"/>
      <c r="Y136" s="148"/>
      <c r="Z136" s="148"/>
      <c r="AA136" s="148"/>
      <c r="AB136" s="148"/>
      <c r="AC136" s="148"/>
      <c r="AD136" s="148"/>
      <c r="AE136" s="148"/>
      <c r="AF136" s="148"/>
      <c r="AG136" s="148"/>
      <c r="AH136" s="148"/>
      <c r="AI136" s="148"/>
      <c r="AJ136" s="148"/>
      <c r="AK136" s="148"/>
      <c r="AL136" s="148"/>
      <c r="AM136" s="148"/>
      <c r="AN136" s="148"/>
      <c r="AO136" s="148"/>
      <c r="AP136" s="148"/>
      <c r="AQ136" s="148"/>
      <c r="AR136" s="148"/>
      <c r="AS136" s="148"/>
      <c r="AT136" s="148"/>
      <c r="AU136" s="148"/>
      <c r="AV136" s="148"/>
      <c r="AW136" s="148"/>
      <c r="AX136" s="148"/>
      <c r="AY136" s="148"/>
      <c r="AZ136" s="148"/>
      <c r="BA136" s="148"/>
      <c r="BB136" s="148"/>
      <c r="BC136" s="148"/>
      <c r="BD136" s="148"/>
      <c r="BE136" s="148"/>
      <c r="BF136" s="148"/>
      <c r="BG136" s="148"/>
      <c r="BH136" s="148"/>
      <c r="BI136" s="148"/>
      <c r="BJ136" s="148"/>
      <c r="BK136" s="148"/>
      <c r="BL136" s="148"/>
      <c r="BM136" s="148"/>
      <c r="BN136" s="148"/>
      <c r="BO136" s="148"/>
      <c r="BP136" s="148"/>
      <c r="BQ136" s="148"/>
      <c r="BR136" s="148"/>
      <c r="BS136" s="148"/>
      <c r="BT136" s="148"/>
      <c r="BU136" s="148"/>
      <c r="BV136" s="148"/>
      <c r="BW136" s="148"/>
      <c r="BX136" s="148"/>
      <c r="BY136" s="148"/>
      <c r="BZ136" s="148"/>
      <c r="CA136" s="148"/>
      <c r="CB136" s="148"/>
      <c r="CC136" s="148"/>
      <c r="CD136" s="148"/>
      <c r="CE136" s="148"/>
      <c r="CF136" s="148"/>
      <c r="CG136" s="148"/>
      <c r="CH136" s="148"/>
      <c r="CI136" s="148"/>
      <c r="CJ136" s="148"/>
      <c r="CK136" s="148"/>
      <c r="CL136" s="148"/>
      <c r="CM136" s="148"/>
      <c r="CN136" s="148"/>
      <c r="CO136" s="148"/>
      <c r="CP136" s="148"/>
      <c r="CQ136" s="148"/>
      <c r="CR136" s="148"/>
      <c r="CS136" s="148"/>
      <c r="CT136" s="148"/>
      <c r="CU136" s="148"/>
      <c r="CV136" s="148"/>
      <c r="CW136" s="148"/>
      <c r="CX136" s="148"/>
      <c r="CY136" s="148"/>
      <c r="CZ136" s="148"/>
      <c r="DA136" s="148"/>
      <c r="DB136" s="148"/>
      <c r="DC136" s="148"/>
      <c r="DD136" s="148"/>
      <c r="DE136" s="148"/>
      <c r="DF136" s="148"/>
      <c r="DG136" s="148"/>
      <c r="DH136" s="148"/>
      <c r="DI136" s="148"/>
      <c r="DJ136" s="148"/>
      <c r="DK136" s="148"/>
      <c r="DL136" s="148"/>
      <c r="DM136" s="148"/>
      <c r="DN136" s="148"/>
      <c r="DO136" s="148"/>
      <c r="DP136" s="148"/>
      <c r="DQ136" s="148"/>
      <c r="DR136" s="148"/>
      <c r="DS136" s="148"/>
      <c r="DT136" s="148"/>
      <c r="DU136" s="148"/>
      <c r="DV136" s="148"/>
      <c r="DW136" s="148"/>
      <c r="DX136" s="148"/>
      <c r="DY136" s="148"/>
      <c r="DZ136" s="148"/>
      <c r="EA136" s="148"/>
      <c r="EB136" s="148"/>
      <c r="EC136" s="148"/>
      <c r="ED136" s="148"/>
      <c r="EE136" s="148"/>
      <c r="EF136" s="148"/>
      <c r="EG136" s="148"/>
      <c r="EH136" s="148"/>
      <c r="EI136" s="148"/>
      <c r="EJ136" s="148"/>
      <c r="EK136" s="148"/>
      <c r="EL136" s="148"/>
      <c r="EM136" s="148"/>
      <c r="EN136" s="148"/>
      <c r="EO136" s="148"/>
      <c r="EP136" s="148"/>
      <c r="EQ136" s="148"/>
      <c r="ER136" s="148"/>
      <c r="ES136" s="148"/>
      <c r="ET136" s="148"/>
      <c r="EU136" s="148"/>
      <c r="EV136" s="148"/>
      <c r="EW136" s="148"/>
      <c r="EX136" s="148"/>
      <c r="EY136" s="148"/>
      <c r="EZ136" s="148"/>
      <c r="FA136" s="148"/>
      <c r="FB136" s="148"/>
      <c r="FC136" s="148"/>
      <c r="FD136" s="148"/>
      <c r="FE136" s="148"/>
      <c r="FF136" s="148"/>
      <c r="FG136" s="148"/>
      <c r="FH136" s="148"/>
      <c r="FI136" s="148"/>
      <c r="FJ136" s="148"/>
      <c r="FK136" s="148"/>
      <c r="FL136" s="148"/>
      <c r="FM136" s="148"/>
      <c r="FN136" s="148"/>
      <c r="FO136" s="148"/>
      <c r="FP136" s="148"/>
      <c r="FQ136" s="148"/>
      <c r="FR136" s="148"/>
      <c r="FS136" s="148"/>
      <c r="FT136" s="148"/>
      <c r="FU136" s="148"/>
      <c r="FV136" s="148"/>
      <c r="FW136" s="148"/>
      <c r="FX136" s="148"/>
      <c r="FY136" s="148"/>
      <c r="FZ136" s="148"/>
      <c r="GA136" s="148"/>
      <c r="GB136" s="148"/>
      <c r="GC136" s="148"/>
      <c r="GD136" s="148"/>
      <c r="GE136" s="148"/>
      <c r="GF136" s="148"/>
      <c r="GG136" s="148"/>
      <c r="GH136" s="148"/>
      <c r="GI136" s="148"/>
      <c r="GJ136" s="148"/>
      <c r="GK136" s="148"/>
      <c r="GL136" s="148"/>
      <c r="GM136" s="148"/>
      <c r="GN136" s="148"/>
      <c r="GO136" s="148"/>
      <c r="GP136" s="148"/>
      <c r="GQ136" s="148"/>
      <c r="GR136" s="148"/>
      <c r="GS136" s="148"/>
      <c r="GT136" s="148"/>
      <c r="GU136" s="148"/>
      <c r="GV136" s="148"/>
      <c r="GW136" s="148"/>
      <c r="GX136" s="148"/>
      <c r="GY136" s="148"/>
      <c r="GZ136" s="148"/>
      <c r="HA136" s="148"/>
      <c r="HB136" s="148"/>
      <c r="HC136" s="148"/>
      <c r="HD136" s="148"/>
      <c r="HE136" s="148"/>
      <c r="HF136" s="148"/>
      <c r="HG136" s="148"/>
      <c r="HH136" s="148"/>
      <c r="HI136" s="148"/>
      <c r="HJ136" s="148"/>
      <c r="HK136" s="148"/>
      <c r="HL136" s="148"/>
      <c r="HM136" s="148"/>
      <c r="HN136" s="148"/>
      <c r="HO136" s="148"/>
      <c r="HP136" s="148"/>
      <c r="HQ136" s="148"/>
      <c r="HR136" s="148"/>
      <c r="HS136" s="148"/>
      <c r="HT136" s="148"/>
      <c r="HU136" s="148"/>
      <c r="HV136" s="148"/>
      <c r="HW136" s="148"/>
      <c r="HX136" s="148"/>
      <c r="HY136" s="148"/>
      <c r="HZ136" s="148"/>
      <c r="IA136" s="148"/>
      <c r="IB136" s="148"/>
      <c r="IC136" s="148"/>
      <c r="ID136" s="148"/>
      <c r="IE136" s="148"/>
      <c r="IF136" s="148"/>
      <c r="IG136" s="148"/>
      <c r="IH136" s="148"/>
      <c r="II136" s="148"/>
      <c r="IJ136" s="148"/>
      <c r="IK136" s="148"/>
      <c r="IL136" s="148"/>
      <c r="IM136" s="148"/>
      <c r="IN136" s="148"/>
      <c r="IO136" s="148"/>
      <c r="IP136" s="148"/>
      <c r="IQ136" s="148"/>
      <c r="IR136" s="148"/>
      <c r="IS136" s="148"/>
      <c r="IT136" s="148"/>
      <c r="IU136" s="148"/>
      <c r="IV136" s="148"/>
      <c r="IW136" s="148"/>
      <c r="IX136" s="148"/>
      <c r="IY136" s="148"/>
      <c r="IZ136" s="148"/>
      <c r="JA136" s="148"/>
    </row>
    <row r="137" spans="1:261" s="272" customFormat="1" ht="18" customHeight="1" x14ac:dyDescent="0.35">
      <c r="A137" s="1423">
        <v>126</v>
      </c>
      <c r="B137" s="1557"/>
      <c r="C137" s="1582"/>
      <c r="D137" s="1163" t="s">
        <v>1116</v>
      </c>
      <c r="E137" s="1560"/>
      <c r="F137" s="1561"/>
      <c r="G137" s="1562"/>
      <c r="H137" s="1563"/>
      <c r="I137" s="1580">
        <f>SUM(I135:I136)</f>
        <v>744</v>
      </c>
      <c r="J137" s="1580">
        <f>SUM(J135:J136)</f>
        <v>333</v>
      </c>
      <c r="K137" s="1580">
        <f t="shared" ref="K137:L137" si="16">SUM(K135:K136)</f>
        <v>7845</v>
      </c>
      <c r="L137" s="1580">
        <f t="shared" si="16"/>
        <v>15139</v>
      </c>
      <c r="M137" s="1574"/>
      <c r="N137" s="1574"/>
      <c r="O137" s="1576">
        <f>SUM(I137:N137)</f>
        <v>24061</v>
      </c>
      <c r="P137" s="1567"/>
      <c r="Q137" s="148"/>
      <c r="R137" s="148"/>
      <c r="S137" s="148"/>
      <c r="T137" s="148"/>
      <c r="U137" s="148"/>
      <c r="V137" s="148"/>
      <c r="W137" s="148"/>
      <c r="X137" s="148"/>
      <c r="Y137" s="148"/>
      <c r="Z137" s="148"/>
      <c r="AA137" s="148"/>
      <c r="AB137" s="148"/>
      <c r="AC137" s="148"/>
      <c r="AD137" s="148"/>
      <c r="AE137" s="148"/>
      <c r="AF137" s="148"/>
      <c r="AG137" s="148"/>
      <c r="AH137" s="148"/>
      <c r="AI137" s="148"/>
      <c r="AJ137" s="148"/>
      <c r="AK137" s="148"/>
      <c r="AL137" s="148"/>
      <c r="AM137" s="148"/>
      <c r="AN137" s="148"/>
      <c r="AO137" s="148"/>
      <c r="AP137" s="148"/>
      <c r="AQ137" s="148"/>
      <c r="AR137" s="148"/>
      <c r="AS137" s="148"/>
      <c r="AT137" s="148"/>
      <c r="AU137" s="148"/>
      <c r="AV137" s="148"/>
      <c r="AW137" s="148"/>
      <c r="AX137" s="148"/>
      <c r="AY137" s="148"/>
      <c r="AZ137" s="148"/>
      <c r="BA137" s="148"/>
      <c r="BB137" s="148"/>
      <c r="BC137" s="148"/>
      <c r="BD137" s="148"/>
      <c r="BE137" s="148"/>
      <c r="BF137" s="148"/>
      <c r="BG137" s="148"/>
      <c r="BH137" s="148"/>
      <c r="BI137" s="148"/>
      <c r="BJ137" s="148"/>
      <c r="BK137" s="148"/>
      <c r="BL137" s="148"/>
      <c r="BM137" s="148"/>
      <c r="BN137" s="148"/>
      <c r="BO137" s="148"/>
      <c r="BP137" s="148"/>
      <c r="BQ137" s="148"/>
      <c r="BR137" s="148"/>
      <c r="BS137" s="148"/>
      <c r="BT137" s="148"/>
      <c r="BU137" s="148"/>
      <c r="BV137" s="148"/>
      <c r="BW137" s="148"/>
      <c r="BX137" s="148"/>
      <c r="BY137" s="148"/>
      <c r="BZ137" s="148"/>
      <c r="CA137" s="148"/>
      <c r="CB137" s="148"/>
      <c r="CC137" s="148"/>
      <c r="CD137" s="148"/>
      <c r="CE137" s="148"/>
      <c r="CF137" s="148"/>
      <c r="CG137" s="148"/>
      <c r="CH137" s="148"/>
      <c r="CI137" s="148"/>
      <c r="CJ137" s="148"/>
      <c r="CK137" s="148"/>
      <c r="CL137" s="148"/>
      <c r="CM137" s="148"/>
      <c r="CN137" s="148"/>
      <c r="CO137" s="148"/>
      <c r="CP137" s="148"/>
      <c r="CQ137" s="148"/>
      <c r="CR137" s="148"/>
      <c r="CS137" s="148"/>
      <c r="CT137" s="148"/>
      <c r="CU137" s="148"/>
      <c r="CV137" s="148"/>
      <c r="CW137" s="148"/>
      <c r="CX137" s="148"/>
      <c r="CY137" s="148"/>
      <c r="CZ137" s="148"/>
      <c r="DA137" s="148"/>
      <c r="DB137" s="148"/>
      <c r="DC137" s="148"/>
      <c r="DD137" s="148"/>
      <c r="DE137" s="148"/>
      <c r="DF137" s="148"/>
      <c r="DG137" s="148"/>
      <c r="DH137" s="148"/>
      <c r="DI137" s="148"/>
      <c r="DJ137" s="148"/>
      <c r="DK137" s="148"/>
      <c r="DL137" s="148"/>
      <c r="DM137" s="148"/>
      <c r="DN137" s="148"/>
      <c r="DO137" s="148"/>
      <c r="DP137" s="148"/>
      <c r="DQ137" s="148"/>
      <c r="DR137" s="148"/>
      <c r="DS137" s="148"/>
      <c r="DT137" s="148"/>
      <c r="DU137" s="148"/>
      <c r="DV137" s="148"/>
      <c r="DW137" s="148"/>
      <c r="DX137" s="148"/>
      <c r="DY137" s="148"/>
      <c r="DZ137" s="148"/>
      <c r="EA137" s="148"/>
      <c r="EB137" s="148"/>
      <c r="EC137" s="148"/>
      <c r="ED137" s="148"/>
      <c r="EE137" s="148"/>
      <c r="EF137" s="148"/>
      <c r="EG137" s="148"/>
      <c r="EH137" s="148"/>
      <c r="EI137" s="148"/>
      <c r="EJ137" s="148"/>
      <c r="EK137" s="148"/>
      <c r="EL137" s="148"/>
      <c r="EM137" s="148"/>
      <c r="EN137" s="148"/>
      <c r="EO137" s="148"/>
      <c r="EP137" s="148"/>
      <c r="EQ137" s="148"/>
      <c r="ER137" s="148"/>
      <c r="ES137" s="148"/>
      <c r="ET137" s="148"/>
      <c r="EU137" s="148"/>
      <c r="EV137" s="148"/>
      <c r="EW137" s="148"/>
      <c r="EX137" s="148"/>
      <c r="EY137" s="148"/>
      <c r="EZ137" s="148"/>
      <c r="FA137" s="148"/>
      <c r="FB137" s="148"/>
      <c r="FC137" s="148"/>
      <c r="FD137" s="148"/>
      <c r="FE137" s="148"/>
      <c r="FF137" s="148"/>
      <c r="FG137" s="148"/>
      <c r="FH137" s="148"/>
      <c r="FI137" s="148"/>
      <c r="FJ137" s="148"/>
      <c r="FK137" s="148"/>
      <c r="FL137" s="148"/>
      <c r="FM137" s="148"/>
      <c r="FN137" s="148"/>
      <c r="FO137" s="148"/>
      <c r="FP137" s="148"/>
      <c r="FQ137" s="148"/>
      <c r="FR137" s="148"/>
      <c r="FS137" s="148"/>
      <c r="FT137" s="148"/>
      <c r="FU137" s="148"/>
      <c r="FV137" s="148"/>
      <c r="FW137" s="148"/>
      <c r="FX137" s="148"/>
      <c r="FY137" s="148"/>
      <c r="FZ137" s="148"/>
      <c r="GA137" s="148"/>
      <c r="GB137" s="148"/>
      <c r="GC137" s="148"/>
      <c r="GD137" s="148"/>
      <c r="GE137" s="148"/>
      <c r="GF137" s="148"/>
      <c r="GG137" s="148"/>
      <c r="GH137" s="148"/>
      <c r="GI137" s="148"/>
      <c r="GJ137" s="148"/>
      <c r="GK137" s="148"/>
      <c r="GL137" s="148"/>
      <c r="GM137" s="148"/>
      <c r="GN137" s="148"/>
      <c r="GO137" s="148"/>
      <c r="GP137" s="148"/>
      <c r="GQ137" s="148"/>
      <c r="GR137" s="148"/>
      <c r="GS137" s="148"/>
      <c r="GT137" s="148"/>
      <c r="GU137" s="148"/>
      <c r="GV137" s="148"/>
      <c r="GW137" s="148"/>
      <c r="GX137" s="148"/>
      <c r="GY137" s="148"/>
      <c r="GZ137" s="148"/>
      <c r="HA137" s="148"/>
      <c r="HB137" s="148"/>
      <c r="HC137" s="148"/>
      <c r="HD137" s="148"/>
      <c r="HE137" s="148"/>
      <c r="HF137" s="148"/>
      <c r="HG137" s="148"/>
      <c r="HH137" s="148"/>
      <c r="HI137" s="148"/>
      <c r="HJ137" s="148"/>
      <c r="HK137" s="148"/>
      <c r="HL137" s="148"/>
      <c r="HM137" s="148"/>
      <c r="HN137" s="148"/>
      <c r="HO137" s="148"/>
      <c r="HP137" s="148"/>
      <c r="HQ137" s="148"/>
      <c r="HR137" s="148"/>
      <c r="HS137" s="148"/>
      <c r="HT137" s="148"/>
      <c r="HU137" s="148"/>
      <c r="HV137" s="148"/>
      <c r="HW137" s="148"/>
      <c r="HX137" s="148"/>
      <c r="HY137" s="148"/>
      <c r="HZ137" s="148"/>
      <c r="IA137" s="148"/>
      <c r="IB137" s="148"/>
      <c r="IC137" s="148"/>
      <c r="ID137" s="148"/>
      <c r="IE137" s="148"/>
      <c r="IF137" s="148"/>
      <c r="IG137" s="148"/>
      <c r="IH137" s="148"/>
      <c r="II137" s="148"/>
      <c r="IJ137" s="148"/>
      <c r="IK137" s="148"/>
      <c r="IL137" s="148"/>
      <c r="IM137" s="148"/>
      <c r="IN137" s="148"/>
      <c r="IO137" s="148"/>
      <c r="IP137" s="148"/>
      <c r="IQ137" s="148"/>
      <c r="IR137" s="148"/>
      <c r="IS137" s="148"/>
      <c r="IT137" s="148"/>
      <c r="IU137" s="148"/>
      <c r="IV137" s="148"/>
      <c r="IW137" s="148"/>
      <c r="IX137" s="148"/>
      <c r="IY137" s="148"/>
      <c r="IZ137" s="148"/>
      <c r="JA137" s="148"/>
    </row>
    <row r="138" spans="1:261" ht="22.5" customHeight="1" x14ac:dyDescent="0.35">
      <c r="A138" s="1423">
        <v>127</v>
      </c>
      <c r="B138" s="1589"/>
      <c r="C138" s="1558">
        <v>26</v>
      </c>
      <c r="D138" s="1559" t="s">
        <v>686</v>
      </c>
      <c r="E138" s="1560"/>
      <c r="F138" s="1561"/>
      <c r="G138" s="1562"/>
      <c r="H138" s="1563" t="s">
        <v>24</v>
      </c>
      <c r="I138" s="1564"/>
      <c r="J138" s="1565"/>
      <c r="K138" s="1565"/>
      <c r="L138" s="1565"/>
      <c r="M138" s="1565"/>
      <c r="N138" s="1565"/>
      <c r="O138" s="1566"/>
      <c r="P138" s="1567"/>
    </row>
    <row r="139" spans="1:261" s="272" customFormat="1" ht="18" customHeight="1" x14ac:dyDescent="0.35">
      <c r="A139" s="1423">
        <v>128</v>
      </c>
      <c r="B139" s="1557"/>
      <c r="C139" s="1582"/>
      <c r="D139" s="1585" t="s">
        <v>311</v>
      </c>
      <c r="E139" s="1560">
        <f>F139+G139+O142+P142</f>
        <v>9039</v>
      </c>
      <c r="F139" s="1561">
        <v>7830</v>
      </c>
      <c r="G139" s="1562">
        <v>186</v>
      </c>
      <c r="H139" s="1563"/>
      <c r="I139" s="1586"/>
      <c r="J139" s="1587"/>
      <c r="K139" s="1587"/>
      <c r="L139" s="1587">
        <v>1023</v>
      </c>
      <c r="M139" s="1587"/>
      <c r="N139" s="1587"/>
      <c r="O139" s="1566">
        <f>SUM(I139:N139)</f>
        <v>1023</v>
      </c>
      <c r="P139" s="1567"/>
      <c r="Q139" s="148"/>
      <c r="R139" s="148"/>
      <c r="S139" s="148"/>
      <c r="T139" s="148"/>
      <c r="U139" s="148"/>
      <c r="V139" s="148"/>
      <c r="W139" s="148"/>
      <c r="X139" s="148"/>
      <c r="Y139" s="148"/>
      <c r="Z139" s="148"/>
      <c r="AA139" s="148"/>
      <c r="AB139" s="148"/>
      <c r="AC139" s="148"/>
      <c r="AD139" s="148"/>
      <c r="AE139" s="148"/>
      <c r="AF139" s="148"/>
      <c r="AG139" s="148"/>
      <c r="AH139" s="148"/>
      <c r="AI139" s="148"/>
      <c r="AJ139" s="148"/>
      <c r="AK139" s="148"/>
      <c r="AL139" s="148"/>
      <c r="AM139" s="148"/>
      <c r="AN139" s="148"/>
      <c r="AO139" s="148"/>
      <c r="AP139" s="148"/>
      <c r="AQ139" s="148"/>
      <c r="AR139" s="148"/>
      <c r="AS139" s="148"/>
      <c r="AT139" s="148"/>
      <c r="AU139" s="148"/>
      <c r="AV139" s="148"/>
      <c r="AW139" s="148"/>
      <c r="AX139" s="148"/>
      <c r="AY139" s="148"/>
      <c r="AZ139" s="148"/>
      <c r="BA139" s="148"/>
      <c r="BB139" s="148"/>
      <c r="BC139" s="148"/>
      <c r="BD139" s="148"/>
      <c r="BE139" s="148"/>
      <c r="BF139" s="148"/>
      <c r="BG139" s="148"/>
      <c r="BH139" s="148"/>
      <c r="BI139" s="148"/>
      <c r="BJ139" s="148"/>
      <c r="BK139" s="148"/>
      <c r="BL139" s="148"/>
      <c r="BM139" s="148"/>
      <c r="BN139" s="148"/>
      <c r="BO139" s="148"/>
      <c r="BP139" s="148"/>
      <c r="BQ139" s="148"/>
      <c r="BR139" s="148"/>
      <c r="BS139" s="148"/>
      <c r="BT139" s="148"/>
      <c r="BU139" s="148"/>
      <c r="BV139" s="148"/>
      <c r="BW139" s="148"/>
      <c r="BX139" s="148"/>
      <c r="BY139" s="148"/>
      <c r="BZ139" s="148"/>
      <c r="CA139" s="148"/>
      <c r="CB139" s="148"/>
      <c r="CC139" s="148"/>
      <c r="CD139" s="148"/>
      <c r="CE139" s="148"/>
      <c r="CF139" s="148"/>
      <c r="CG139" s="148"/>
      <c r="CH139" s="148"/>
      <c r="CI139" s="148"/>
      <c r="CJ139" s="148"/>
      <c r="CK139" s="148"/>
      <c r="CL139" s="148"/>
      <c r="CM139" s="148"/>
      <c r="CN139" s="148"/>
      <c r="CO139" s="148"/>
      <c r="CP139" s="148"/>
      <c r="CQ139" s="148"/>
      <c r="CR139" s="148"/>
      <c r="CS139" s="148"/>
      <c r="CT139" s="148"/>
      <c r="CU139" s="148"/>
      <c r="CV139" s="148"/>
      <c r="CW139" s="148"/>
      <c r="CX139" s="148"/>
      <c r="CY139" s="148"/>
      <c r="CZ139" s="148"/>
      <c r="DA139" s="148"/>
      <c r="DB139" s="148"/>
      <c r="DC139" s="148"/>
      <c r="DD139" s="148"/>
      <c r="DE139" s="148"/>
      <c r="DF139" s="148"/>
      <c r="DG139" s="148"/>
      <c r="DH139" s="148"/>
      <c r="DI139" s="148"/>
      <c r="DJ139" s="148"/>
      <c r="DK139" s="148"/>
      <c r="DL139" s="148"/>
      <c r="DM139" s="148"/>
      <c r="DN139" s="148"/>
      <c r="DO139" s="148"/>
      <c r="DP139" s="148"/>
      <c r="DQ139" s="148"/>
      <c r="DR139" s="148"/>
      <c r="DS139" s="148"/>
      <c r="DT139" s="148"/>
      <c r="DU139" s="148"/>
      <c r="DV139" s="148"/>
      <c r="DW139" s="148"/>
      <c r="DX139" s="148"/>
      <c r="DY139" s="148"/>
      <c r="DZ139" s="148"/>
      <c r="EA139" s="148"/>
      <c r="EB139" s="148"/>
      <c r="EC139" s="148"/>
      <c r="ED139" s="148"/>
      <c r="EE139" s="148"/>
      <c r="EF139" s="148"/>
      <c r="EG139" s="148"/>
      <c r="EH139" s="148"/>
      <c r="EI139" s="148"/>
      <c r="EJ139" s="148"/>
      <c r="EK139" s="148"/>
      <c r="EL139" s="148"/>
      <c r="EM139" s="148"/>
      <c r="EN139" s="148"/>
      <c r="EO139" s="148"/>
      <c r="EP139" s="148"/>
      <c r="EQ139" s="148"/>
      <c r="ER139" s="148"/>
      <c r="ES139" s="148"/>
      <c r="ET139" s="148"/>
      <c r="EU139" s="148"/>
      <c r="EV139" s="148"/>
      <c r="EW139" s="148"/>
      <c r="EX139" s="148"/>
      <c r="EY139" s="148"/>
      <c r="EZ139" s="148"/>
      <c r="FA139" s="148"/>
      <c r="FB139" s="148"/>
      <c r="FC139" s="148"/>
      <c r="FD139" s="148"/>
      <c r="FE139" s="148"/>
      <c r="FF139" s="148"/>
      <c r="FG139" s="148"/>
      <c r="FH139" s="148"/>
      <c r="FI139" s="148"/>
      <c r="FJ139" s="148"/>
      <c r="FK139" s="148"/>
      <c r="FL139" s="148"/>
      <c r="FM139" s="148"/>
      <c r="FN139" s="148"/>
      <c r="FO139" s="148"/>
      <c r="FP139" s="148"/>
      <c r="FQ139" s="148"/>
      <c r="FR139" s="148"/>
      <c r="FS139" s="148"/>
      <c r="FT139" s="148"/>
      <c r="FU139" s="148"/>
      <c r="FV139" s="148"/>
      <c r="FW139" s="148"/>
      <c r="FX139" s="148"/>
      <c r="FY139" s="148"/>
      <c r="FZ139" s="148"/>
      <c r="GA139" s="148"/>
      <c r="GB139" s="148"/>
      <c r="GC139" s="148"/>
      <c r="GD139" s="148"/>
      <c r="GE139" s="148"/>
      <c r="GF139" s="148"/>
      <c r="GG139" s="148"/>
      <c r="GH139" s="148"/>
      <c r="GI139" s="148"/>
      <c r="GJ139" s="148"/>
      <c r="GK139" s="148"/>
      <c r="GL139" s="148"/>
      <c r="GM139" s="148"/>
      <c r="GN139" s="148"/>
      <c r="GO139" s="148"/>
      <c r="GP139" s="148"/>
      <c r="GQ139" s="148"/>
      <c r="GR139" s="148"/>
      <c r="GS139" s="148"/>
      <c r="GT139" s="148"/>
      <c r="GU139" s="148"/>
      <c r="GV139" s="148"/>
      <c r="GW139" s="148"/>
      <c r="GX139" s="148"/>
      <c r="GY139" s="148"/>
      <c r="GZ139" s="148"/>
      <c r="HA139" s="148"/>
      <c r="HB139" s="148"/>
      <c r="HC139" s="148"/>
      <c r="HD139" s="148"/>
      <c r="HE139" s="148"/>
      <c r="HF139" s="148"/>
      <c r="HG139" s="148"/>
      <c r="HH139" s="148"/>
      <c r="HI139" s="148"/>
      <c r="HJ139" s="148"/>
      <c r="HK139" s="148"/>
      <c r="HL139" s="148"/>
      <c r="HM139" s="148"/>
      <c r="HN139" s="148"/>
      <c r="HO139" s="148"/>
      <c r="HP139" s="148"/>
      <c r="HQ139" s="148"/>
      <c r="HR139" s="148"/>
      <c r="HS139" s="148"/>
      <c r="HT139" s="148"/>
      <c r="HU139" s="148"/>
      <c r="HV139" s="148"/>
      <c r="HW139" s="148"/>
      <c r="HX139" s="148"/>
      <c r="HY139" s="148"/>
      <c r="HZ139" s="148"/>
      <c r="IA139" s="148"/>
      <c r="IB139" s="148"/>
      <c r="IC139" s="148"/>
      <c r="ID139" s="148"/>
      <c r="IE139" s="148"/>
      <c r="IF139" s="148"/>
      <c r="IG139" s="148"/>
      <c r="IH139" s="148"/>
      <c r="II139" s="148"/>
      <c r="IJ139" s="148"/>
      <c r="IK139" s="148"/>
      <c r="IL139" s="148"/>
      <c r="IM139" s="148"/>
      <c r="IN139" s="148"/>
      <c r="IO139" s="148"/>
      <c r="IP139" s="148"/>
      <c r="IQ139" s="148"/>
      <c r="IR139" s="148"/>
      <c r="IS139" s="148"/>
      <c r="IT139" s="148"/>
      <c r="IU139" s="148"/>
      <c r="IV139" s="148"/>
      <c r="IW139" s="148"/>
      <c r="IX139" s="148"/>
      <c r="IY139" s="148"/>
      <c r="IZ139" s="148"/>
      <c r="JA139" s="148"/>
    </row>
    <row r="140" spans="1:261" s="272" customFormat="1" ht="18" customHeight="1" x14ac:dyDescent="0.35">
      <c r="A140" s="1423">
        <v>129</v>
      </c>
      <c r="B140" s="1557"/>
      <c r="C140" s="1582"/>
      <c r="D140" s="1163" t="s">
        <v>1064</v>
      </c>
      <c r="E140" s="1560"/>
      <c r="F140" s="1561"/>
      <c r="G140" s="1562"/>
      <c r="H140" s="1563"/>
      <c r="I140" s="1586"/>
      <c r="J140" s="1587"/>
      <c r="K140" s="1587"/>
      <c r="L140" s="1560">
        <v>1023</v>
      </c>
      <c r="M140" s="1587"/>
      <c r="N140" s="1587"/>
      <c r="O140" s="1576">
        <f>SUM(I140:N140)</f>
        <v>1023</v>
      </c>
      <c r="P140" s="1567"/>
      <c r="Q140" s="148"/>
      <c r="R140" s="148"/>
      <c r="S140" s="148"/>
      <c r="T140" s="148"/>
      <c r="U140" s="148"/>
      <c r="V140" s="148"/>
      <c r="W140" s="148"/>
      <c r="X140" s="148"/>
      <c r="Y140" s="148"/>
      <c r="Z140" s="148"/>
      <c r="AA140" s="148"/>
      <c r="AB140" s="148"/>
      <c r="AC140" s="148"/>
      <c r="AD140" s="148"/>
      <c r="AE140" s="148"/>
      <c r="AF140" s="148"/>
      <c r="AG140" s="148"/>
      <c r="AH140" s="148"/>
      <c r="AI140" s="148"/>
      <c r="AJ140" s="148"/>
      <c r="AK140" s="148"/>
      <c r="AL140" s="148"/>
      <c r="AM140" s="148"/>
      <c r="AN140" s="148"/>
      <c r="AO140" s="148"/>
      <c r="AP140" s="148"/>
      <c r="AQ140" s="148"/>
      <c r="AR140" s="148"/>
      <c r="AS140" s="148"/>
      <c r="AT140" s="148"/>
      <c r="AU140" s="148"/>
      <c r="AV140" s="148"/>
      <c r="AW140" s="148"/>
      <c r="AX140" s="148"/>
      <c r="AY140" s="148"/>
      <c r="AZ140" s="148"/>
      <c r="BA140" s="148"/>
      <c r="BB140" s="148"/>
      <c r="BC140" s="148"/>
      <c r="BD140" s="148"/>
      <c r="BE140" s="148"/>
      <c r="BF140" s="148"/>
      <c r="BG140" s="148"/>
      <c r="BH140" s="148"/>
      <c r="BI140" s="148"/>
      <c r="BJ140" s="148"/>
      <c r="BK140" s="148"/>
      <c r="BL140" s="148"/>
      <c r="BM140" s="148"/>
      <c r="BN140" s="148"/>
      <c r="BO140" s="148"/>
      <c r="BP140" s="148"/>
      <c r="BQ140" s="148"/>
      <c r="BR140" s="148"/>
      <c r="BS140" s="148"/>
      <c r="BT140" s="148"/>
      <c r="BU140" s="148"/>
      <c r="BV140" s="148"/>
      <c r="BW140" s="148"/>
      <c r="BX140" s="148"/>
      <c r="BY140" s="148"/>
      <c r="BZ140" s="148"/>
      <c r="CA140" s="148"/>
      <c r="CB140" s="148"/>
      <c r="CC140" s="148"/>
      <c r="CD140" s="148"/>
      <c r="CE140" s="148"/>
      <c r="CF140" s="148"/>
      <c r="CG140" s="148"/>
      <c r="CH140" s="148"/>
      <c r="CI140" s="148"/>
      <c r="CJ140" s="148"/>
      <c r="CK140" s="148"/>
      <c r="CL140" s="148"/>
      <c r="CM140" s="148"/>
      <c r="CN140" s="148"/>
      <c r="CO140" s="148"/>
      <c r="CP140" s="148"/>
      <c r="CQ140" s="148"/>
      <c r="CR140" s="148"/>
      <c r="CS140" s="148"/>
      <c r="CT140" s="148"/>
      <c r="CU140" s="148"/>
      <c r="CV140" s="148"/>
      <c r="CW140" s="148"/>
      <c r="CX140" s="148"/>
      <c r="CY140" s="148"/>
      <c r="CZ140" s="148"/>
      <c r="DA140" s="148"/>
      <c r="DB140" s="148"/>
      <c r="DC140" s="148"/>
      <c r="DD140" s="148"/>
      <c r="DE140" s="148"/>
      <c r="DF140" s="148"/>
      <c r="DG140" s="148"/>
      <c r="DH140" s="148"/>
      <c r="DI140" s="148"/>
      <c r="DJ140" s="148"/>
      <c r="DK140" s="148"/>
      <c r="DL140" s="148"/>
      <c r="DM140" s="148"/>
      <c r="DN140" s="148"/>
      <c r="DO140" s="148"/>
      <c r="DP140" s="148"/>
      <c r="DQ140" s="148"/>
      <c r="DR140" s="148"/>
      <c r="DS140" s="148"/>
      <c r="DT140" s="148"/>
      <c r="DU140" s="148"/>
      <c r="DV140" s="148"/>
      <c r="DW140" s="148"/>
      <c r="DX140" s="148"/>
      <c r="DY140" s="148"/>
      <c r="DZ140" s="148"/>
      <c r="EA140" s="148"/>
      <c r="EB140" s="148"/>
      <c r="EC140" s="148"/>
      <c r="ED140" s="148"/>
      <c r="EE140" s="148"/>
      <c r="EF140" s="148"/>
      <c r="EG140" s="148"/>
      <c r="EH140" s="148"/>
      <c r="EI140" s="148"/>
      <c r="EJ140" s="148"/>
      <c r="EK140" s="148"/>
      <c r="EL140" s="148"/>
      <c r="EM140" s="148"/>
      <c r="EN140" s="148"/>
      <c r="EO140" s="148"/>
      <c r="EP140" s="148"/>
      <c r="EQ140" s="148"/>
      <c r="ER140" s="148"/>
      <c r="ES140" s="148"/>
      <c r="ET140" s="148"/>
      <c r="EU140" s="148"/>
      <c r="EV140" s="148"/>
      <c r="EW140" s="148"/>
      <c r="EX140" s="148"/>
      <c r="EY140" s="148"/>
      <c r="EZ140" s="148"/>
      <c r="FA140" s="148"/>
      <c r="FB140" s="148"/>
      <c r="FC140" s="148"/>
      <c r="FD140" s="148"/>
      <c r="FE140" s="148"/>
      <c r="FF140" s="148"/>
      <c r="FG140" s="148"/>
      <c r="FH140" s="148"/>
      <c r="FI140" s="148"/>
      <c r="FJ140" s="148"/>
      <c r="FK140" s="148"/>
      <c r="FL140" s="148"/>
      <c r="FM140" s="148"/>
      <c r="FN140" s="148"/>
      <c r="FO140" s="148"/>
      <c r="FP140" s="148"/>
      <c r="FQ140" s="148"/>
      <c r="FR140" s="148"/>
      <c r="FS140" s="148"/>
      <c r="FT140" s="148"/>
      <c r="FU140" s="148"/>
      <c r="FV140" s="148"/>
      <c r="FW140" s="148"/>
      <c r="FX140" s="148"/>
      <c r="FY140" s="148"/>
      <c r="FZ140" s="148"/>
      <c r="GA140" s="148"/>
      <c r="GB140" s="148"/>
      <c r="GC140" s="148"/>
      <c r="GD140" s="148"/>
      <c r="GE140" s="148"/>
      <c r="GF140" s="148"/>
      <c r="GG140" s="148"/>
      <c r="GH140" s="148"/>
      <c r="GI140" s="148"/>
      <c r="GJ140" s="148"/>
      <c r="GK140" s="148"/>
      <c r="GL140" s="148"/>
      <c r="GM140" s="148"/>
      <c r="GN140" s="148"/>
      <c r="GO140" s="148"/>
      <c r="GP140" s="148"/>
      <c r="GQ140" s="148"/>
      <c r="GR140" s="148"/>
      <c r="GS140" s="148"/>
      <c r="GT140" s="148"/>
      <c r="GU140" s="148"/>
      <c r="GV140" s="148"/>
      <c r="GW140" s="148"/>
      <c r="GX140" s="148"/>
      <c r="GY140" s="148"/>
      <c r="GZ140" s="148"/>
      <c r="HA140" s="148"/>
      <c r="HB140" s="148"/>
      <c r="HC140" s="148"/>
      <c r="HD140" s="148"/>
      <c r="HE140" s="148"/>
      <c r="HF140" s="148"/>
      <c r="HG140" s="148"/>
      <c r="HH140" s="148"/>
      <c r="HI140" s="148"/>
      <c r="HJ140" s="148"/>
      <c r="HK140" s="148"/>
      <c r="HL140" s="148"/>
      <c r="HM140" s="148"/>
      <c r="HN140" s="148"/>
      <c r="HO140" s="148"/>
      <c r="HP140" s="148"/>
      <c r="HQ140" s="148"/>
      <c r="HR140" s="148"/>
      <c r="HS140" s="148"/>
      <c r="HT140" s="148"/>
      <c r="HU140" s="148"/>
      <c r="HV140" s="148"/>
      <c r="HW140" s="148"/>
      <c r="HX140" s="148"/>
      <c r="HY140" s="148"/>
      <c r="HZ140" s="148"/>
      <c r="IA140" s="148"/>
      <c r="IB140" s="148"/>
      <c r="IC140" s="148"/>
      <c r="ID140" s="148"/>
      <c r="IE140" s="148"/>
      <c r="IF140" s="148"/>
      <c r="IG140" s="148"/>
      <c r="IH140" s="148"/>
      <c r="II140" s="148"/>
      <c r="IJ140" s="148"/>
      <c r="IK140" s="148"/>
      <c r="IL140" s="148"/>
      <c r="IM140" s="148"/>
      <c r="IN140" s="148"/>
      <c r="IO140" s="148"/>
      <c r="IP140" s="148"/>
      <c r="IQ140" s="148"/>
      <c r="IR140" s="148"/>
      <c r="IS140" s="148"/>
      <c r="IT140" s="148"/>
      <c r="IU140" s="148"/>
      <c r="IV140" s="148"/>
      <c r="IW140" s="148"/>
      <c r="IX140" s="148"/>
      <c r="IY140" s="148"/>
      <c r="IZ140" s="148"/>
      <c r="JA140" s="148"/>
    </row>
    <row r="141" spans="1:261" s="272" customFormat="1" ht="18" customHeight="1" x14ac:dyDescent="0.35">
      <c r="A141" s="1423">
        <v>130</v>
      </c>
      <c r="B141" s="1557"/>
      <c r="C141" s="1582"/>
      <c r="D141" s="1174" t="s">
        <v>999</v>
      </c>
      <c r="E141" s="1560"/>
      <c r="F141" s="1561"/>
      <c r="G141" s="1562"/>
      <c r="H141" s="1563"/>
      <c r="I141" s="1590"/>
      <c r="J141" s="1560"/>
      <c r="K141" s="1560"/>
      <c r="L141" s="1560"/>
      <c r="M141" s="1560"/>
      <c r="N141" s="1560"/>
      <c r="O141" s="1578">
        <f>SUM(I141:N141)</f>
        <v>0</v>
      </c>
      <c r="P141" s="1567"/>
      <c r="Q141" s="148"/>
      <c r="R141" s="148"/>
      <c r="S141" s="148"/>
      <c r="T141" s="148"/>
      <c r="U141" s="148"/>
      <c r="V141" s="148"/>
      <c r="W141" s="148"/>
      <c r="X141" s="148"/>
      <c r="Y141" s="148"/>
      <c r="Z141" s="148"/>
      <c r="AA141" s="148"/>
      <c r="AB141" s="148"/>
      <c r="AC141" s="148"/>
      <c r="AD141" s="148"/>
      <c r="AE141" s="148"/>
      <c r="AF141" s="148"/>
      <c r="AG141" s="148"/>
      <c r="AH141" s="148"/>
      <c r="AI141" s="148"/>
      <c r="AJ141" s="148"/>
      <c r="AK141" s="148"/>
      <c r="AL141" s="148"/>
      <c r="AM141" s="148"/>
      <c r="AN141" s="148"/>
      <c r="AO141" s="148"/>
      <c r="AP141" s="148"/>
      <c r="AQ141" s="148"/>
      <c r="AR141" s="148"/>
      <c r="AS141" s="148"/>
      <c r="AT141" s="148"/>
      <c r="AU141" s="148"/>
      <c r="AV141" s="148"/>
      <c r="AW141" s="148"/>
      <c r="AX141" s="148"/>
      <c r="AY141" s="148"/>
      <c r="AZ141" s="148"/>
      <c r="BA141" s="148"/>
      <c r="BB141" s="148"/>
      <c r="BC141" s="148"/>
      <c r="BD141" s="148"/>
      <c r="BE141" s="148"/>
      <c r="BF141" s="148"/>
      <c r="BG141" s="148"/>
      <c r="BH141" s="148"/>
      <c r="BI141" s="148"/>
      <c r="BJ141" s="148"/>
      <c r="BK141" s="148"/>
      <c r="BL141" s="148"/>
      <c r="BM141" s="148"/>
      <c r="BN141" s="148"/>
      <c r="BO141" s="148"/>
      <c r="BP141" s="148"/>
      <c r="BQ141" s="148"/>
      <c r="BR141" s="148"/>
      <c r="BS141" s="148"/>
      <c r="BT141" s="148"/>
      <c r="BU141" s="148"/>
      <c r="BV141" s="148"/>
      <c r="BW141" s="148"/>
      <c r="BX141" s="148"/>
      <c r="BY141" s="148"/>
      <c r="BZ141" s="148"/>
      <c r="CA141" s="148"/>
      <c r="CB141" s="148"/>
      <c r="CC141" s="148"/>
      <c r="CD141" s="148"/>
      <c r="CE141" s="148"/>
      <c r="CF141" s="148"/>
      <c r="CG141" s="148"/>
      <c r="CH141" s="148"/>
      <c r="CI141" s="148"/>
      <c r="CJ141" s="148"/>
      <c r="CK141" s="148"/>
      <c r="CL141" s="148"/>
      <c r="CM141" s="148"/>
      <c r="CN141" s="148"/>
      <c r="CO141" s="148"/>
      <c r="CP141" s="148"/>
      <c r="CQ141" s="148"/>
      <c r="CR141" s="148"/>
      <c r="CS141" s="148"/>
      <c r="CT141" s="148"/>
      <c r="CU141" s="148"/>
      <c r="CV141" s="148"/>
      <c r="CW141" s="148"/>
      <c r="CX141" s="148"/>
      <c r="CY141" s="148"/>
      <c r="CZ141" s="148"/>
      <c r="DA141" s="148"/>
      <c r="DB141" s="148"/>
      <c r="DC141" s="148"/>
      <c r="DD141" s="148"/>
      <c r="DE141" s="148"/>
      <c r="DF141" s="148"/>
      <c r="DG141" s="148"/>
      <c r="DH141" s="148"/>
      <c r="DI141" s="148"/>
      <c r="DJ141" s="148"/>
      <c r="DK141" s="148"/>
      <c r="DL141" s="148"/>
      <c r="DM141" s="148"/>
      <c r="DN141" s="148"/>
      <c r="DO141" s="148"/>
      <c r="DP141" s="148"/>
      <c r="DQ141" s="148"/>
      <c r="DR141" s="148"/>
      <c r="DS141" s="148"/>
      <c r="DT141" s="148"/>
      <c r="DU141" s="148"/>
      <c r="DV141" s="148"/>
      <c r="DW141" s="148"/>
      <c r="DX141" s="148"/>
      <c r="DY141" s="148"/>
      <c r="DZ141" s="148"/>
      <c r="EA141" s="148"/>
      <c r="EB141" s="148"/>
      <c r="EC141" s="148"/>
      <c r="ED141" s="148"/>
      <c r="EE141" s="148"/>
      <c r="EF141" s="148"/>
      <c r="EG141" s="148"/>
      <c r="EH141" s="148"/>
      <c r="EI141" s="148"/>
      <c r="EJ141" s="148"/>
      <c r="EK141" s="148"/>
      <c r="EL141" s="148"/>
      <c r="EM141" s="148"/>
      <c r="EN141" s="148"/>
      <c r="EO141" s="148"/>
      <c r="EP141" s="148"/>
      <c r="EQ141" s="148"/>
      <c r="ER141" s="148"/>
      <c r="ES141" s="148"/>
      <c r="ET141" s="148"/>
      <c r="EU141" s="148"/>
      <c r="EV141" s="148"/>
      <c r="EW141" s="148"/>
      <c r="EX141" s="148"/>
      <c r="EY141" s="148"/>
      <c r="EZ141" s="148"/>
      <c r="FA141" s="148"/>
      <c r="FB141" s="148"/>
      <c r="FC141" s="148"/>
      <c r="FD141" s="148"/>
      <c r="FE141" s="148"/>
      <c r="FF141" s="148"/>
      <c r="FG141" s="148"/>
      <c r="FH141" s="148"/>
      <c r="FI141" s="148"/>
      <c r="FJ141" s="148"/>
      <c r="FK141" s="148"/>
      <c r="FL141" s="148"/>
      <c r="FM141" s="148"/>
      <c r="FN141" s="148"/>
      <c r="FO141" s="148"/>
      <c r="FP141" s="148"/>
      <c r="FQ141" s="148"/>
      <c r="FR141" s="148"/>
      <c r="FS141" s="148"/>
      <c r="FT141" s="148"/>
      <c r="FU141" s="148"/>
      <c r="FV141" s="148"/>
      <c r="FW141" s="148"/>
      <c r="FX141" s="148"/>
      <c r="FY141" s="148"/>
      <c r="FZ141" s="148"/>
      <c r="GA141" s="148"/>
      <c r="GB141" s="148"/>
      <c r="GC141" s="148"/>
      <c r="GD141" s="148"/>
      <c r="GE141" s="148"/>
      <c r="GF141" s="148"/>
      <c r="GG141" s="148"/>
      <c r="GH141" s="148"/>
      <c r="GI141" s="148"/>
      <c r="GJ141" s="148"/>
      <c r="GK141" s="148"/>
      <c r="GL141" s="148"/>
      <c r="GM141" s="148"/>
      <c r="GN141" s="148"/>
      <c r="GO141" s="148"/>
      <c r="GP141" s="148"/>
      <c r="GQ141" s="148"/>
      <c r="GR141" s="148"/>
      <c r="GS141" s="148"/>
      <c r="GT141" s="148"/>
      <c r="GU141" s="148"/>
      <c r="GV141" s="148"/>
      <c r="GW141" s="148"/>
      <c r="GX141" s="148"/>
      <c r="GY141" s="148"/>
      <c r="GZ141" s="148"/>
      <c r="HA141" s="148"/>
      <c r="HB141" s="148"/>
      <c r="HC141" s="148"/>
      <c r="HD141" s="148"/>
      <c r="HE141" s="148"/>
      <c r="HF141" s="148"/>
      <c r="HG141" s="148"/>
      <c r="HH141" s="148"/>
      <c r="HI141" s="148"/>
      <c r="HJ141" s="148"/>
      <c r="HK141" s="148"/>
      <c r="HL141" s="148"/>
      <c r="HM141" s="148"/>
      <c r="HN141" s="148"/>
      <c r="HO141" s="148"/>
      <c r="HP141" s="148"/>
      <c r="HQ141" s="148"/>
      <c r="HR141" s="148"/>
      <c r="HS141" s="148"/>
      <c r="HT141" s="148"/>
      <c r="HU141" s="148"/>
      <c r="HV141" s="148"/>
      <c r="HW141" s="148"/>
      <c r="HX141" s="148"/>
      <c r="HY141" s="148"/>
      <c r="HZ141" s="148"/>
      <c r="IA141" s="148"/>
      <c r="IB141" s="148"/>
      <c r="IC141" s="148"/>
      <c r="ID141" s="148"/>
      <c r="IE141" s="148"/>
      <c r="IF141" s="148"/>
      <c r="IG141" s="148"/>
      <c r="IH141" s="148"/>
      <c r="II141" s="148"/>
      <c r="IJ141" s="148"/>
      <c r="IK141" s="148"/>
      <c r="IL141" s="148"/>
      <c r="IM141" s="148"/>
      <c r="IN141" s="148"/>
      <c r="IO141" s="148"/>
      <c r="IP141" s="148"/>
      <c r="IQ141" s="148"/>
      <c r="IR141" s="148"/>
      <c r="IS141" s="148"/>
      <c r="IT141" s="148"/>
      <c r="IU141" s="148"/>
      <c r="IV141" s="148"/>
      <c r="IW141" s="148"/>
      <c r="IX141" s="148"/>
      <c r="IY141" s="148"/>
      <c r="IZ141" s="148"/>
      <c r="JA141" s="148"/>
    </row>
    <row r="142" spans="1:261" s="272" customFormat="1" ht="18" customHeight="1" x14ac:dyDescent="0.35">
      <c r="A142" s="1423">
        <v>131</v>
      </c>
      <c r="B142" s="1557"/>
      <c r="C142" s="1582"/>
      <c r="D142" s="1163" t="s">
        <v>1116</v>
      </c>
      <c r="E142" s="1560"/>
      <c r="F142" s="1561"/>
      <c r="G142" s="1562"/>
      <c r="H142" s="1563"/>
      <c r="I142" s="1590"/>
      <c r="J142" s="1560"/>
      <c r="K142" s="1560"/>
      <c r="L142" s="1560">
        <f>SUM(L140:L141)</f>
        <v>1023</v>
      </c>
      <c r="M142" s="1560"/>
      <c r="N142" s="1560"/>
      <c r="O142" s="1576">
        <f>SUM(I142:N142)</f>
        <v>1023</v>
      </c>
      <c r="P142" s="1567"/>
      <c r="Q142" s="148"/>
      <c r="R142" s="148"/>
      <c r="S142" s="148"/>
      <c r="T142" s="148"/>
      <c r="U142" s="148"/>
      <c r="V142" s="148"/>
      <c r="W142" s="148"/>
      <c r="X142" s="148"/>
      <c r="Y142" s="148"/>
      <c r="Z142" s="148"/>
      <c r="AA142" s="148"/>
      <c r="AB142" s="148"/>
      <c r="AC142" s="148"/>
      <c r="AD142" s="148"/>
      <c r="AE142" s="148"/>
      <c r="AF142" s="148"/>
      <c r="AG142" s="148"/>
      <c r="AH142" s="148"/>
      <c r="AI142" s="148"/>
      <c r="AJ142" s="148"/>
      <c r="AK142" s="148"/>
      <c r="AL142" s="148"/>
      <c r="AM142" s="148"/>
      <c r="AN142" s="148"/>
      <c r="AO142" s="148"/>
      <c r="AP142" s="148"/>
      <c r="AQ142" s="148"/>
      <c r="AR142" s="148"/>
      <c r="AS142" s="148"/>
      <c r="AT142" s="148"/>
      <c r="AU142" s="148"/>
      <c r="AV142" s="148"/>
      <c r="AW142" s="148"/>
      <c r="AX142" s="148"/>
      <c r="AY142" s="148"/>
      <c r="AZ142" s="148"/>
      <c r="BA142" s="148"/>
      <c r="BB142" s="148"/>
      <c r="BC142" s="148"/>
      <c r="BD142" s="148"/>
      <c r="BE142" s="148"/>
      <c r="BF142" s="148"/>
      <c r="BG142" s="148"/>
      <c r="BH142" s="148"/>
      <c r="BI142" s="148"/>
      <c r="BJ142" s="148"/>
      <c r="BK142" s="148"/>
      <c r="BL142" s="148"/>
      <c r="BM142" s="148"/>
      <c r="BN142" s="148"/>
      <c r="BO142" s="148"/>
      <c r="BP142" s="148"/>
      <c r="BQ142" s="148"/>
      <c r="BR142" s="148"/>
      <c r="BS142" s="148"/>
      <c r="BT142" s="148"/>
      <c r="BU142" s="148"/>
      <c r="BV142" s="148"/>
      <c r="BW142" s="148"/>
      <c r="BX142" s="148"/>
      <c r="BY142" s="148"/>
      <c r="BZ142" s="148"/>
      <c r="CA142" s="148"/>
      <c r="CB142" s="148"/>
      <c r="CC142" s="148"/>
      <c r="CD142" s="148"/>
      <c r="CE142" s="148"/>
      <c r="CF142" s="148"/>
      <c r="CG142" s="148"/>
      <c r="CH142" s="148"/>
      <c r="CI142" s="148"/>
      <c r="CJ142" s="148"/>
      <c r="CK142" s="148"/>
      <c r="CL142" s="148"/>
      <c r="CM142" s="148"/>
      <c r="CN142" s="148"/>
      <c r="CO142" s="148"/>
      <c r="CP142" s="148"/>
      <c r="CQ142" s="148"/>
      <c r="CR142" s="148"/>
      <c r="CS142" s="148"/>
      <c r="CT142" s="148"/>
      <c r="CU142" s="148"/>
      <c r="CV142" s="148"/>
      <c r="CW142" s="148"/>
      <c r="CX142" s="148"/>
      <c r="CY142" s="148"/>
      <c r="CZ142" s="148"/>
      <c r="DA142" s="148"/>
      <c r="DB142" s="148"/>
      <c r="DC142" s="148"/>
      <c r="DD142" s="148"/>
      <c r="DE142" s="148"/>
      <c r="DF142" s="148"/>
      <c r="DG142" s="148"/>
      <c r="DH142" s="148"/>
      <c r="DI142" s="148"/>
      <c r="DJ142" s="148"/>
      <c r="DK142" s="148"/>
      <c r="DL142" s="148"/>
      <c r="DM142" s="148"/>
      <c r="DN142" s="148"/>
      <c r="DO142" s="148"/>
      <c r="DP142" s="148"/>
      <c r="DQ142" s="148"/>
      <c r="DR142" s="148"/>
      <c r="DS142" s="148"/>
      <c r="DT142" s="148"/>
      <c r="DU142" s="148"/>
      <c r="DV142" s="148"/>
      <c r="DW142" s="148"/>
      <c r="DX142" s="148"/>
      <c r="DY142" s="148"/>
      <c r="DZ142" s="148"/>
      <c r="EA142" s="148"/>
      <c r="EB142" s="148"/>
      <c r="EC142" s="148"/>
      <c r="ED142" s="148"/>
      <c r="EE142" s="148"/>
      <c r="EF142" s="148"/>
      <c r="EG142" s="148"/>
      <c r="EH142" s="148"/>
      <c r="EI142" s="148"/>
      <c r="EJ142" s="148"/>
      <c r="EK142" s="148"/>
      <c r="EL142" s="148"/>
      <c r="EM142" s="148"/>
      <c r="EN142" s="148"/>
      <c r="EO142" s="148"/>
      <c r="EP142" s="148"/>
      <c r="EQ142" s="148"/>
      <c r="ER142" s="148"/>
      <c r="ES142" s="148"/>
      <c r="ET142" s="148"/>
      <c r="EU142" s="148"/>
      <c r="EV142" s="148"/>
      <c r="EW142" s="148"/>
      <c r="EX142" s="148"/>
      <c r="EY142" s="148"/>
      <c r="EZ142" s="148"/>
      <c r="FA142" s="148"/>
      <c r="FB142" s="148"/>
      <c r="FC142" s="148"/>
      <c r="FD142" s="148"/>
      <c r="FE142" s="148"/>
      <c r="FF142" s="148"/>
      <c r="FG142" s="148"/>
      <c r="FH142" s="148"/>
      <c r="FI142" s="148"/>
      <c r="FJ142" s="148"/>
      <c r="FK142" s="148"/>
      <c r="FL142" s="148"/>
      <c r="FM142" s="148"/>
      <c r="FN142" s="148"/>
      <c r="FO142" s="148"/>
      <c r="FP142" s="148"/>
      <c r="FQ142" s="148"/>
      <c r="FR142" s="148"/>
      <c r="FS142" s="148"/>
      <c r="FT142" s="148"/>
      <c r="FU142" s="148"/>
      <c r="FV142" s="148"/>
      <c r="FW142" s="148"/>
      <c r="FX142" s="148"/>
      <c r="FY142" s="148"/>
      <c r="FZ142" s="148"/>
      <c r="GA142" s="148"/>
      <c r="GB142" s="148"/>
      <c r="GC142" s="148"/>
      <c r="GD142" s="148"/>
      <c r="GE142" s="148"/>
      <c r="GF142" s="148"/>
      <c r="GG142" s="148"/>
      <c r="GH142" s="148"/>
      <c r="GI142" s="148"/>
      <c r="GJ142" s="148"/>
      <c r="GK142" s="148"/>
      <c r="GL142" s="148"/>
      <c r="GM142" s="148"/>
      <c r="GN142" s="148"/>
      <c r="GO142" s="148"/>
      <c r="GP142" s="148"/>
      <c r="GQ142" s="148"/>
      <c r="GR142" s="148"/>
      <c r="GS142" s="148"/>
      <c r="GT142" s="148"/>
      <c r="GU142" s="148"/>
      <c r="GV142" s="148"/>
      <c r="GW142" s="148"/>
      <c r="GX142" s="148"/>
      <c r="GY142" s="148"/>
      <c r="GZ142" s="148"/>
      <c r="HA142" s="148"/>
      <c r="HB142" s="148"/>
      <c r="HC142" s="148"/>
      <c r="HD142" s="148"/>
      <c r="HE142" s="148"/>
      <c r="HF142" s="148"/>
      <c r="HG142" s="148"/>
      <c r="HH142" s="148"/>
      <c r="HI142" s="148"/>
      <c r="HJ142" s="148"/>
      <c r="HK142" s="148"/>
      <c r="HL142" s="148"/>
      <c r="HM142" s="148"/>
      <c r="HN142" s="148"/>
      <c r="HO142" s="148"/>
      <c r="HP142" s="148"/>
      <c r="HQ142" s="148"/>
      <c r="HR142" s="148"/>
      <c r="HS142" s="148"/>
      <c r="HT142" s="148"/>
      <c r="HU142" s="148"/>
      <c r="HV142" s="148"/>
      <c r="HW142" s="148"/>
      <c r="HX142" s="148"/>
      <c r="HY142" s="148"/>
      <c r="HZ142" s="148"/>
      <c r="IA142" s="148"/>
      <c r="IB142" s="148"/>
      <c r="IC142" s="148"/>
      <c r="ID142" s="148"/>
      <c r="IE142" s="148"/>
      <c r="IF142" s="148"/>
      <c r="IG142" s="148"/>
      <c r="IH142" s="148"/>
      <c r="II142" s="148"/>
      <c r="IJ142" s="148"/>
      <c r="IK142" s="148"/>
      <c r="IL142" s="148"/>
      <c r="IM142" s="148"/>
      <c r="IN142" s="148"/>
      <c r="IO142" s="148"/>
      <c r="IP142" s="148"/>
      <c r="IQ142" s="148"/>
      <c r="IR142" s="148"/>
      <c r="IS142" s="148"/>
      <c r="IT142" s="148"/>
      <c r="IU142" s="148"/>
      <c r="IV142" s="148"/>
      <c r="IW142" s="148"/>
      <c r="IX142" s="148"/>
      <c r="IY142" s="148"/>
      <c r="IZ142" s="148"/>
      <c r="JA142" s="148"/>
    </row>
    <row r="143" spans="1:261" ht="22.5" customHeight="1" x14ac:dyDescent="0.35">
      <c r="A143" s="1423">
        <v>132</v>
      </c>
      <c r="B143" s="1589"/>
      <c r="C143" s="1558">
        <v>27</v>
      </c>
      <c r="D143" s="1579" t="s">
        <v>697</v>
      </c>
      <c r="E143" s="1560"/>
      <c r="F143" s="1560"/>
      <c r="G143" s="1562"/>
      <c r="H143" s="1563" t="s">
        <v>24</v>
      </c>
      <c r="I143" s="1586"/>
      <c r="J143" s="1587"/>
      <c r="K143" s="1587"/>
      <c r="L143" s="1587"/>
      <c r="M143" s="1587"/>
      <c r="N143" s="1587"/>
      <c r="O143" s="1588"/>
      <c r="P143" s="1567"/>
    </row>
    <row r="144" spans="1:261" ht="18" customHeight="1" x14ac:dyDescent="0.35">
      <c r="A144" s="1423">
        <v>133</v>
      </c>
      <c r="B144" s="1589"/>
      <c r="C144" s="1558"/>
      <c r="D144" s="1585" t="s">
        <v>311</v>
      </c>
      <c r="E144" s="1560">
        <f>F144+G144+O147+P147+2313</f>
        <v>28307</v>
      </c>
      <c r="F144" s="1560"/>
      <c r="G144" s="1562">
        <f>6715+1684</f>
        <v>8399</v>
      </c>
      <c r="H144" s="1563"/>
      <c r="I144" s="1586">
        <v>254</v>
      </c>
      <c r="J144" s="1587">
        <v>96</v>
      </c>
      <c r="K144" s="1587">
        <f>18397+834</f>
        <v>19231</v>
      </c>
      <c r="L144" s="1587"/>
      <c r="M144" s="1587"/>
      <c r="N144" s="1587"/>
      <c r="O144" s="1566">
        <f>SUM(I144:N144)</f>
        <v>19581</v>
      </c>
      <c r="P144" s="1567"/>
    </row>
    <row r="145" spans="1:16" ht="18" customHeight="1" x14ac:dyDescent="0.35">
      <c r="A145" s="1423">
        <v>134</v>
      </c>
      <c r="B145" s="1589"/>
      <c r="C145" s="1558"/>
      <c r="D145" s="1163" t="s">
        <v>1064</v>
      </c>
      <c r="E145" s="1560"/>
      <c r="F145" s="1560"/>
      <c r="G145" s="1562"/>
      <c r="H145" s="1563"/>
      <c r="I145" s="1590">
        <v>5052</v>
      </c>
      <c r="J145" s="1560">
        <v>888</v>
      </c>
      <c r="K145" s="1560">
        <v>11655</v>
      </c>
      <c r="L145" s="1587"/>
      <c r="M145" s="1587"/>
      <c r="N145" s="1587"/>
      <c r="O145" s="1576">
        <f>SUM(I145:N145)</f>
        <v>17595</v>
      </c>
      <c r="P145" s="1567"/>
    </row>
    <row r="146" spans="1:16" ht="18" customHeight="1" x14ac:dyDescent="0.35">
      <c r="A146" s="1423">
        <v>135</v>
      </c>
      <c r="B146" s="1589"/>
      <c r="C146" s="1558"/>
      <c r="D146" s="1174" t="s">
        <v>1012</v>
      </c>
      <c r="E146" s="1560"/>
      <c r="F146" s="1560"/>
      <c r="G146" s="1562"/>
      <c r="H146" s="1563"/>
      <c r="I146" s="1597"/>
      <c r="J146" s="1598"/>
      <c r="K146" s="1598"/>
      <c r="L146" s="1560"/>
      <c r="M146" s="1560"/>
      <c r="N146" s="1560"/>
      <c r="O146" s="1578">
        <f>SUM(I146:N146)</f>
        <v>0</v>
      </c>
      <c r="P146" s="1567"/>
    </row>
    <row r="147" spans="1:16" ht="18" customHeight="1" x14ac:dyDescent="0.35">
      <c r="A147" s="1423">
        <v>136</v>
      </c>
      <c r="B147" s="1589"/>
      <c r="C147" s="1558"/>
      <c r="D147" s="1163" t="s">
        <v>1116</v>
      </c>
      <c r="E147" s="1560"/>
      <c r="F147" s="1560"/>
      <c r="G147" s="1562"/>
      <c r="H147" s="1563"/>
      <c r="I147" s="1590">
        <f>SUM(I145:I146)</f>
        <v>5052</v>
      </c>
      <c r="J147" s="1590">
        <f t="shared" ref="J147:K147" si="17">SUM(J145:J146)</f>
        <v>888</v>
      </c>
      <c r="K147" s="1590">
        <f t="shared" si="17"/>
        <v>11655</v>
      </c>
      <c r="L147" s="1560"/>
      <c r="M147" s="1560"/>
      <c r="N147" s="1560"/>
      <c r="O147" s="1576">
        <f>SUM(I147:N147)</f>
        <v>17595</v>
      </c>
      <c r="P147" s="1567"/>
    </row>
    <row r="148" spans="1:16" ht="22.5" customHeight="1" x14ac:dyDescent="0.35">
      <c r="A148" s="1423">
        <v>137</v>
      </c>
      <c r="B148" s="1589"/>
      <c r="C148" s="1558">
        <v>28</v>
      </c>
      <c r="D148" s="1579" t="s">
        <v>698</v>
      </c>
      <c r="E148" s="1560"/>
      <c r="F148" s="1560"/>
      <c r="G148" s="1562"/>
      <c r="H148" s="1563" t="s">
        <v>24</v>
      </c>
      <c r="I148" s="1586"/>
      <c r="J148" s="1587"/>
      <c r="K148" s="1587"/>
      <c r="L148" s="1587"/>
      <c r="M148" s="1587"/>
      <c r="N148" s="1587"/>
      <c r="O148" s="1588"/>
      <c r="P148" s="1567"/>
    </row>
    <row r="149" spans="1:16" ht="18" customHeight="1" x14ac:dyDescent="0.35">
      <c r="A149" s="1423">
        <v>138</v>
      </c>
      <c r="B149" s="1589"/>
      <c r="C149" s="1558"/>
      <c r="D149" s="1585" t="s">
        <v>311</v>
      </c>
      <c r="E149" s="1560">
        <f>F149+G149+O152+P149</f>
        <v>0</v>
      </c>
      <c r="F149" s="1560"/>
      <c r="G149" s="1562"/>
      <c r="H149" s="1563"/>
      <c r="I149" s="1586"/>
      <c r="J149" s="1587"/>
      <c r="K149" s="1587">
        <v>13749</v>
      </c>
      <c r="L149" s="1587"/>
      <c r="M149" s="1587"/>
      <c r="N149" s="1587"/>
      <c r="O149" s="1566">
        <f>SUM(I149:N149)</f>
        <v>13749</v>
      </c>
      <c r="P149" s="1567">
        <f>39409-39409</f>
        <v>0</v>
      </c>
    </row>
    <row r="150" spans="1:16" ht="18" customHeight="1" x14ac:dyDescent="0.35">
      <c r="A150" s="1423">
        <v>139</v>
      </c>
      <c r="B150" s="1589"/>
      <c r="C150" s="1558"/>
      <c r="D150" s="1163" t="s">
        <v>1064</v>
      </c>
      <c r="E150" s="1560"/>
      <c r="F150" s="1560"/>
      <c r="G150" s="1562"/>
      <c r="H150" s="1563"/>
      <c r="I150" s="1586"/>
      <c r="J150" s="1587"/>
      <c r="K150" s="1560">
        <v>13749</v>
      </c>
      <c r="L150" s="1587"/>
      <c r="M150" s="1587"/>
      <c r="N150" s="1587"/>
      <c r="O150" s="1576">
        <f>SUM(I150:N150)</f>
        <v>13749</v>
      </c>
      <c r="P150" s="1567"/>
    </row>
    <row r="151" spans="1:16" ht="18" customHeight="1" x14ac:dyDescent="0.35">
      <c r="A151" s="1423">
        <v>140</v>
      </c>
      <c r="B151" s="1589"/>
      <c r="C151" s="1558"/>
      <c r="D151" s="1174" t="s">
        <v>1219</v>
      </c>
      <c r="E151" s="1560"/>
      <c r="F151" s="1560"/>
      <c r="G151" s="1562"/>
      <c r="H151" s="1563"/>
      <c r="I151" s="1590"/>
      <c r="J151" s="1560"/>
      <c r="K151" s="1598">
        <v>-13749</v>
      </c>
      <c r="L151" s="1560"/>
      <c r="M151" s="1560"/>
      <c r="N151" s="1560"/>
      <c r="O151" s="1578">
        <f>SUM(I151:N151)</f>
        <v>-13749</v>
      </c>
      <c r="P151" s="1567"/>
    </row>
    <row r="152" spans="1:16" ht="18" customHeight="1" x14ac:dyDescent="0.35">
      <c r="A152" s="1423">
        <v>141</v>
      </c>
      <c r="B152" s="1589"/>
      <c r="C152" s="1558"/>
      <c r="D152" s="1163" t="s">
        <v>1116</v>
      </c>
      <c r="E152" s="1560"/>
      <c r="F152" s="1560"/>
      <c r="G152" s="1562"/>
      <c r="H152" s="1563"/>
      <c r="I152" s="1590"/>
      <c r="J152" s="1560"/>
      <c r="K152" s="1560">
        <f>SUM(K150:K151)</f>
        <v>0</v>
      </c>
      <c r="L152" s="1560"/>
      <c r="M152" s="1560"/>
      <c r="N152" s="1560"/>
      <c r="O152" s="1576">
        <f>SUM(I152:N152)</f>
        <v>0</v>
      </c>
      <c r="P152" s="1567"/>
    </row>
    <row r="153" spans="1:16" ht="22.5" customHeight="1" x14ac:dyDescent="0.35">
      <c r="A153" s="1423">
        <v>142</v>
      </c>
      <c r="B153" s="1589"/>
      <c r="C153" s="1558">
        <v>29</v>
      </c>
      <c r="D153" s="1579" t="s">
        <v>699</v>
      </c>
      <c r="E153" s="1560"/>
      <c r="F153" s="1560"/>
      <c r="G153" s="1562"/>
      <c r="H153" s="1563" t="s">
        <v>24</v>
      </c>
      <c r="I153" s="1586"/>
      <c r="J153" s="1587"/>
      <c r="K153" s="1587"/>
      <c r="L153" s="1587"/>
      <c r="M153" s="1587"/>
      <c r="N153" s="1587"/>
      <c r="O153" s="1588"/>
      <c r="P153" s="1567"/>
    </row>
    <row r="154" spans="1:16" ht="18" customHeight="1" x14ac:dyDescent="0.35">
      <c r="A154" s="1423">
        <v>143</v>
      </c>
      <c r="B154" s="1589"/>
      <c r="C154" s="1558"/>
      <c r="D154" s="1585" t="s">
        <v>311</v>
      </c>
      <c r="E154" s="1560">
        <f>F154+G154+O157+P154</f>
        <v>3071</v>
      </c>
      <c r="F154" s="1560"/>
      <c r="G154" s="1562"/>
      <c r="H154" s="1563"/>
      <c r="I154" s="1586"/>
      <c r="J154" s="1587"/>
      <c r="K154" s="1587">
        <v>3071</v>
      </c>
      <c r="L154" s="1587"/>
      <c r="M154" s="1587"/>
      <c r="N154" s="1587"/>
      <c r="O154" s="1566">
        <f>SUM(I154:N154)</f>
        <v>3071</v>
      </c>
      <c r="P154" s="1567"/>
    </row>
    <row r="155" spans="1:16" ht="18" customHeight="1" x14ac:dyDescent="0.35">
      <c r="A155" s="1423">
        <v>144</v>
      </c>
      <c r="B155" s="1589"/>
      <c r="C155" s="1558"/>
      <c r="D155" s="1163" t="s">
        <v>1064</v>
      </c>
      <c r="E155" s="1560"/>
      <c r="F155" s="1560"/>
      <c r="G155" s="1562"/>
      <c r="H155" s="1563"/>
      <c r="I155" s="1586"/>
      <c r="J155" s="1587"/>
      <c r="K155" s="1560">
        <v>3071</v>
      </c>
      <c r="L155" s="1587"/>
      <c r="M155" s="1587"/>
      <c r="N155" s="1587"/>
      <c r="O155" s="1576">
        <f>SUM(I155:N155)</f>
        <v>3071</v>
      </c>
      <c r="P155" s="1567"/>
    </row>
    <row r="156" spans="1:16" ht="18" customHeight="1" x14ac:dyDescent="0.35">
      <c r="A156" s="1423">
        <v>145</v>
      </c>
      <c r="B156" s="1589"/>
      <c r="C156" s="1558"/>
      <c r="D156" s="1174" t="s">
        <v>999</v>
      </c>
      <c r="E156" s="1560"/>
      <c r="F156" s="1560"/>
      <c r="G156" s="1562"/>
      <c r="H156" s="1563"/>
      <c r="I156" s="1590"/>
      <c r="J156" s="1560"/>
      <c r="K156" s="1560"/>
      <c r="L156" s="1560"/>
      <c r="M156" s="1560"/>
      <c r="N156" s="1560"/>
      <c r="O156" s="1578">
        <f>SUM(I156:N156)</f>
        <v>0</v>
      </c>
      <c r="P156" s="1567"/>
    </row>
    <row r="157" spans="1:16" ht="18" customHeight="1" x14ac:dyDescent="0.35">
      <c r="A157" s="1423">
        <v>146</v>
      </c>
      <c r="B157" s="1589"/>
      <c r="C157" s="1558"/>
      <c r="D157" s="1163" t="s">
        <v>1116</v>
      </c>
      <c r="E157" s="1560"/>
      <c r="F157" s="1560"/>
      <c r="G157" s="1562"/>
      <c r="H157" s="1563"/>
      <c r="I157" s="1590"/>
      <c r="J157" s="1560"/>
      <c r="K157" s="1560">
        <f>SUM(K155:K156)</f>
        <v>3071</v>
      </c>
      <c r="L157" s="1560"/>
      <c r="M157" s="1560"/>
      <c r="N157" s="1560"/>
      <c r="O157" s="1576">
        <f>SUM(I157:N157)</f>
        <v>3071</v>
      </c>
      <c r="P157" s="1567"/>
    </row>
    <row r="158" spans="1:16" ht="22.5" customHeight="1" x14ac:dyDescent="0.35">
      <c r="A158" s="1423">
        <v>147</v>
      </c>
      <c r="B158" s="1589"/>
      <c r="C158" s="1558">
        <v>30</v>
      </c>
      <c r="D158" s="1579" t="s">
        <v>700</v>
      </c>
      <c r="E158" s="1560"/>
      <c r="F158" s="1560"/>
      <c r="G158" s="1562"/>
      <c r="H158" s="1563" t="s">
        <v>24</v>
      </c>
      <c r="I158" s="1586"/>
      <c r="J158" s="1587"/>
      <c r="K158" s="1587"/>
      <c r="L158" s="1587"/>
      <c r="M158" s="1587"/>
      <c r="N158" s="1587"/>
      <c r="O158" s="1588"/>
      <c r="P158" s="1567"/>
    </row>
    <row r="159" spans="1:16" ht="18" customHeight="1" x14ac:dyDescent="0.35">
      <c r="A159" s="1423">
        <v>148</v>
      </c>
      <c r="B159" s="1589"/>
      <c r="C159" s="1558"/>
      <c r="D159" s="1585" t="s">
        <v>311</v>
      </c>
      <c r="E159" s="1560">
        <f>F159+G159+O162+P159+3100</f>
        <v>35920</v>
      </c>
      <c r="F159" s="1560"/>
      <c r="G159" s="1562"/>
      <c r="H159" s="1563"/>
      <c r="I159" s="1586"/>
      <c r="J159" s="1587"/>
      <c r="K159" s="1587">
        <v>17116</v>
      </c>
      <c r="L159" s="1587"/>
      <c r="M159" s="1587"/>
      <c r="N159" s="1587"/>
      <c r="O159" s="1566">
        <f>SUM(I159:N159)</f>
        <v>17116</v>
      </c>
      <c r="P159" s="1567">
        <v>28736</v>
      </c>
    </row>
    <row r="160" spans="1:16" ht="18" customHeight="1" x14ac:dyDescent="0.35">
      <c r="A160" s="1423">
        <v>149</v>
      </c>
      <c r="B160" s="1589"/>
      <c r="C160" s="1558"/>
      <c r="D160" s="1163" t="s">
        <v>1064</v>
      </c>
      <c r="E160" s="1560"/>
      <c r="F160" s="1560"/>
      <c r="G160" s="1562"/>
      <c r="H160" s="1563"/>
      <c r="I160" s="1586"/>
      <c r="J160" s="1587"/>
      <c r="K160" s="1560">
        <v>17116</v>
      </c>
      <c r="L160" s="1587"/>
      <c r="M160" s="1587"/>
      <c r="N160" s="1587"/>
      <c r="O160" s="1576">
        <f>SUM(I160:N160)</f>
        <v>17116</v>
      </c>
      <c r="P160" s="1567"/>
    </row>
    <row r="161" spans="1:16" ht="18" customHeight="1" x14ac:dyDescent="0.35">
      <c r="A161" s="1423">
        <v>150</v>
      </c>
      <c r="B161" s="1589"/>
      <c r="C161" s="1558"/>
      <c r="D161" s="1174" t="s">
        <v>1220</v>
      </c>
      <c r="E161" s="1560"/>
      <c r="F161" s="1560"/>
      <c r="G161" s="1562"/>
      <c r="H161" s="1563"/>
      <c r="I161" s="1590"/>
      <c r="J161" s="1560"/>
      <c r="K161" s="1598">
        <v>-13032</v>
      </c>
      <c r="L161" s="1560"/>
      <c r="M161" s="1560"/>
      <c r="N161" s="1560"/>
      <c r="O161" s="1578">
        <f>SUM(I161:N161)</f>
        <v>-13032</v>
      </c>
      <c r="P161" s="1567"/>
    </row>
    <row r="162" spans="1:16" ht="18" customHeight="1" x14ac:dyDescent="0.35">
      <c r="A162" s="1423">
        <v>151</v>
      </c>
      <c r="B162" s="1589"/>
      <c r="C162" s="1558"/>
      <c r="D162" s="1163" t="s">
        <v>1116</v>
      </c>
      <c r="E162" s="1560"/>
      <c r="F162" s="1560"/>
      <c r="G162" s="1562"/>
      <c r="H162" s="1563"/>
      <c r="I162" s="1590"/>
      <c r="J162" s="1560"/>
      <c r="K162" s="1560">
        <f>SUM(K160:K161)</f>
        <v>4084</v>
      </c>
      <c r="L162" s="1560"/>
      <c r="M162" s="1560"/>
      <c r="N162" s="1560"/>
      <c r="O162" s="1576">
        <f>SUM(I162:N162)</f>
        <v>4084</v>
      </c>
      <c r="P162" s="1567"/>
    </row>
    <row r="163" spans="1:16" ht="22.5" customHeight="1" x14ac:dyDescent="0.35">
      <c r="A163" s="1423">
        <v>152</v>
      </c>
      <c r="B163" s="1589"/>
      <c r="C163" s="1558">
        <v>31</v>
      </c>
      <c r="D163" s="1579" t="s">
        <v>701</v>
      </c>
      <c r="E163" s="1560"/>
      <c r="F163" s="1560"/>
      <c r="G163" s="1562"/>
      <c r="H163" s="1563" t="s">
        <v>24</v>
      </c>
      <c r="I163" s="1586"/>
      <c r="J163" s="1587"/>
      <c r="K163" s="1587"/>
      <c r="L163" s="1587"/>
      <c r="M163" s="1587"/>
      <c r="N163" s="1587"/>
      <c r="O163" s="1588"/>
      <c r="P163" s="1567"/>
    </row>
    <row r="164" spans="1:16" ht="18" customHeight="1" x14ac:dyDescent="0.35">
      <c r="A164" s="1423">
        <v>153</v>
      </c>
      <c r="B164" s="1589"/>
      <c r="C164" s="1558"/>
      <c r="D164" s="1585" t="s">
        <v>311</v>
      </c>
      <c r="E164" s="1560">
        <f>F164+G164+O167+P164</f>
        <v>40000</v>
      </c>
      <c r="F164" s="1560"/>
      <c r="G164" s="1562"/>
      <c r="H164" s="1563"/>
      <c r="I164" s="1586"/>
      <c r="J164" s="1587"/>
      <c r="K164" s="1587"/>
      <c r="L164" s="1587"/>
      <c r="M164" s="1587">
        <v>33863</v>
      </c>
      <c r="N164" s="1587"/>
      <c r="O164" s="1566">
        <f>SUM(I164:N164)</f>
        <v>33863</v>
      </c>
      <c r="P164" s="1567"/>
    </row>
    <row r="165" spans="1:16" ht="18" customHeight="1" x14ac:dyDescent="0.35">
      <c r="A165" s="1423">
        <v>154</v>
      </c>
      <c r="B165" s="1589"/>
      <c r="C165" s="1558"/>
      <c r="D165" s="1163" t="s">
        <v>1064</v>
      </c>
      <c r="E165" s="1560"/>
      <c r="F165" s="1560"/>
      <c r="G165" s="1562"/>
      <c r="H165" s="1563"/>
      <c r="I165" s="1586"/>
      <c r="J165" s="1587"/>
      <c r="K165" s="1560">
        <v>295</v>
      </c>
      <c r="L165" s="1560"/>
      <c r="M165" s="1560">
        <v>39705</v>
      </c>
      <c r="N165" s="1587"/>
      <c r="O165" s="1576">
        <f>SUM(I165:N165)</f>
        <v>40000</v>
      </c>
      <c r="P165" s="1567"/>
    </row>
    <row r="166" spans="1:16" ht="18" customHeight="1" x14ac:dyDescent="0.35">
      <c r="A166" s="1423">
        <v>155</v>
      </c>
      <c r="B166" s="1589"/>
      <c r="C166" s="1558"/>
      <c r="D166" s="1174" t="s">
        <v>1012</v>
      </c>
      <c r="E166" s="1560"/>
      <c r="F166" s="1560"/>
      <c r="G166" s="1562"/>
      <c r="H166" s="1563"/>
      <c r="I166" s="1590"/>
      <c r="J166" s="1560"/>
      <c r="K166" s="1598"/>
      <c r="L166" s="1560"/>
      <c r="M166" s="1598"/>
      <c r="N166" s="1560"/>
      <c r="O166" s="1599">
        <f>SUM(I166:N166)</f>
        <v>0</v>
      </c>
      <c r="P166" s="1567"/>
    </row>
    <row r="167" spans="1:16" ht="18" customHeight="1" x14ac:dyDescent="0.35">
      <c r="A167" s="1423">
        <v>156</v>
      </c>
      <c r="B167" s="1589"/>
      <c r="C167" s="1558"/>
      <c r="D167" s="1163" t="s">
        <v>1116</v>
      </c>
      <c r="E167" s="1560"/>
      <c r="F167" s="1560"/>
      <c r="G167" s="1562"/>
      <c r="H167" s="1563"/>
      <c r="I167" s="1590"/>
      <c r="J167" s="1560"/>
      <c r="K167" s="1560">
        <f>SUM(K165:K166)</f>
        <v>295</v>
      </c>
      <c r="L167" s="1560"/>
      <c r="M167" s="1560">
        <f>SUM(M165:M166)</f>
        <v>39705</v>
      </c>
      <c r="N167" s="1560"/>
      <c r="O167" s="1576">
        <f>SUM(I167:N167)</f>
        <v>40000</v>
      </c>
      <c r="P167" s="1567"/>
    </row>
    <row r="168" spans="1:16" ht="53.25" customHeight="1" x14ac:dyDescent="0.35">
      <c r="A168" s="1423">
        <v>157</v>
      </c>
      <c r="B168" s="1589"/>
      <c r="C168" s="1582">
        <v>32</v>
      </c>
      <c r="D168" s="1600" t="s">
        <v>702</v>
      </c>
      <c r="E168" s="1560"/>
      <c r="F168" s="1560"/>
      <c r="G168" s="1562"/>
      <c r="H168" s="1563" t="s">
        <v>24</v>
      </c>
      <c r="I168" s="1586"/>
      <c r="J168" s="1587"/>
      <c r="K168" s="1587"/>
      <c r="L168" s="1587"/>
      <c r="M168" s="1587"/>
      <c r="N168" s="1587"/>
      <c r="O168" s="1588"/>
      <c r="P168" s="1567"/>
    </row>
    <row r="169" spans="1:16" ht="18" customHeight="1" x14ac:dyDescent="0.35">
      <c r="A169" s="1423">
        <v>158</v>
      </c>
      <c r="B169" s="1589"/>
      <c r="C169" s="1558"/>
      <c r="D169" s="1585" t="s">
        <v>311</v>
      </c>
      <c r="E169" s="1560">
        <f>F169+G169+O172+P169</f>
        <v>19985</v>
      </c>
      <c r="F169" s="1560"/>
      <c r="G169" s="1562"/>
      <c r="H169" s="1563"/>
      <c r="I169" s="1586"/>
      <c r="J169" s="1587"/>
      <c r="K169" s="1587">
        <v>19985</v>
      </c>
      <c r="L169" s="1587"/>
      <c r="M169" s="1587"/>
      <c r="N169" s="1587"/>
      <c r="O169" s="1566">
        <f>SUM(I169:N169)</f>
        <v>19985</v>
      </c>
      <c r="P169" s="1567"/>
    </row>
    <row r="170" spans="1:16" ht="18" customHeight="1" x14ac:dyDescent="0.35">
      <c r="A170" s="1423">
        <v>159</v>
      </c>
      <c r="B170" s="1589"/>
      <c r="C170" s="1558"/>
      <c r="D170" s="1163" t="s">
        <v>1064</v>
      </c>
      <c r="E170" s="1560"/>
      <c r="F170" s="1560"/>
      <c r="G170" s="1562"/>
      <c r="H170" s="1563"/>
      <c r="I170" s="1586"/>
      <c r="J170" s="1587"/>
      <c r="K170" s="1560">
        <v>19985</v>
      </c>
      <c r="L170" s="1587"/>
      <c r="M170" s="1587"/>
      <c r="N170" s="1587"/>
      <c r="O170" s="1576">
        <f>SUM(I170:N170)</f>
        <v>19985</v>
      </c>
      <c r="P170" s="1567"/>
    </row>
    <row r="171" spans="1:16" ht="18" customHeight="1" x14ac:dyDescent="0.35">
      <c r="A171" s="1423">
        <v>160</v>
      </c>
      <c r="B171" s="1589"/>
      <c r="C171" s="1558"/>
      <c r="D171" s="1174" t="s">
        <v>999</v>
      </c>
      <c r="E171" s="1560"/>
      <c r="F171" s="1560"/>
      <c r="G171" s="1562"/>
      <c r="H171" s="1563"/>
      <c r="I171" s="1590"/>
      <c r="J171" s="1560"/>
      <c r="K171" s="1560"/>
      <c r="L171" s="1560"/>
      <c r="M171" s="1560"/>
      <c r="N171" s="1560"/>
      <c r="O171" s="1578">
        <f>SUM(I171:N171)</f>
        <v>0</v>
      </c>
      <c r="P171" s="1567"/>
    </row>
    <row r="172" spans="1:16" ht="18" customHeight="1" x14ac:dyDescent="0.35">
      <c r="A172" s="1423">
        <v>161</v>
      </c>
      <c r="B172" s="1589"/>
      <c r="C172" s="1558"/>
      <c r="D172" s="1163" t="s">
        <v>1116</v>
      </c>
      <c r="E172" s="1560"/>
      <c r="F172" s="1560"/>
      <c r="G172" s="1562"/>
      <c r="H172" s="1563"/>
      <c r="I172" s="1590"/>
      <c r="J172" s="1560"/>
      <c r="K172" s="1560">
        <f>SUM(K170:K171)</f>
        <v>19985</v>
      </c>
      <c r="L172" s="1560"/>
      <c r="M172" s="1560"/>
      <c r="N172" s="1560"/>
      <c r="O172" s="1576">
        <f>SUM(I172:N172)</f>
        <v>19985</v>
      </c>
      <c r="P172" s="1567"/>
    </row>
    <row r="173" spans="1:16" ht="22.5" customHeight="1" x14ac:dyDescent="0.35">
      <c r="A173" s="1423">
        <v>162</v>
      </c>
      <c r="B173" s="1589"/>
      <c r="C173" s="1558">
        <v>33</v>
      </c>
      <c r="D173" s="1466" t="s">
        <v>703</v>
      </c>
      <c r="E173" s="1560"/>
      <c r="F173" s="1560"/>
      <c r="G173" s="1562"/>
      <c r="H173" s="1563" t="s">
        <v>24</v>
      </c>
      <c r="I173" s="1586"/>
      <c r="J173" s="1587"/>
      <c r="K173" s="1587"/>
      <c r="L173" s="1587"/>
      <c r="M173" s="1587"/>
      <c r="N173" s="1587"/>
      <c r="O173" s="1588"/>
      <c r="P173" s="1567"/>
    </row>
    <row r="174" spans="1:16" ht="18" customHeight="1" x14ac:dyDescent="0.35">
      <c r="A174" s="1423">
        <v>163</v>
      </c>
      <c r="B174" s="1589"/>
      <c r="C174" s="1558"/>
      <c r="D174" s="1585" t="s">
        <v>311</v>
      </c>
      <c r="E174" s="1560">
        <f>F174+G174+O177+P174</f>
        <v>0</v>
      </c>
      <c r="F174" s="1560"/>
      <c r="G174" s="1562"/>
      <c r="H174" s="1563"/>
      <c r="I174" s="1586"/>
      <c r="J174" s="1587"/>
      <c r="K174" s="1587">
        <v>52500</v>
      </c>
      <c r="L174" s="1587"/>
      <c r="M174" s="1587"/>
      <c r="N174" s="1587"/>
      <c r="O174" s="1566">
        <f>SUM(I174:N174)</f>
        <v>52500</v>
      </c>
      <c r="P174" s="1567">
        <f>105000-105000</f>
        <v>0</v>
      </c>
    </row>
    <row r="175" spans="1:16" ht="18" customHeight="1" x14ac:dyDescent="0.35">
      <c r="A175" s="1423">
        <v>164</v>
      </c>
      <c r="B175" s="1589"/>
      <c r="C175" s="1558"/>
      <c r="D175" s="1163" t="s">
        <v>1064</v>
      </c>
      <c r="E175" s="1560"/>
      <c r="F175" s="1560"/>
      <c r="G175" s="1562"/>
      <c r="H175" s="1563"/>
      <c r="I175" s="1586"/>
      <c r="J175" s="1587"/>
      <c r="K175" s="1560">
        <v>0</v>
      </c>
      <c r="L175" s="1587"/>
      <c r="M175" s="1587"/>
      <c r="N175" s="1587"/>
      <c r="O175" s="1576">
        <f>SUM(I175:N175)</f>
        <v>0</v>
      </c>
      <c r="P175" s="1567"/>
    </row>
    <row r="176" spans="1:16" ht="18" customHeight="1" x14ac:dyDescent="0.35">
      <c r="A176" s="1423">
        <v>165</v>
      </c>
      <c r="B176" s="1589"/>
      <c r="C176" s="1558"/>
      <c r="D176" s="1174" t="s">
        <v>1012</v>
      </c>
      <c r="E176" s="1560"/>
      <c r="F176" s="1560"/>
      <c r="G176" s="1562"/>
      <c r="H176" s="1563"/>
      <c r="I176" s="1590"/>
      <c r="J176" s="1560"/>
      <c r="K176" s="1560"/>
      <c r="L176" s="1560"/>
      <c r="M176" s="1560"/>
      <c r="N176" s="1560"/>
      <c r="O176" s="1578">
        <f>SUM(I176:N176)</f>
        <v>0</v>
      </c>
      <c r="P176" s="1567"/>
    </row>
    <row r="177" spans="1:261" ht="18" customHeight="1" x14ac:dyDescent="0.35">
      <c r="A177" s="1423">
        <v>166</v>
      </c>
      <c r="B177" s="1589"/>
      <c r="C177" s="1558"/>
      <c r="D177" s="1163" t="s">
        <v>1116</v>
      </c>
      <c r="E177" s="1560"/>
      <c r="F177" s="1560"/>
      <c r="G177" s="1562"/>
      <c r="H177" s="1563"/>
      <c r="I177" s="1590"/>
      <c r="J177" s="1560"/>
      <c r="K177" s="1560">
        <f>SUM(K175:K176)</f>
        <v>0</v>
      </c>
      <c r="L177" s="1560"/>
      <c r="M177" s="1560"/>
      <c r="N177" s="1560"/>
      <c r="O177" s="1576">
        <f>SUM(I177:N177)</f>
        <v>0</v>
      </c>
      <c r="P177" s="1567"/>
    </row>
    <row r="178" spans="1:261" ht="22.5" customHeight="1" x14ac:dyDescent="0.35">
      <c r="A178" s="1423">
        <v>167</v>
      </c>
      <c r="B178" s="1589"/>
      <c r="C178" s="1558">
        <v>34</v>
      </c>
      <c r="D178" s="150" t="s">
        <v>705</v>
      </c>
      <c r="E178" s="1560"/>
      <c r="F178" s="1560"/>
      <c r="G178" s="1562"/>
      <c r="H178" s="1563" t="s">
        <v>24</v>
      </c>
      <c r="I178" s="1586"/>
      <c r="J178" s="1587"/>
      <c r="K178" s="1587"/>
      <c r="L178" s="1587"/>
      <c r="M178" s="1587"/>
      <c r="N178" s="1587"/>
      <c r="O178" s="1588"/>
      <c r="P178" s="1567"/>
    </row>
    <row r="179" spans="1:261" ht="18" customHeight="1" x14ac:dyDescent="0.35">
      <c r="A179" s="1423">
        <v>168</v>
      </c>
      <c r="B179" s="1589"/>
      <c r="C179" s="1558"/>
      <c r="D179" s="1585" t="s">
        <v>311</v>
      </c>
      <c r="E179" s="1560">
        <f>F179+G179+O182+P179</f>
        <v>555</v>
      </c>
      <c r="F179" s="1560"/>
      <c r="G179" s="1562"/>
      <c r="H179" s="1563"/>
      <c r="I179" s="1586"/>
      <c r="J179" s="1587"/>
      <c r="K179" s="1587">
        <v>150</v>
      </c>
      <c r="L179" s="1587"/>
      <c r="M179" s="1587"/>
      <c r="N179" s="1587"/>
      <c r="O179" s="1566">
        <f>SUM(I179:N179)</f>
        <v>150</v>
      </c>
      <c r="P179" s="1567"/>
    </row>
    <row r="180" spans="1:261" ht="18" customHeight="1" x14ac:dyDescent="0.35">
      <c r="A180" s="1423">
        <v>169</v>
      </c>
      <c r="B180" s="1589"/>
      <c r="C180" s="1558"/>
      <c r="D180" s="1163" t="s">
        <v>1064</v>
      </c>
      <c r="E180" s="1560"/>
      <c r="F180" s="1560"/>
      <c r="G180" s="1562"/>
      <c r="H180" s="1563"/>
      <c r="I180" s="1586"/>
      <c r="J180" s="1587"/>
      <c r="K180" s="1560">
        <v>155</v>
      </c>
      <c r="L180" s="1560">
        <v>400</v>
      </c>
      <c r="M180" s="1587"/>
      <c r="N180" s="1587"/>
      <c r="O180" s="1576">
        <f>SUM(I180:N180)</f>
        <v>555</v>
      </c>
      <c r="P180" s="1567"/>
    </row>
    <row r="181" spans="1:261" ht="18" customHeight="1" x14ac:dyDescent="0.35">
      <c r="A181" s="1423">
        <v>170</v>
      </c>
      <c r="B181" s="1589"/>
      <c r="C181" s="1558"/>
      <c r="D181" s="1174" t="s">
        <v>1012</v>
      </c>
      <c r="E181" s="1560"/>
      <c r="F181" s="1560"/>
      <c r="G181" s="1562"/>
      <c r="H181" s="1563"/>
      <c r="I181" s="1590"/>
      <c r="J181" s="1560"/>
      <c r="K181" s="1598"/>
      <c r="L181" s="1598"/>
      <c r="M181" s="1560"/>
      <c r="N181" s="1560"/>
      <c r="O181" s="1578">
        <f>SUM(I181:N181)</f>
        <v>0</v>
      </c>
      <c r="P181" s="1567"/>
    </row>
    <row r="182" spans="1:261" ht="18" customHeight="1" x14ac:dyDescent="0.35">
      <c r="A182" s="1423">
        <v>171</v>
      </c>
      <c r="B182" s="1589"/>
      <c r="C182" s="1558"/>
      <c r="D182" s="1163" t="s">
        <v>1116</v>
      </c>
      <c r="E182" s="1560"/>
      <c r="F182" s="1560"/>
      <c r="G182" s="1562"/>
      <c r="H182" s="1563"/>
      <c r="I182" s="1590"/>
      <c r="J182" s="1560"/>
      <c r="K182" s="1560">
        <f>SUM(K180:K181)</f>
        <v>155</v>
      </c>
      <c r="L182" s="1560">
        <f>SUM(L180:L181)</f>
        <v>400</v>
      </c>
      <c r="M182" s="1560"/>
      <c r="N182" s="1560"/>
      <c r="O182" s="1576">
        <f>SUM(I182:N182)</f>
        <v>555</v>
      </c>
      <c r="P182" s="1567"/>
    </row>
    <row r="183" spans="1:261" s="272" customFormat="1" ht="37.5" customHeight="1" x14ac:dyDescent="0.35">
      <c r="A183" s="1423">
        <v>172</v>
      </c>
      <c r="B183" s="1557"/>
      <c r="C183" s="1582">
        <v>35</v>
      </c>
      <c r="D183" s="150" t="s">
        <v>468</v>
      </c>
      <c r="E183" s="1560"/>
      <c r="F183" s="1560"/>
      <c r="G183" s="1562"/>
      <c r="H183" s="1563" t="s">
        <v>24</v>
      </c>
      <c r="I183" s="1586"/>
      <c r="J183" s="1587"/>
      <c r="K183" s="1587"/>
      <c r="L183" s="1587"/>
      <c r="M183" s="1587"/>
      <c r="N183" s="1587"/>
      <c r="O183" s="1566"/>
      <c r="P183" s="1567"/>
      <c r="Q183" s="148"/>
      <c r="R183" s="148"/>
      <c r="S183" s="148"/>
      <c r="T183" s="148"/>
      <c r="U183" s="148"/>
      <c r="V183" s="148"/>
      <c r="W183" s="148"/>
      <c r="X183" s="148"/>
      <c r="Y183" s="148"/>
      <c r="Z183" s="148"/>
      <c r="AA183" s="148"/>
      <c r="AB183" s="148"/>
      <c r="AC183" s="148"/>
      <c r="AD183" s="148"/>
      <c r="AE183" s="148"/>
      <c r="AF183" s="148"/>
      <c r="AG183" s="148"/>
      <c r="AH183" s="148"/>
      <c r="AI183" s="148"/>
      <c r="AJ183" s="148"/>
      <c r="AK183" s="148"/>
      <c r="AL183" s="148"/>
      <c r="AM183" s="148"/>
      <c r="AN183" s="148"/>
      <c r="AO183" s="148"/>
      <c r="AP183" s="148"/>
      <c r="AQ183" s="148"/>
      <c r="AR183" s="148"/>
      <c r="AS183" s="148"/>
      <c r="AT183" s="148"/>
      <c r="AU183" s="148"/>
      <c r="AV183" s="148"/>
      <c r="AW183" s="148"/>
      <c r="AX183" s="148"/>
      <c r="AY183" s="148"/>
      <c r="AZ183" s="148"/>
      <c r="BA183" s="148"/>
      <c r="BB183" s="148"/>
      <c r="BC183" s="148"/>
      <c r="BD183" s="148"/>
      <c r="BE183" s="148"/>
      <c r="BF183" s="148"/>
      <c r="BG183" s="148"/>
      <c r="BH183" s="148"/>
      <c r="BI183" s="148"/>
      <c r="BJ183" s="148"/>
      <c r="BK183" s="148"/>
      <c r="BL183" s="148"/>
      <c r="BM183" s="148"/>
      <c r="BN183" s="148"/>
      <c r="BO183" s="148"/>
      <c r="BP183" s="148"/>
      <c r="BQ183" s="148"/>
      <c r="BR183" s="148"/>
      <c r="BS183" s="148"/>
      <c r="BT183" s="148"/>
      <c r="BU183" s="148"/>
      <c r="BV183" s="148"/>
      <c r="BW183" s="148"/>
      <c r="BX183" s="148"/>
      <c r="BY183" s="148"/>
      <c r="BZ183" s="148"/>
      <c r="CA183" s="148"/>
      <c r="CB183" s="148"/>
      <c r="CC183" s="148"/>
      <c r="CD183" s="148"/>
      <c r="CE183" s="148"/>
      <c r="CF183" s="148"/>
      <c r="CG183" s="148"/>
      <c r="CH183" s="148"/>
      <c r="CI183" s="148"/>
      <c r="CJ183" s="148"/>
      <c r="CK183" s="148"/>
      <c r="CL183" s="148"/>
      <c r="CM183" s="148"/>
      <c r="CN183" s="148"/>
      <c r="CO183" s="148"/>
      <c r="CP183" s="148"/>
      <c r="CQ183" s="148"/>
      <c r="CR183" s="148"/>
      <c r="CS183" s="148"/>
      <c r="CT183" s="148"/>
      <c r="CU183" s="148"/>
      <c r="CV183" s="148"/>
      <c r="CW183" s="148"/>
      <c r="CX183" s="148"/>
      <c r="CY183" s="148"/>
      <c r="CZ183" s="148"/>
      <c r="DA183" s="148"/>
      <c r="DB183" s="148"/>
      <c r="DC183" s="148"/>
      <c r="DD183" s="148"/>
      <c r="DE183" s="148"/>
      <c r="DF183" s="148"/>
      <c r="DG183" s="148"/>
      <c r="DH183" s="148"/>
      <c r="DI183" s="148"/>
      <c r="DJ183" s="148"/>
      <c r="DK183" s="148"/>
      <c r="DL183" s="148"/>
      <c r="DM183" s="148"/>
      <c r="DN183" s="148"/>
      <c r="DO183" s="148"/>
      <c r="DP183" s="148"/>
      <c r="DQ183" s="148"/>
      <c r="DR183" s="148"/>
      <c r="DS183" s="148"/>
      <c r="DT183" s="148"/>
      <c r="DU183" s="148"/>
      <c r="DV183" s="148"/>
      <c r="DW183" s="148"/>
      <c r="DX183" s="148"/>
      <c r="DY183" s="148"/>
      <c r="DZ183" s="148"/>
      <c r="EA183" s="148"/>
      <c r="EB183" s="148"/>
      <c r="EC183" s="148"/>
      <c r="ED183" s="148"/>
      <c r="EE183" s="148"/>
      <c r="EF183" s="148"/>
      <c r="EG183" s="148"/>
      <c r="EH183" s="148"/>
      <c r="EI183" s="148"/>
      <c r="EJ183" s="148"/>
      <c r="EK183" s="148"/>
      <c r="EL183" s="148"/>
      <c r="EM183" s="148"/>
      <c r="EN183" s="148"/>
      <c r="EO183" s="148"/>
      <c r="EP183" s="148"/>
      <c r="EQ183" s="148"/>
      <c r="ER183" s="148"/>
      <c r="ES183" s="148"/>
      <c r="ET183" s="148"/>
      <c r="EU183" s="148"/>
      <c r="EV183" s="148"/>
      <c r="EW183" s="148"/>
      <c r="EX183" s="148"/>
      <c r="EY183" s="148"/>
      <c r="EZ183" s="148"/>
      <c r="FA183" s="148"/>
      <c r="FB183" s="148"/>
      <c r="FC183" s="148"/>
      <c r="FD183" s="148"/>
      <c r="FE183" s="148"/>
      <c r="FF183" s="148"/>
      <c r="FG183" s="148"/>
      <c r="FH183" s="148"/>
      <c r="FI183" s="148"/>
      <c r="FJ183" s="148"/>
      <c r="FK183" s="148"/>
      <c r="FL183" s="148"/>
      <c r="FM183" s="148"/>
      <c r="FN183" s="148"/>
      <c r="FO183" s="148"/>
      <c r="FP183" s="148"/>
      <c r="FQ183" s="148"/>
      <c r="FR183" s="148"/>
      <c r="FS183" s="148"/>
      <c r="FT183" s="148"/>
      <c r="FU183" s="148"/>
      <c r="FV183" s="148"/>
      <c r="FW183" s="148"/>
      <c r="FX183" s="148"/>
      <c r="FY183" s="148"/>
      <c r="FZ183" s="148"/>
      <c r="GA183" s="148"/>
      <c r="GB183" s="148"/>
      <c r="GC183" s="148"/>
      <c r="GD183" s="148"/>
      <c r="GE183" s="148"/>
      <c r="GF183" s="148"/>
      <c r="GG183" s="148"/>
      <c r="GH183" s="148"/>
      <c r="GI183" s="148"/>
      <c r="GJ183" s="148"/>
      <c r="GK183" s="148"/>
      <c r="GL183" s="148"/>
      <c r="GM183" s="148"/>
      <c r="GN183" s="148"/>
      <c r="GO183" s="148"/>
      <c r="GP183" s="148"/>
      <c r="GQ183" s="148"/>
      <c r="GR183" s="148"/>
      <c r="GS183" s="148"/>
      <c r="GT183" s="148"/>
      <c r="GU183" s="148"/>
      <c r="GV183" s="148"/>
      <c r="GW183" s="148"/>
      <c r="GX183" s="148"/>
      <c r="GY183" s="148"/>
      <c r="GZ183" s="148"/>
      <c r="HA183" s="148"/>
      <c r="HB183" s="148"/>
      <c r="HC183" s="148"/>
      <c r="HD183" s="148"/>
      <c r="HE183" s="148"/>
      <c r="HF183" s="148"/>
      <c r="HG183" s="148"/>
      <c r="HH183" s="148"/>
      <c r="HI183" s="148"/>
      <c r="HJ183" s="148"/>
      <c r="HK183" s="148"/>
      <c r="HL183" s="148"/>
      <c r="HM183" s="148"/>
      <c r="HN183" s="148"/>
      <c r="HO183" s="148"/>
      <c r="HP183" s="148"/>
      <c r="HQ183" s="148"/>
      <c r="HR183" s="148"/>
      <c r="HS183" s="148"/>
      <c r="HT183" s="148"/>
      <c r="HU183" s="148"/>
      <c r="HV183" s="148"/>
      <c r="HW183" s="148"/>
      <c r="HX183" s="148"/>
      <c r="HY183" s="148"/>
      <c r="HZ183" s="148"/>
      <c r="IA183" s="148"/>
      <c r="IB183" s="148"/>
      <c r="IC183" s="148"/>
      <c r="ID183" s="148"/>
      <c r="IE183" s="148"/>
      <c r="IF183" s="148"/>
      <c r="IG183" s="148"/>
      <c r="IH183" s="148"/>
      <c r="II183" s="148"/>
      <c r="IJ183" s="148"/>
      <c r="IK183" s="148"/>
      <c r="IL183" s="148"/>
      <c r="IM183" s="148"/>
      <c r="IN183" s="148"/>
      <c r="IO183" s="148"/>
      <c r="IP183" s="148"/>
      <c r="IQ183" s="148"/>
      <c r="IR183" s="148"/>
      <c r="IS183" s="148"/>
      <c r="IT183" s="148"/>
      <c r="IU183" s="148"/>
      <c r="IV183" s="148"/>
      <c r="IW183" s="148"/>
      <c r="IX183" s="148"/>
      <c r="IY183" s="148"/>
      <c r="IZ183" s="148"/>
      <c r="JA183" s="148"/>
    </row>
    <row r="184" spans="1:261" s="272" customFormat="1" ht="18" customHeight="1" x14ac:dyDescent="0.35">
      <c r="A184" s="1423">
        <v>173</v>
      </c>
      <c r="B184" s="1557"/>
      <c r="C184" s="1582"/>
      <c r="D184" s="1585" t="s">
        <v>311</v>
      </c>
      <c r="E184" s="1560">
        <f>F184+G184+O187+P184</f>
        <v>6520</v>
      </c>
      <c r="F184" s="1560">
        <v>1582</v>
      </c>
      <c r="G184" s="1562">
        <f>2107+2506</f>
        <v>4613</v>
      </c>
      <c r="H184" s="1563"/>
      <c r="I184" s="1586"/>
      <c r="J184" s="1587"/>
      <c r="K184" s="1587">
        <v>239</v>
      </c>
      <c r="L184" s="1587"/>
      <c r="M184" s="1587"/>
      <c r="N184" s="1587"/>
      <c r="O184" s="1566">
        <f>SUM(I184:N184)</f>
        <v>239</v>
      </c>
      <c r="P184" s="1567"/>
      <c r="Q184" s="148"/>
      <c r="R184" s="148"/>
      <c r="S184" s="148"/>
      <c r="T184" s="148"/>
      <c r="U184" s="148"/>
      <c r="V184" s="148"/>
      <c r="W184" s="148"/>
      <c r="X184" s="148"/>
      <c r="Y184" s="148"/>
      <c r="Z184" s="148"/>
      <c r="AA184" s="148"/>
      <c r="AB184" s="148"/>
      <c r="AC184" s="148"/>
      <c r="AD184" s="148"/>
      <c r="AE184" s="148"/>
      <c r="AF184" s="148"/>
      <c r="AG184" s="148"/>
      <c r="AH184" s="148"/>
      <c r="AI184" s="148"/>
      <c r="AJ184" s="148"/>
      <c r="AK184" s="148"/>
      <c r="AL184" s="148"/>
      <c r="AM184" s="148"/>
      <c r="AN184" s="148"/>
      <c r="AO184" s="148"/>
      <c r="AP184" s="148"/>
      <c r="AQ184" s="148"/>
      <c r="AR184" s="148"/>
      <c r="AS184" s="148"/>
      <c r="AT184" s="148"/>
      <c r="AU184" s="148"/>
      <c r="AV184" s="148"/>
      <c r="AW184" s="148"/>
      <c r="AX184" s="148"/>
      <c r="AY184" s="148"/>
      <c r="AZ184" s="148"/>
      <c r="BA184" s="148"/>
      <c r="BB184" s="148"/>
      <c r="BC184" s="148"/>
      <c r="BD184" s="148"/>
      <c r="BE184" s="148"/>
      <c r="BF184" s="148"/>
      <c r="BG184" s="148"/>
      <c r="BH184" s="148"/>
      <c r="BI184" s="148"/>
      <c r="BJ184" s="148"/>
      <c r="BK184" s="148"/>
      <c r="BL184" s="148"/>
      <c r="BM184" s="148"/>
      <c r="BN184" s="148"/>
      <c r="BO184" s="148"/>
      <c r="BP184" s="148"/>
      <c r="BQ184" s="148"/>
      <c r="BR184" s="148"/>
      <c r="BS184" s="148"/>
      <c r="BT184" s="148"/>
      <c r="BU184" s="148"/>
      <c r="BV184" s="148"/>
      <c r="BW184" s="148"/>
      <c r="BX184" s="148"/>
      <c r="BY184" s="148"/>
      <c r="BZ184" s="148"/>
      <c r="CA184" s="148"/>
      <c r="CB184" s="148"/>
      <c r="CC184" s="148"/>
      <c r="CD184" s="148"/>
      <c r="CE184" s="148"/>
      <c r="CF184" s="148"/>
      <c r="CG184" s="148"/>
      <c r="CH184" s="148"/>
      <c r="CI184" s="148"/>
      <c r="CJ184" s="148"/>
      <c r="CK184" s="148"/>
      <c r="CL184" s="148"/>
      <c r="CM184" s="148"/>
      <c r="CN184" s="148"/>
      <c r="CO184" s="148"/>
      <c r="CP184" s="148"/>
      <c r="CQ184" s="148"/>
      <c r="CR184" s="148"/>
      <c r="CS184" s="148"/>
      <c r="CT184" s="148"/>
      <c r="CU184" s="148"/>
      <c r="CV184" s="148"/>
      <c r="CW184" s="148"/>
      <c r="CX184" s="148"/>
      <c r="CY184" s="148"/>
      <c r="CZ184" s="148"/>
      <c r="DA184" s="148"/>
      <c r="DB184" s="148"/>
      <c r="DC184" s="148"/>
      <c r="DD184" s="148"/>
      <c r="DE184" s="148"/>
      <c r="DF184" s="148"/>
      <c r="DG184" s="148"/>
      <c r="DH184" s="148"/>
      <c r="DI184" s="148"/>
      <c r="DJ184" s="148"/>
      <c r="DK184" s="148"/>
      <c r="DL184" s="148"/>
      <c r="DM184" s="148"/>
      <c r="DN184" s="148"/>
      <c r="DO184" s="148"/>
      <c r="DP184" s="148"/>
      <c r="DQ184" s="148"/>
      <c r="DR184" s="148"/>
      <c r="DS184" s="148"/>
      <c r="DT184" s="148"/>
      <c r="DU184" s="148"/>
      <c r="DV184" s="148"/>
      <c r="DW184" s="148"/>
      <c r="DX184" s="148"/>
      <c r="DY184" s="148"/>
      <c r="DZ184" s="148"/>
      <c r="EA184" s="148"/>
      <c r="EB184" s="148"/>
      <c r="EC184" s="148"/>
      <c r="ED184" s="148"/>
      <c r="EE184" s="148"/>
      <c r="EF184" s="148"/>
      <c r="EG184" s="148"/>
      <c r="EH184" s="148"/>
      <c r="EI184" s="148"/>
      <c r="EJ184" s="148"/>
      <c r="EK184" s="148"/>
      <c r="EL184" s="148"/>
      <c r="EM184" s="148"/>
      <c r="EN184" s="148"/>
      <c r="EO184" s="148"/>
      <c r="EP184" s="148"/>
      <c r="EQ184" s="148"/>
      <c r="ER184" s="148"/>
      <c r="ES184" s="148"/>
      <c r="ET184" s="148"/>
      <c r="EU184" s="148"/>
      <c r="EV184" s="148"/>
      <c r="EW184" s="148"/>
      <c r="EX184" s="148"/>
      <c r="EY184" s="148"/>
      <c r="EZ184" s="148"/>
      <c r="FA184" s="148"/>
      <c r="FB184" s="148"/>
      <c r="FC184" s="148"/>
      <c r="FD184" s="148"/>
      <c r="FE184" s="148"/>
      <c r="FF184" s="148"/>
      <c r="FG184" s="148"/>
      <c r="FH184" s="148"/>
      <c r="FI184" s="148"/>
      <c r="FJ184" s="148"/>
      <c r="FK184" s="148"/>
      <c r="FL184" s="148"/>
      <c r="FM184" s="148"/>
      <c r="FN184" s="148"/>
      <c r="FO184" s="148"/>
      <c r="FP184" s="148"/>
      <c r="FQ184" s="148"/>
      <c r="FR184" s="148"/>
      <c r="FS184" s="148"/>
      <c r="FT184" s="148"/>
      <c r="FU184" s="148"/>
      <c r="FV184" s="148"/>
      <c r="FW184" s="148"/>
      <c r="FX184" s="148"/>
      <c r="FY184" s="148"/>
      <c r="FZ184" s="148"/>
      <c r="GA184" s="148"/>
      <c r="GB184" s="148"/>
      <c r="GC184" s="148"/>
      <c r="GD184" s="148"/>
      <c r="GE184" s="148"/>
      <c r="GF184" s="148"/>
      <c r="GG184" s="148"/>
      <c r="GH184" s="148"/>
      <c r="GI184" s="148"/>
      <c r="GJ184" s="148"/>
      <c r="GK184" s="148"/>
      <c r="GL184" s="148"/>
      <c r="GM184" s="148"/>
      <c r="GN184" s="148"/>
      <c r="GO184" s="148"/>
      <c r="GP184" s="148"/>
      <c r="GQ184" s="148"/>
      <c r="GR184" s="148"/>
      <c r="GS184" s="148"/>
      <c r="GT184" s="148"/>
      <c r="GU184" s="148"/>
      <c r="GV184" s="148"/>
      <c r="GW184" s="148"/>
      <c r="GX184" s="148"/>
      <c r="GY184" s="148"/>
      <c r="GZ184" s="148"/>
      <c r="HA184" s="148"/>
      <c r="HB184" s="148"/>
      <c r="HC184" s="148"/>
      <c r="HD184" s="148"/>
      <c r="HE184" s="148"/>
      <c r="HF184" s="148"/>
      <c r="HG184" s="148"/>
      <c r="HH184" s="148"/>
      <c r="HI184" s="148"/>
      <c r="HJ184" s="148"/>
      <c r="HK184" s="148"/>
      <c r="HL184" s="148"/>
      <c r="HM184" s="148"/>
      <c r="HN184" s="148"/>
      <c r="HO184" s="148"/>
      <c r="HP184" s="148"/>
      <c r="HQ184" s="148"/>
      <c r="HR184" s="148"/>
      <c r="HS184" s="148"/>
      <c r="HT184" s="148"/>
      <c r="HU184" s="148"/>
      <c r="HV184" s="148"/>
      <c r="HW184" s="148"/>
      <c r="HX184" s="148"/>
      <c r="HY184" s="148"/>
      <c r="HZ184" s="148"/>
      <c r="IA184" s="148"/>
      <c r="IB184" s="148"/>
      <c r="IC184" s="148"/>
      <c r="ID184" s="148"/>
      <c r="IE184" s="148"/>
      <c r="IF184" s="148"/>
      <c r="IG184" s="148"/>
      <c r="IH184" s="148"/>
      <c r="II184" s="148"/>
      <c r="IJ184" s="148"/>
      <c r="IK184" s="148"/>
      <c r="IL184" s="148"/>
      <c r="IM184" s="148"/>
      <c r="IN184" s="148"/>
      <c r="IO184" s="148"/>
      <c r="IP184" s="148"/>
      <c r="IQ184" s="148"/>
      <c r="IR184" s="148"/>
      <c r="IS184" s="148"/>
      <c r="IT184" s="148"/>
      <c r="IU184" s="148"/>
      <c r="IV184" s="148"/>
      <c r="IW184" s="148"/>
      <c r="IX184" s="148"/>
      <c r="IY184" s="148"/>
      <c r="IZ184" s="148"/>
      <c r="JA184" s="148"/>
    </row>
    <row r="185" spans="1:261" s="272" customFormat="1" ht="18" customHeight="1" x14ac:dyDescent="0.35">
      <c r="A185" s="1423">
        <v>174</v>
      </c>
      <c r="B185" s="1557"/>
      <c r="C185" s="1582"/>
      <c r="D185" s="1163" t="s">
        <v>1064</v>
      </c>
      <c r="E185" s="1560"/>
      <c r="F185" s="1560"/>
      <c r="G185" s="1562"/>
      <c r="H185" s="1563"/>
      <c r="I185" s="1586"/>
      <c r="J185" s="1587"/>
      <c r="K185" s="1560">
        <v>239</v>
      </c>
      <c r="L185" s="1587"/>
      <c r="M185" s="1587"/>
      <c r="N185" s="1587"/>
      <c r="O185" s="1576">
        <f>SUM(I185:N185)</f>
        <v>239</v>
      </c>
      <c r="P185" s="1567"/>
      <c r="Q185" s="148"/>
      <c r="R185" s="148"/>
      <c r="S185" s="148"/>
      <c r="T185" s="148"/>
      <c r="U185" s="148"/>
      <c r="V185" s="148"/>
      <c r="W185" s="148"/>
      <c r="X185" s="148"/>
      <c r="Y185" s="148"/>
      <c r="Z185" s="148"/>
      <c r="AA185" s="148"/>
      <c r="AB185" s="148"/>
      <c r="AC185" s="148"/>
      <c r="AD185" s="148"/>
      <c r="AE185" s="148"/>
      <c r="AF185" s="148"/>
      <c r="AG185" s="148"/>
      <c r="AH185" s="148"/>
      <c r="AI185" s="148"/>
      <c r="AJ185" s="148"/>
      <c r="AK185" s="148"/>
      <c r="AL185" s="148"/>
      <c r="AM185" s="148"/>
      <c r="AN185" s="148"/>
      <c r="AO185" s="148"/>
      <c r="AP185" s="148"/>
      <c r="AQ185" s="148"/>
      <c r="AR185" s="148"/>
      <c r="AS185" s="148"/>
      <c r="AT185" s="148"/>
      <c r="AU185" s="148"/>
      <c r="AV185" s="148"/>
      <c r="AW185" s="148"/>
      <c r="AX185" s="148"/>
      <c r="AY185" s="148"/>
      <c r="AZ185" s="148"/>
      <c r="BA185" s="148"/>
      <c r="BB185" s="148"/>
      <c r="BC185" s="148"/>
      <c r="BD185" s="148"/>
      <c r="BE185" s="148"/>
      <c r="BF185" s="148"/>
      <c r="BG185" s="148"/>
      <c r="BH185" s="148"/>
      <c r="BI185" s="148"/>
      <c r="BJ185" s="148"/>
      <c r="BK185" s="148"/>
      <c r="BL185" s="148"/>
      <c r="BM185" s="148"/>
      <c r="BN185" s="148"/>
      <c r="BO185" s="148"/>
      <c r="BP185" s="148"/>
      <c r="BQ185" s="148"/>
      <c r="BR185" s="148"/>
      <c r="BS185" s="148"/>
      <c r="BT185" s="148"/>
      <c r="BU185" s="148"/>
      <c r="BV185" s="148"/>
      <c r="BW185" s="148"/>
      <c r="BX185" s="148"/>
      <c r="BY185" s="148"/>
      <c r="BZ185" s="148"/>
      <c r="CA185" s="148"/>
      <c r="CB185" s="148"/>
      <c r="CC185" s="148"/>
      <c r="CD185" s="148"/>
      <c r="CE185" s="148"/>
      <c r="CF185" s="148"/>
      <c r="CG185" s="148"/>
      <c r="CH185" s="148"/>
      <c r="CI185" s="148"/>
      <c r="CJ185" s="148"/>
      <c r="CK185" s="148"/>
      <c r="CL185" s="148"/>
      <c r="CM185" s="148"/>
      <c r="CN185" s="148"/>
      <c r="CO185" s="148"/>
      <c r="CP185" s="148"/>
      <c r="CQ185" s="148"/>
      <c r="CR185" s="148"/>
      <c r="CS185" s="148"/>
      <c r="CT185" s="148"/>
      <c r="CU185" s="148"/>
      <c r="CV185" s="148"/>
      <c r="CW185" s="148"/>
      <c r="CX185" s="148"/>
      <c r="CY185" s="148"/>
      <c r="CZ185" s="148"/>
      <c r="DA185" s="148"/>
      <c r="DB185" s="148"/>
      <c r="DC185" s="148"/>
      <c r="DD185" s="148"/>
      <c r="DE185" s="148"/>
      <c r="DF185" s="148"/>
      <c r="DG185" s="148"/>
      <c r="DH185" s="148"/>
      <c r="DI185" s="148"/>
      <c r="DJ185" s="148"/>
      <c r="DK185" s="148"/>
      <c r="DL185" s="148"/>
      <c r="DM185" s="148"/>
      <c r="DN185" s="148"/>
      <c r="DO185" s="148"/>
      <c r="DP185" s="148"/>
      <c r="DQ185" s="148"/>
      <c r="DR185" s="148"/>
      <c r="DS185" s="148"/>
      <c r="DT185" s="148"/>
      <c r="DU185" s="148"/>
      <c r="DV185" s="148"/>
      <c r="DW185" s="148"/>
      <c r="DX185" s="148"/>
      <c r="DY185" s="148"/>
      <c r="DZ185" s="148"/>
      <c r="EA185" s="148"/>
      <c r="EB185" s="148"/>
      <c r="EC185" s="148"/>
      <c r="ED185" s="148"/>
      <c r="EE185" s="148"/>
      <c r="EF185" s="148"/>
      <c r="EG185" s="148"/>
      <c r="EH185" s="148"/>
      <c r="EI185" s="148"/>
      <c r="EJ185" s="148"/>
      <c r="EK185" s="148"/>
      <c r="EL185" s="148"/>
      <c r="EM185" s="148"/>
      <c r="EN185" s="148"/>
      <c r="EO185" s="148"/>
      <c r="EP185" s="148"/>
      <c r="EQ185" s="148"/>
      <c r="ER185" s="148"/>
      <c r="ES185" s="148"/>
      <c r="ET185" s="148"/>
      <c r="EU185" s="148"/>
      <c r="EV185" s="148"/>
      <c r="EW185" s="148"/>
      <c r="EX185" s="148"/>
      <c r="EY185" s="148"/>
      <c r="EZ185" s="148"/>
      <c r="FA185" s="148"/>
      <c r="FB185" s="148"/>
      <c r="FC185" s="148"/>
      <c r="FD185" s="148"/>
      <c r="FE185" s="148"/>
      <c r="FF185" s="148"/>
      <c r="FG185" s="148"/>
      <c r="FH185" s="148"/>
      <c r="FI185" s="148"/>
      <c r="FJ185" s="148"/>
      <c r="FK185" s="148"/>
      <c r="FL185" s="148"/>
      <c r="FM185" s="148"/>
      <c r="FN185" s="148"/>
      <c r="FO185" s="148"/>
      <c r="FP185" s="148"/>
      <c r="FQ185" s="148"/>
      <c r="FR185" s="148"/>
      <c r="FS185" s="148"/>
      <c r="FT185" s="148"/>
      <c r="FU185" s="148"/>
      <c r="FV185" s="148"/>
      <c r="FW185" s="148"/>
      <c r="FX185" s="148"/>
      <c r="FY185" s="148"/>
      <c r="FZ185" s="148"/>
      <c r="GA185" s="148"/>
      <c r="GB185" s="148"/>
      <c r="GC185" s="148"/>
      <c r="GD185" s="148"/>
      <c r="GE185" s="148"/>
      <c r="GF185" s="148"/>
      <c r="GG185" s="148"/>
      <c r="GH185" s="148"/>
      <c r="GI185" s="148"/>
      <c r="GJ185" s="148"/>
      <c r="GK185" s="148"/>
      <c r="GL185" s="148"/>
      <c r="GM185" s="148"/>
      <c r="GN185" s="148"/>
      <c r="GO185" s="148"/>
      <c r="GP185" s="148"/>
      <c r="GQ185" s="148"/>
      <c r="GR185" s="148"/>
      <c r="GS185" s="148"/>
      <c r="GT185" s="148"/>
      <c r="GU185" s="148"/>
      <c r="GV185" s="148"/>
      <c r="GW185" s="148"/>
      <c r="GX185" s="148"/>
      <c r="GY185" s="148"/>
      <c r="GZ185" s="148"/>
      <c r="HA185" s="148"/>
      <c r="HB185" s="148"/>
      <c r="HC185" s="148"/>
      <c r="HD185" s="148"/>
      <c r="HE185" s="148"/>
      <c r="HF185" s="148"/>
      <c r="HG185" s="148"/>
      <c r="HH185" s="148"/>
      <c r="HI185" s="148"/>
      <c r="HJ185" s="148"/>
      <c r="HK185" s="148"/>
      <c r="HL185" s="148"/>
      <c r="HM185" s="148"/>
      <c r="HN185" s="148"/>
      <c r="HO185" s="148"/>
      <c r="HP185" s="148"/>
      <c r="HQ185" s="148"/>
      <c r="HR185" s="148"/>
      <c r="HS185" s="148"/>
      <c r="HT185" s="148"/>
      <c r="HU185" s="148"/>
      <c r="HV185" s="148"/>
      <c r="HW185" s="148"/>
      <c r="HX185" s="148"/>
      <c r="HY185" s="148"/>
      <c r="HZ185" s="148"/>
      <c r="IA185" s="148"/>
      <c r="IB185" s="148"/>
      <c r="IC185" s="148"/>
      <c r="ID185" s="148"/>
      <c r="IE185" s="148"/>
      <c r="IF185" s="148"/>
      <c r="IG185" s="148"/>
      <c r="IH185" s="148"/>
      <c r="II185" s="148"/>
      <c r="IJ185" s="148"/>
      <c r="IK185" s="148"/>
      <c r="IL185" s="148"/>
      <c r="IM185" s="148"/>
      <c r="IN185" s="148"/>
      <c r="IO185" s="148"/>
      <c r="IP185" s="148"/>
      <c r="IQ185" s="148"/>
      <c r="IR185" s="148"/>
      <c r="IS185" s="148"/>
      <c r="IT185" s="148"/>
      <c r="IU185" s="148"/>
      <c r="IV185" s="148"/>
      <c r="IW185" s="148"/>
      <c r="IX185" s="148"/>
      <c r="IY185" s="148"/>
      <c r="IZ185" s="148"/>
      <c r="JA185" s="148"/>
    </row>
    <row r="186" spans="1:261" s="272" customFormat="1" ht="18" customHeight="1" x14ac:dyDescent="0.35">
      <c r="A186" s="1423">
        <v>175</v>
      </c>
      <c r="B186" s="1557"/>
      <c r="C186" s="1582"/>
      <c r="D186" s="1174" t="s">
        <v>990</v>
      </c>
      <c r="E186" s="1560"/>
      <c r="F186" s="1560"/>
      <c r="G186" s="1562"/>
      <c r="H186" s="1563"/>
      <c r="I186" s="1590"/>
      <c r="J186" s="1560"/>
      <c r="K186" s="1598">
        <v>-239</v>
      </c>
      <c r="L186" s="1598">
        <f>239+86</f>
        <v>325</v>
      </c>
      <c r="M186" s="1560"/>
      <c r="N186" s="1560"/>
      <c r="O186" s="1578">
        <f>SUM(I186:N186)</f>
        <v>86</v>
      </c>
      <c r="P186" s="1567"/>
      <c r="Q186" s="148"/>
      <c r="R186" s="148"/>
      <c r="S186" s="148"/>
      <c r="T186" s="148"/>
      <c r="U186" s="148"/>
      <c r="V186" s="148"/>
      <c r="W186" s="148"/>
      <c r="X186" s="148"/>
      <c r="Y186" s="148"/>
      <c r="Z186" s="148"/>
      <c r="AA186" s="148"/>
      <c r="AB186" s="148"/>
      <c r="AC186" s="148"/>
      <c r="AD186" s="148"/>
      <c r="AE186" s="148"/>
      <c r="AF186" s="148"/>
      <c r="AG186" s="148"/>
      <c r="AH186" s="148"/>
      <c r="AI186" s="148"/>
      <c r="AJ186" s="148"/>
      <c r="AK186" s="148"/>
      <c r="AL186" s="148"/>
      <c r="AM186" s="148"/>
      <c r="AN186" s="148"/>
      <c r="AO186" s="148"/>
      <c r="AP186" s="148"/>
      <c r="AQ186" s="148"/>
      <c r="AR186" s="148"/>
      <c r="AS186" s="148"/>
      <c r="AT186" s="148"/>
      <c r="AU186" s="148"/>
      <c r="AV186" s="148"/>
      <c r="AW186" s="148"/>
      <c r="AX186" s="148"/>
      <c r="AY186" s="148"/>
      <c r="AZ186" s="148"/>
      <c r="BA186" s="148"/>
      <c r="BB186" s="148"/>
      <c r="BC186" s="148"/>
      <c r="BD186" s="148"/>
      <c r="BE186" s="148"/>
      <c r="BF186" s="148"/>
      <c r="BG186" s="148"/>
      <c r="BH186" s="148"/>
      <c r="BI186" s="148"/>
      <c r="BJ186" s="148"/>
      <c r="BK186" s="148"/>
      <c r="BL186" s="148"/>
      <c r="BM186" s="148"/>
      <c r="BN186" s="148"/>
      <c r="BO186" s="148"/>
      <c r="BP186" s="148"/>
      <c r="BQ186" s="148"/>
      <c r="BR186" s="148"/>
      <c r="BS186" s="148"/>
      <c r="BT186" s="148"/>
      <c r="BU186" s="148"/>
      <c r="BV186" s="148"/>
      <c r="BW186" s="148"/>
      <c r="BX186" s="148"/>
      <c r="BY186" s="148"/>
      <c r="BZ186" s="148"/>
      <c r="CA186" s="148"/>
      <c r="CB186" s="148"/>
      <c r="CC186" s="148"/>
      <c r="CD186" s="148"/>
      <c r="CE186" s="148"/>
      <c r="CF186" s="148"/>
      <c r="CG186" s="148"/>
      <c r="CH186" s="148"/>
      <c r="CI186" s="148"/>
      <c r="CJ186" s="148"/>
      <c r="CK186" s="148"/>
      <c r="CL186" s="148"/>
      <c r="CM186" s="148"/>
      <c r="CN186" s="148"/>
      <c r="CO186" s="148"/>
      <c r="CP186" s="148"/>
      <c r="CQ186" s="148"/>
      <c r="CR186" s="148"/>
      <c r="CS186" s="148"/>
      <c r="CT186" s="148"/>
      <c r="CU186" s="148"/>
      <c r="CV186" s="148"/>
      <c r="CW186" s="148"/>
      <c r="CX186" s="148"/>
      <c r="CY186" s="148"/>
      <c r="CZ186" s="148"/>
      <c r="DA186" s="148"/>
      <c r="DB186" s="148"/>
      <c r="DC186" s="148"/>
      <c r="DD186" s="148"/>
      <c r="DE186" s="148"/>
      <c r="DF186" s="148"/>
      <c r="DG186" s="148"/>
      <c r="DH186" s="148"/>
      <c r="DI186" s="148"/>
      <c r="DJ186" s="148"/>
      <c r="DK186" s="148"/>
      <c r="DL186" s="148"/>
      <c r="DM186" s="148"/>
      <c r="DN186" s="148"/>
      <c r="DO186" s="148"/>
      <c r="DP186" s="148"/>
      <c r="DQ186" s="148"/>
      <c r="DR186" s="148"/>
      <c r="DS186" s="148"/>
      <c r="DT186" s="148"/>
      <c r="DU186" s="148"/>
      <c r="DV186" s="148"/>
      <c r="DW186" s="148"/>
      <c r="DX186" s="148"/>
      <c r="DY186" s="148"/>
      <c r="DZ186" s="148"/>
      <c r="EA186" s="148"/>
      <c r="EB186" s="148"/>
      <c r="EC186" s="148"/>
      <c r="ED186" s="148"/>
      <c r="EE186" s="148"/>
      <c r="EF186" s="148"/>
      <c r="EG186" s="148"/>
      <c r="EH186" s="148"/>
      <c r="EI186" s="148"/>
      <c r="EJ186" s="148"/>
      <c r="EK186" s="148"/>
      <c r="EL186" s="148"/>
      <c r="EM186" s="148"/>
      <c r="EN186" s="148"/>
      <c r="EO186" s="148"/>
      <c r="EP186" s="148"/>
      <c r="EQ186" s="148"/>
      <c r="ER186" s="148"/>
      <c r="ES186" s="148"/>
      <c r="ET186" s="148"/>
      <c r="EU186" s="148"/>
      <c r="EV186" s="148"/>
      <c r="EW186" s="148"/>
      <c r="EX186" s="148"/>
      <c r="EY186" s="148"/>
      <c r="EZ186" s="148"/>
      <c r="FA186" s="148"/>
      <c r="FB186" s="148"/>
      <c r="FC186" s="148"/>
      <c r="FD186" s="148"/>
      <c r="FE186" s="148"/>
      <c r="FF186" s="148"/>
      <c r="FG186" s="148"/>
      <c r="FH186" s="148"/>
      <c r="FI186" s="148"/>
      <c r="FJ186" s="148"/>
      <c r="FK186" s="148"/>
      <c r="FL186" s="148"/>
      <c r="FM186" s="148"/>
      <c r="FN186" s="148"/>
      <c r="FO186" s="148"/>
      <c r="FP186" s="148"/>
      <c r="FQ186" s="148"/>
      <c r="FR186" s="148"/>
      <c r="FS186" s="148"/>
      <c r="FT186" s="148"/>
      <c r="FU186" s="148"/>
      <c r="FV186" s="148"/>
      <c r="FW186" s="148"/>
      <c r="FX186" s="148"/>
      <c r="FY186" s="148"/>
      <c r="FZ186" s="148"/>
      <c r="GA186" s="148"/>
      <c r="GB186" s="148"/>
      <c r="GC186" s="148"/>
      <c r="GD186" s="148"/>
      <c r="GE186" s="148"/>
      <c r="GF186" s="148"/>
      <c r="GG186" s="148"/>
      <c r="GH186" s="148"/>
      <c r="GI186" s="148"/>
      <c r="GJ186" s="148"/>
      <c r="GK186" s="148"/>
      <c r="GL186" s="148"/>
      <c r="GM186" s="148"/>
      <c r="GN186" s="148"/>
      <c r="GO186" s="148"/>
      <c r="GP186" s="148"/>
      <c r="GQ186" s="148"/>
      <c r="GR186" s="148"/>
      <c r="GS186" s="148"/>
      <c r="GT186" s="148"/>
      <c r="GU186" s="148"/>
      <c r="GV186" s="148"/>
      <c r="GW186" s="148"/>
      <c r="GX186" s="148"/>
      <c r="GY186" s="148"/>
      <c r="GZ186" s="148"/>
      <c r="HA186" s="148"/>
      <c r="HB186" s="148"/>
      <c r="HC186" s="148"/>
      <c r="HD186" s="148"/>
      <c r="HE186" s="148"/>
      <c r="HF186" s="148"/>
      <c r="HG186" s="148"/>
      <c r="HH186" s="148"/>
      <c r="HI186" s="148"/>
      <c r="HJ186" s="148"/>
      <c r="HK186" s="148"/>
      <c r="HL186" s="148"/>
      <c r="HM186" s="148"/>
      <c r="HN186" s="148"/>
      <c r="HO186" s="148"/>
      <c r="HP186" s="148"/>
      <c r="HQ186" s="148"/>
      <c r="HR186" s="148"/>
      <c r="HS186" s="148"/>
      <c r="HT186" s="148"/>
      <c r="HU186" s="148"/>
      <c r="HV186" s="148"/>
      <c r="HW186" s="148"/>
      <c r="HX186" s="148"/>
      <c r="HY186" s="148"/>
      <c r="HZ186" s="148"/>
      <c r="IA186" s="148"/>
      <c r="IB186" s="148"/>
      <c r="IC186" s="148"/>
      <c r="ID186" s="148"/>
      <c r="IE186" s="148"/>
      <c r="IF186" s="148"/>
      <c r="IG186" s="148"/>
      <c r="IH186" s="148"/>
      <c r="II186" s="148"/>
      <c r="IJ186" s="148"/>
      <c r="IK186" s="148"/>
      <c r="IL186" s="148"/>
      <c r="IM186" s="148"/>
      <c r="IN186" s="148"/>
      <c r="IO186" s="148"/>
      <c r="IP186" s="148"/>
      <c r="IQ186" s="148"/>
      <c r="IR186" s="148"/>
      <c r="IS186" s="148"/>
      <c r="IT186" s="148"/>
      <c r="IU186" s="148"/>
      <c r="IV186" s="148"/>
      <c r="IW186" s="148"/>
      <c r="IX186" s="148"/>
      <c r="IY186" s="148"/>
      <c r="IZ186" s="148"/>
      <c r="JA186" s="148"/>
    </row>
    <row r="187" spans="1:261" s="272" customFormat="1" ht="18" customHeight="1" x14ac:dyDescent="0.35">
      <c r="A187" s="1423">
        <v>176</v>
      </c>
      <c r="B187" s="1557"/>
      <c r="C187" s="1582"/>
      <c r="D187" s="1163" t="s">
        <v>1116</v>
      </c>
      <c r="E187" s="1560"/>
      <c r="F187" s="1560"/>
      <c r="G187" s="1562"/>
      <c r="H187" s="1563"/>
      <c r="I187" s="1590"/>
      <c r="J187" s="1560"/>
      <c r="K187" s="1560">
        <f>SUM(K185:K186)</f>
        <v>0</v>
      </c>
      <c r="L187" s="1560">
        <f>SUM(L185:L186)</f>
        <v>325</v>
      </c>
      <c r="M187" s="1560"/>
      <c r="N187" s="1560"/>
      <c r="O187" s="1576">
        <f>SUM(I187:N187)</f>
        <v>325</v>
      </c>
      <c r="P187" s="1567"/>
      <c r="Q187" s="148"/>
      <c r="R187" s="148"/>
      <c r="S187" s="148"/>
      <c r="T187" s="148"/>
      <c r="U187" s="148"/>
      <c r="V187" s="148"/>
      <c r="W187" s="148"/>
      <c r="X187" s="148"/>
      <c r="Y187" s="148"/>
      <c r="Z187" s="148"/>
      <c r="AA187" s="148"/>
      <c r="AB187" s="148"/>
      <c r="AC187" s="148"/>
      <c r="AD187" s="148"/>
      <c r="AE187" s="148"/>
      <c r="AF187" s="148"/>
      <c r="AG187" s="148"/>
      <c r="AH187" s="148"/>
      <c r="AI187" s="148"/>
      <c r="AJ187" s="148"/>
      <c r="AK187" s="148"/>
      <c r="AL187" s="148"/>
      <c r="AM187" s="148"/>
      <c r="AN187" s="148"/>
      <c r="AO187" s="148"/>
      <c r="AP187" s="148"/>
      <c r="AQ187" s="148"/>
      <c r="AR187" s="148"/>
      <c r="AS187" s="148"/>
      <c r="AT187" s="148"/>
      <c r="AU187" s="148"/>
      <c r="AV187" s="148"/>
      <c r="AW187" s="148"/>
      <c r="AX187" s="148"/>
      <c r="AY187" s="148"/>
      <c r="AZ187" s="148"/>
      <c r="BA187" s="148"/>
      <c r="BB187" s="148"/>
      <c r="BC187" s="148"/>
      <c r="BD187" s="148"/>
      <c r="BE187" s="148"/>
      <c r="BF187" s="148"/>
      <c r="BG187" s="148"/>
      <c r="BH187" s="148"/>
      <c r="BI187" s="148"/>
      <c r="BJ187" s="148"/>
      <c r="BK187" s="148"/>
      <c r="BL187" s="148"/>
      <c r="BM187" s="148"/>
      <c r="BN187" s="148"/>
      <c r="BO187" s="148"/>
      <c r="BP187" s="148"/>
      <c r="BQ187" s="148"/>
      <c r="BR187" s="148"/>
      <c r="BS187" s="148"/>
      <c r="BT187" s="148"/>
      <c r="BU187" s="148"/>
      <c r="BV187" s="148"/>
      <c r="BW187" s="148"/>
      <c r="BX187" s="148"/>
      <c r="BY187" s="148"/>
      <c r="BZ187" s="148"/>
      <c r="CA187" s="148"/>
      <c r="CB187" s="148"/>
      <c r="CC187" s="148"/>
      <c r="CD187" s="148"/>
      <c r="CE187" s="148"/>
      <c r="CF187" s="148"/>
      <c r="CG187" s="148"/>
      <c r="CH187" s="148"/>
      <c r="CI187" s="148"/>
      <c r="CJ187" s="148"/>
      <c r="CK187" s="148"/>
      <c r="CL187" s="148"/>
      <c r="CM187" s="148"/>
      <c r="CN187" s="148"/>
      <c r="CO187" s="148"/>
      <c r="CP187" s="148"/>
      <c r="CQ187" s="148"/>
      <c r="CR187" s="148"/>
      <c r="CS187" s="148"/>
      <c r="CT187" s="148"/>
      <c r="CU187" s="148"/>
      <c r="CV187" s="148"/>
      <c r="CW187" s="148"/>
      <c r="CX187" s="148"/>
      <c r="CY187" s="148"/>
      <c r="CZ187" s="148"/>
      <c r="DA187" s="148"/>
      <c r="DB187" s="148"/>
      <c r="DC187" s="148"/>
      <c r="DD187" s="148"/>
      <c r="DE187" s="148"/>
      <c r="DF187" s="148"/>
      <c r="DG187" s="148"/>
      <c r="DH187" s="148"/>
      <c r="DI187" s="148"/>
      <c r="DJ187" s="148"/>
      <c r="DK187" s="148"/>
      <c r="DL187" s="148"/>
      <c r="DM187" s="148"/>
      <c r="DN187" s="148"/>
      <c r="DO187" s="148"/>
      <c r="DP187" s="148"/>
      <c r="DQ187" s="148"/>
      <c r="DR187" s="148"/>
      <c r="DS187" s="148"/>
      <c r="DT187" s="148"/>
      <c r="DU187" s="148"/>
      <c r="DV187" s="148"/>
      <c r="DW187" s="148"/>
      <c r="DX187" s="148"/>
      <c r="DY187" s="148"/>
      <c r="DZ187" s="148"/>
      <c r="EA187" s="148"/>
      <c r="EB187" s="148"/>
      <c r="EC187" s="148"/>
      <c r="ED187" s="148"/>
      <c r="EE187" s="148"/>
      <c r="EF187" s="148"/>
      <c r="EG187" s="148"/>
      <c r="EH187" s="148"/>
      <c r="EI187" s="148"/>
      <c r="EJ187" s="148"/>
      <c r="EK187" s="148"/>
      <c r="EL187" s="148"/>
      <c r="EM187" s="148"/>
      <c r="EN187" s="148"/>
      <c r="EO187" s="148"/>
      <c r="EP187" s="148"/>
      <c r="EQ187" s="148"/>
      <c r="ER187" s="148"/>
      <c r="ES187" s="148"/>
      <c r="ET187" s="148"/>
      <c r="EU187" s="148"/>
      <c r="EV187" s="148"/>
      <c r="EW187" s="148"/>
      <c r="EX187" s="148"/>
      <c r="EY187" s="148"/>
      <c r="EZ187" s="148"/>
      <c r="FA187" s="148"/>
      <c r="FB187" s="148"/>
      <c r="FC187" s="148"/>
      <c r="FD187" s="148"/>
      <c r="FE187" s="148"/>
      <c r="FF187" s="148"/>
      <c r="FG187" s="148"/>
      <c r="FH187" s="148"/>
      <c r="FI187" s="148"/>
      <c r="FJ187" s="148"/>
      <c r="FK187" s="148"/>
      <c r="FL187" s="148"/>
      <c r="FM187" s="148"/>
      <c r="FN187" s="148"/>
      <c r="FO187" s="148"/>
      <c r="FP187" s="148"/>
      <c r="FQ187" s="148"/>
      <c r="FR187" s="148"/>
      <c r="FS187" s="148"/>
      <c r="FT187" s="148"/>
      <c r="FU187" s="148"/>
      <c r="FV187" s="148"/>
      <c r="FW187" s="148"/>
      <c r="FX187" s="148"/>
      <c r="FY187" s="148"/>
      <c r="FZ187" s="148"/>
      <c r="GA187" s="148"/>
      <c r="GB187" s="148"/>
      <c r="GC187" s="148"/>
      <c r="GD187" s="148"/>
      <c r="GE187" s="148"/>
      <c r="GF187" s="148"/>
      <c r="GG187" s="148"/>
      <c r="GH187" s="148"/>
      <c r="GI187" s="148"/>
      <c r="GJ187" s="148"/>
      <c r="GK187" s="148"/>
      <c r="GL187" s="148"/>
      <c r="GM187" s="148"/>
      <c r="GN187" s="148"/>
      <c r="GO187" s="148"/>
      <c r="GP187" s="148"/>
      <c r="GQ187" s="148"/>
      <c r="GR187" s="148"/>
      <c r="GS187" s="148"/>
      <c r="GT187" s="148"/>
      <c r="GU187" s="148"/>
      <c r="GV187" s="148"/>
      <c r="GW187" s="148"/>
      <c r="GX187" s="148"/>
      <c r="GY187" s="148"/>
      <c r="GZ187" s="148"/>
      <c r="HA187" s="148"/>
      <c r="HB187" s="148"/>
      <c r="HC187" s="148"/>
      <c r="HD187" s="148"/>
      <c r="HE187" s="148"/>
      <c r="HF187" s="148"/>
      <c r="HG187" s="148"/>
      <c r="HH187" s="148"/>
      <c r="HI187" s="148"/>
      <c r="HJ187" s="148"/>
      <c r="HK187" s="148"/>
      <c r="HL187" s="148"/>
      <c r="HM187" s="148"/>
      <c r="HN187" s="148"/>
      <c r="HO187" s="148"/>
      <c r="HP187" s="148"/>
      <c r="HQ187" s="148"/>
      <c r="HR187" s="148"/>
      <c r="HS187" s="148"/>
      <c r="HT187" s="148"/>
      <c r="HU187" s="148"/>
      <c r="HV187" s="148"/>
      <c r="HW187" s="148"/>
      <c r="HX187" s="148"/>
      <c r="HY187" s="148"/>
      <c r="HZ187" s="148"/>
      <c r="IA187" s="148"/>
      <c r="IB187" s="148"/>
      <c r="IC187" s="148"/>
      <c r="ID187" s="148"/>
      <c r="IE187" s="148"/>
      <c r="IF187" s="148"/>
      <c r="IG187" s="148"/>
      <c r="IH187" s="148"/>
      <c r="II187" s="148"/>
      <c r="IJ187" s="148"/>
      <c r="IK187" s="148"/>
      <c r="IL187" s="148"/>
      <c r="IM187" s="148"/>
      <c r="IN187" s="148"/>
      <c r="IO187" s="148"/>
      <c r="IP187" s="148"/>
      <c r="IQ187" s="148"/>
      <c r="IR187" s="148"/>
      <c r="IS187" s="148"/>
      <c r="IT187" s="148"/>
      <c r="IU187" s="148"/>
      <c r="IV187" s="148"/>
      <c r="IW187" s="148"/>
      <c r="IX187" s="148"/>
      <c r="IY187" s="148"/>
      <c r="IZ187" s="148"/>
      <c r="JA187" s="148"/>
    </row>
    <row r="188" spans="1:261" s="272" customFormat="1" ht="50.25" x14ac:dyDescent="0.35">
      <c r="A188" s="1423">
        <v>177</v>
      </c>
      <c r="B188" s="1557"/>
      <c r="C188" s="1582">
        <v>36</v>
      </c>
      <c r="D188" s="150" t="s">
        <v>723</v>
      </c>
      <c r="E188" s="1560"/>
      <c r="F188" s="1560"/>
      <c r="G188" s="1562"/>
      <c r="H188" s="1563" t="s">
        <v>24</v>
      </c>
      <c r="I188" s="1586"/>
      <c r="J188" s="1587"/>
      <c r="K188" s="1587"/>
      <c r="L188" s="1587"/>
      <c r="M188" s="1587"/>
      <c r="N188" s="1587"/>
      <c r="O188" s="1566"/>
      <c r="P188" s="1567"/>
      <c r="Q188" s="148"/>
      <c r="R188" s="148"/>
      <c r="S188" s="148"/>
      <c r="T188" s="148"/>
      <c r="U188" s="148"/>
      <c r="V188" s="148"/>
      <c r="W188" s="148"/>
      <c r="X188" s="148"/>
      <c r="Y188" s="148"/>
      <c r="Z188" s="148"/>
      <c r="AA188" s="148"/>
      <c r="AB188" s="148"/>
      <c r="AC188" s="148"/>
      <c r="AD188" s="148"/>
      <c r="AE188" s="148"/>
      <c r="AF188" s="148"/>
      <c r="AG188" s="148"/>
      <c r="AH188" s="148"/>
      <c r="AI188" s="148"/>
      <c r="AJ188" s="148"/>
      <c r="AK188" s="148"/>
      <c r="AL188" s="148"/>
      <c r="AM188" s="148"/>
      <c r="AN188" s="148"/>
      <c r="AO188" s="148"/>
      <c r="AP188" s="148"/>
      <c r="AQ188" s="148"/>
      <c r="AR188" s="148"/>
      <c r="AS188" s="148"/>
      <c r="AT188" s="148"/>
      <c r="AU188" s="148"/>
      <c r="AV188" s="148"/>
      <c r="AW188" s="148"/>
      <c r="AX188" s="148"/>
      <c r="AY188" s="148"/>
      <c r="AZ188" s="148"/>
      <c r="BA188" s="148"/>
      <c r="BB188" s="148"/>
      <c r="BC188" s="148"/>
      <c r="BD188" s="148"/>
      <c r="BE188" s="148"/>
      <c r="BF188" s="148"/>
      <c r="BG188" s="148"/>
      <c r="BH188" s="148"/>
      <c r="BI188" s="148"/>
      <c r="BJ188" s="148"/>
      <c r="BK188" s="148"/>
      <c r="BL188" s="148"/>
      <c r="BM188" s="148"/>
      <c r="BN188" s="148"/>
      <c r="BO188" s="148"/>
      <c r="BP188" s="148"/>
      <c r="BQ188" s="148"/>
      <c r="BR188" s="148"/>
      <c r="BS188" s="148"/>
      <c r="BT188" s="148"/>
      <c r="BU188" s="148"/>
      <c r="BV188" s="148"/>
      <c r="BW188" s="148"/>
      <c r="BX188" s="148"/>
      <c r="BY188" s="148"/>
      <c r="BZ188" s="148"/>
      <c r="CA188" s="148"/>
      <c r="CB188" s="148"/>
      <c r="CC188" s="148"/>
      <c r="CD188" s="148"/>
      <c r="CE188" s="148"/>
      <c r="CF188" s="148"/>
      <c r="CG188" s="148"/>
      <c r="CH188" s="148"/>
      <c r="CI188" s="148"/>
      <c r="CJ188" s="148"/>
      <c r="CK188" s="148"/>
      <c r="CL188" s="148"/>
      <c r="CM188" s="148"/>
      <c r="CN188" s="148"/>
      <c r="CO188" s="148"/>
      <c r="CP188" s="148"/>
      <c r="CQ188" s="148"/>
      <c r="CR188" s="148"/>
      <c r="CS188" s="148"/>
      <c r="CT188" s="148"/>
      <c r="CU188" s="148"/>
      <c r="CV188" s="148"/>
      <c r="CW188" s="148"/>
      <c r="CX188" s="148"/>
      <c r="CY188" s="148"/>
      <c r="CZ188" s="148"/>
      <c r="DA188" s="148"/>
      <c r="DB188" s="148"/>
      <c r="DC188" s="148"/>
      <c r="DD188" s="148"/>
      <c r="DE188" s="148"/>
      <c r="DF188" s="148"/>
      <c r="DG188" s="148"/>
      <c r="DH188" s="148"/>
      <c r="DI188" s="148"/>
      <c r="DJ188" s="148"/>
      <c r="DK188" s="148"/>
      <c r="DL188" s="148"/>
      <c r="DM188" s="148"/>
      <c r="DN188" s="148"/>
      <c r="DO188" s="148"/>
      <c r="DP188" s="148"/>
      <c r="DQ188" s="148"/>
      <c r="DR188" s="148"/>
      <c r="DS188" s="148"/>
      <c r="DT188" s="148"/>
      <c r="DU188" s="148"/>
      <c r="DV188" s="148"/>
      <c r="DW188" s="148"/>
      <c r="DX188" s="148"/>
      <c r="DY188" s="148"/>
      <c r="DZ188" s="148"/>
      <c r="EA188" s="148"/>
      <c r="EB188" s="148"/>
      <c r="EC188" s="148"/>
      <c r="ED188" s="148"/>
      <c r="EE188" s="148"/>
      <c r="EF188" s="148"/>
      <c r="EG188" s="148"/>
      <c r="EH188" s="148"/>
      <c r="EI188" s="148"/>
      <c r="EJ188" s="148"/>
      <c r="EK188" s="148"/>
      <c r="EL188" s="148"/>
      <c r="EM188" s="148"/>
      <c r="EN188" s="148"/>
      <c r="EO188" s="148"/>
      <c r="EP188" s="148"/>
      <c r="EQ188" s="148"/>
      <c r="ER188" s="148"/>
      <c r="ES188" s="148"/>
      <c r="ET188" s="148"/>
      <c r="EU188" s="148"/>
      <c r="EV188" s="148"/>
      <c r="EW188" s="148"/>
      <c r="EX188" s="148"/>
      <c r="EY188" s="148"/>
      <c r="EZ188" s="148"/>
      <c r="FA188" s="148"/>
      <c r="FB188" s="148"/>
      <c r="FC188" s="148"/>
      <c r="FD188" s="148"/>
      <c r="FE188" s="148"/>
      <c r="FF188" s="148"/>
      <c r="FG188" s="148"/>
      <c r="FH188" s="148"/>
      <c r="FI188" s="148"/>
      <c r="FJ188" s="148"/>
      <c r="FK188" s="148"/>
      <c r="FL188" s="148"/>
      <c r="FM188" s="148"/>
      <c r="FN188" s="148"/>
      <c r="FO188" s="148"/>
      <c r="FP188" s="148"/>
      <c r="FQ188" s="148"/>
      <c r="FR188" s="148"/>
      <c r="FS188" s="148"/>
      <c r="FT188" s="148"/>
      <c r="FU188" s="148"/>
      <c r="FV188" s="148"/>
      <c r="FW188" s="148"/>
      <c r="FX188" s="148"/>
      <c r="FY188" s="148"/>
      <c r="FZ188" s="148"/>
      <c r="GA188" s="148"/>
      <c r="GB188" s="148"/>
      <c r="GC188" s="148"/>
      <c r="GD188" s="148"/>
      <c r="GE188" s="148"/>
      <c r="GF188" s="148"/>
      <c r="GG188" s="148"/>
      <c r="GH188" s="148"/>
      <c r="GI188" s="148"/>
      <c r="GJ188" s="148"/>
      <c r="GK188" s="148"/>
      <c r="GL188" s="148"/>
      <c r="GM188" s="148"/>
      <c r="GN188" s="148"/>
      <c r="GO188" s="148"/>
      <c r="GP188" s="148"/>
      <c r="GQ188" s="148"/>
      <c r="GR188" s="148"/>
      <c r="GS188" s="148"/>
      <c r="GT188" s="148"/>
      <c r="GU188" s="148"/>
      <c r="GV188" s="148"/>
      <c r="GW188" s="148"/>
      <c r="GX188" s="148"/>
      <c r="GY188" s="148"/>
      <c r="GZ188" s="148"/>
      <c r="HA188" s="148"/>
      <c r="HB188" s="148"/>
      <c r="HC188" s="148"/>
      <c r="HD188" s="148"/>
      <c r="HE188" s="148"/>
      <c r="HF188" s="148"/>
      <c r="HG188" s="148"/>
      <c r="HH188" s="148"/>
      <c r="HI188" s="148"/>
      <c r="HJ188" s="148"/>
      <c r="HK188" s="148"/>
      <c r="HL188" s="148"/>
      <c r="HM188" s="148"/>
      <c r="HN188" s="148"/>
      <c r="HO188" s="148"/>
      <c r="HP188" s="148"/>
      <c r="HQ188" s="148"/>
      <c r="HR188" s="148"/>
      <c r="HS188" s="148"/>
      <c r="HT188" s="148"/>
      <c r="HU188" s="148"/>
      <c r="HV188" s="148"/>
      <c r="HW188" s="148"/>
      <c r="HX188" s="148"/>
      <c r="HY188" s="148"/>
      <c r="HZ188" s="148"/>
      <c r="IA188" s="148"/>
      <c r="IB188" s="148"/>
      <c r="IC188" s="148"/>
      <c r="ID188" s="148"/>
      <c r="IE188" s="148"/>
      <c r="IF188" s="148"/>
      <c r="IG188" s="148"/>
      <c r="IH188" s="148"/>
      <c r="II188" s="148"/>
      <c r="IJ188" s="148"/>
      <c r="IK188" s="148"/>
      <c r="IL188" s="148"/>
      <c r="IM188" s="148"/>
      <c r="IN188" s="148"/>
      <c r="IO188" s="148"/>
      <c r="IP188" s="148"/>
      <c r="IQ188" s="148"/>
      <c r="IR188" s="148"/>
      <c r="IS188" s="148"/>
      <c r="IT188" s="148"/>
      <c r="IU188" s="148"/>
      <c r="IV188" s="148"/>
      <c r="IW188" s="148"/>
      <c r="IX188" s="148"/>
      <c r="IY188" s="148"/>
      <c r="IZ188" s="148"/>
      <c r="JA188" s="148"/>
    </row>
    <row r="189" spans="1:261" s="272" customFormat="1" ht="18" customHeight="1" x14ac:dyDescent="0.35">
      <c r="A189" s="1423">
        <v>178</v>
      </c>
      <c r="B189" s="1557"/>
      <c r="C189" s="1582"/>
      <c r="D189" s="1585" t="s">
        <v>311</v>
      </c>
      <c r="E189" s="1560">
        <f>F189+G189+O192+P189</f>
        <v>4006</v>
      </c>
      <c r="F189" s="1560"/>
      <c r="G189" s="1562"/>
      <c r="H189" s="1563"/>
      <c r="I189" s="1586"/>
      <c r="J189" s="1587"/>
      <c r="K189" s="1587">
        <v>500</v>
      </c>
      <c r="L189" s="1587">
        <v>3506</v>
      </c>
      <c r="M189" s="1587"/>
      <c r="N189" s="1587"/>
      <c r="O189" s="1566">
        <f>SUM(I189:N189)</f>
        <v>4006</v>
      </c>
      <c r="P189" s="1567"/>
      <c r="Q189" s="148"/>
      <c r="R189" s="148"/>
      <c r="S189" s="148"/>
      <c r="T189" s="148"/>
      <c r="U189" s="148"/>
      <c r="V189" s="148"/>
      <c r="W189" s="148"/>
      <c r="X189" s="148"/>
      <c r="Y189" s="148"/>
      <c r="Z189" s="148"/>
      <c r="AA189" s="148"/>
      <c r="AB189" s="148"/>
      <c r="AC189" s="148"/>
      <c r="AD189" s="148"/>
      <c r="AE189" s="148"/>
      <c r="AF189" s="148"/>
      <c r="AG189" s="148"/>
      <c r="AH189" s="148"/>
      <c r="AI189" s="148"/>
      <c r="AJ189" s="148"/>
      <c r="AK189" s="148"/>
      <c r="AL189" s="148"/>
      <c r="AM189" s="148"/>
      <c r="AN189" s="148"/>
      <c r="AO189" s="148"/>
      <c r="AP189" s="148"/>
      <c r="AQ189" s="148"/>
      <c r="AR189" s="148"/>
      <c r="AS189" s="148"/>
      <c r="AT189" s="148"/>
      <c r="AU189" s="148"/>
      <c r="AV189" s="148"/>
      <c r="AW189" s="148"/>
      <c r="AX189" s="148"/>
      <c r="AY189" s="148"/>
      <c r="AZ189" s="148"/>
      <c r="BA189" s="148"/>
      <c r="BB189" s="148"/>
      <c r="BC189" s="148"/>
      <c r="BD189" s="148"/>
      <c r="BE189" s="148"/>
      <c r="BF189" s="148"/>
      <c r="BG189" s="148"/>
      <c r="BH189" s="148"/>
      <c r="BI189" s="148"/>
      <c r="BJ189" s="148"/>
      <c r="BK189" s="148"/>
      <c r="BL189" s="148"/>
      <c r="BM189" s="148"/>
      <c r="BN189" s="148"/>
      <c r="BO189" s="148"/>
      <c r="BP189" s="148"/>
      <c r="BQ189" s="148"/>
      <c r="BR189" s="148"/>
      <c r="BS189" s="148"/>
      <c r="BT189" s="148"/>
      <c r="BU189" s="148"/>
      <c r="BV189" s="148"/>
      <c r="BW189" s="148"/>
      <c r="BX189" s="148"/>
      <c r="BY189" s="148"/>
      <c r="BZ189" s="148"/>
      <c r="CA189" s="148"/>
      <c r="CB189" s="148"/>
      <c r="CC189" s="148"/>
      <c r="CD189" s="148"/>
      <c r="CE189" s="148"/>
      <c r="CF189" s="148"/>
      <c r="CG189" s="148"/>
      <c r="CH189" s="148"/>
      <c r="CI189" s="148"/>
      <c r="CJ189" s="148"/>
      <c r="CK189" s="148"/>
      <c r="CL189" s="148"/>
      <c r="CM189" s="148"/>
      <c r="CN189" s="148"/>
      <c r="CO189" s="148"/>
      <c r="CP189" s="148"/>
      <c r="CQ189" s="148"/>
      <c r="CR189" s="148"/>
      <c r="CS189" s="148"/>
      <c r="CT189" s="148"/>
      <c r="CU189" s="148"/>
      <c r="CV189" s="148"/>
      <c r="CW189" s="148"/>
      <c r="CX189" s="148"/>
      <c r="CY189" s="148"/>
      <c r="CZ189" s="148"/>
      <c r="DA189" s="148"/>
      <c r="DB189" s="148"/>
      <c r="DC189" s="148"/>
      <c r="DD189" s="148"/>
      <c r="DE189" s="148"/>
      <c r="DF189" s="148"/>
      <c r="DG189" s="148"/>
      <c r="DH189" s="148"/>
      <c r="DI189" s="148"/>
      <c r="DJ189" s="148"/>
      <c r="DK189" s="148"/>
      <c r="DL189" s="148"/>
      <c r="DM189" s="148"/>
      <c r="DN189" s="148"/>
      <c r="DO189" s="148"/>
      <c r="DP189" s="148"/>
      <c r="DQ189" s="148"/>
      <c r="DR189" s="148"/>
      <c r="DS189" s="148"/>
      <c r="DT189" s="148"/>
      <c r="DU189" s="148"/>
      <c r="DV189" s="148"/>
      <c r="DW189" s="148"/>
      <c r="DX189" s="148"/>
      <c r="DY189" s="148"/>
      <c r="DZ189" s="148"/>
      <c r="EA189" s="148"/>
      <c r="EB189" s="148"/>
      <c r="EC189" s="148"/>
      <c r="ED189" s="148"/>
      <c r="EE189" s="148"/>
      <c r="EF189" s="148"/>
      <c r="EG189" s="148"/>
      <c r="EH189" s="148"/>
      <c r="EI189" s="148"/>
      <c r="EJ189" s="148"/>
      <c r="EK189" s="148"/>
      <c r="EL189" s="148"/>
      <c r="EM189" s="148"/>
      <c r="EN189" s="148"/>
      <c r="EO189" s="148"/>
      <c r="EP189" s="148"/>
      <c r="EQ189" s="148"/>
      <c r="ER189" s="148"/>
      <c r="ES189" s="148"/>
      <c r="ET189" s="148"/>
      <c r="EU189" s="148"/>
      <c r="EV189" s="148"/>
      <c r="EW189" s="148"/>
      <c r="EX189" s="148"/>
      <c r="EY189" s="148"/>
      <c r="EZ189" s="148"/>
      <c r="FA189" s="148"/>
      <c r="FB189" s="148"/>
      <c r="FC189" s="148"/>
      <c r="FD189" s="148"/>
      <c r="FE189" s="148"/>
      <c r="FF189" s="148"/>
      <c r="FG189" s="148"/>
      <c r="FH189" s="148"/>
      <c r="FI189" s="148"/>
      <c r="FJ189" s="148"/>
      <c r="FK189" s="148"/>
      <c r="FL189" s="148"/>
      <c r="FM189" s="148"/>
      <c r="FN189" s="148"/>
      <c r="FO189" s="148"/>
      <c r="FP189" s="148"/>
      <c r="FQ189" s="148"/>
      <c r="FR189" s="148"/>
      <c r="FS189" s="148"/>
      <c r="FT189" s="148"/>
      <c r="FU189" s="148"/>
      <c r="FV189" s="148"/>
      <c r="FW189" s="148"/>
      <c r="FX189" s="148"/>
      <c r="FY189" s="148"/>
      <c r="FZ189" s="148"/>
      <c r="GA189" s="148"/>
      <c r="GB189" s="148"/>
      <c r="GC189" s="148"/>
      <c r="GD189" s="148"/>
      <c r="GE189" s="148"/>
      <c r="GF189" s="148"/>
      <c r="GG189" s="148"/>
      <c r="GH189" s="148"/>
      <c r="GI189" s="148"/>
      <c r="GJ189" s="148"/>
      <c r="GK189" s="148"/>
      <c r="GL189" s="148"/>
      <c r="GM189" s="148"/>
      <c r="GN189" s="148"/>
      <c r="GO189" s="148"/>
      <c r="GP189" s="148"/>
      <c r="GQ189" s="148"/>
      <c r="GR189" s="148"/>
      <c r="GS189" s="148"/>
      <c r="GT189" s="148"/>
      <c r="GU189" s="148"/>
      <c r="GV189" s="148"/>
      <c r="GW189" s="148"/>
      <c r="GX189" s="148"/>
      <c r="GY189" s="148"/>
      <c r="GZ189" s="148"/>
      <c r="HA189" s="148"/>
      <c r="HB189" s="148"/>
      <c r="HC189" s="148"/>
      <c r="HD189" s="148"/>
      <c r="HE189" s="148"/>
      <c r="HF189" s="148"/>
      <c r="HG189" s="148"/>
      <c r="HH189" s="148"/>
      <c r="HI189" s="148"/>
      <c r="HJ189" s="148"/>
      <c r="HK189" s="148"/>
      <c r="HL189" s="148"/>
      <c r="HM189" s="148"/>
      <c r="HN189" s="148"/>
      <c r="HO189" s="148"/>
      <c r="HP189" s="148"/>
      <c r="HQ189" s="148"/>
      <c r="HR189" s="148"/>
      <c r="HS189" s="148"/>
      <c r="HT189" s="148"/>
      <c r="HU189" s="148"/>
      <c r="HV189" s="148"/>
      <c r="HW189" s="148"/>
      <c r="HX189" s="148"/>
      <c r="HY189" s="148"/>
      <c r="HZ189" s="148"/>
      <c r="IA189" s="148"/>
      <c r="IB189" s="148"/>
      <c r="IC189" s="148"/>
      <c r="ID189" s="148"/>
      <c r="IE189" s="148"/>
      <c r="IF189" s="148"/>
      <c r="IG189" s="148"/>
      <c r="IH189" s="148"/>
      <c r="II189" s="148"/>
      <c r="IJ189" s="148"/>
      <c r="IK189" s="148"/>
      <c r="IL189" s="148"/>
      <c r="IM189" s="148"/>
      <c r="IN189" s="148"/>
      <c r="IO189" s="148"/>
      <c r="IP189" s="148"/>
      <c r="IQ189" s="148"/>
      <c r="IR189" s="148"/>
      <c r="IS189" s="148"/>
      <c r="IT189" s="148"/>
      <c r="IU189" s="148"/>
      <c r="IV189" s="148"/>
      <c r="IW189" s="148"/>
      <c r="IX189" s="148"/>
      <c r="IY189" s="148"/>
      <c r="IZ189" s="148"/>
      <c r="JA189" s="148"/>
    </row>
    <row r="190" spans="1:261" s="272" customFormat="1" ht="18" customHeight="1" x14ac:dyDescent="0.35">
      <c r="A190" s="1423">
        <v>179</v>
      </c>
      <c r="B190" s="1557"/>
      <c r="C190" s="1582"/>
      <c r="D190" s="1163" t="s">
        <v>1064</v>
      </c>
      <c r="E190" s="1560"/>
      <c r="F190" s="1560"/>
      <c r="G190" s="1562"/>
      <c r="H190" s="1563"/>
      <c r="I190" s="1586"/>
      <c r="J190" s="1587"/>
      <c r="K190" s="1560">
        <v>500</v>
      </c>
      <c r="L190" s="1560">
        <v>3506</v>
      </c>
      <c r="M190" s="1587"/>
      <c r="N190" s="1587"/>
      <c r="O190" s="1576">
        <f>SUM(I190:N190)</f>
        <v>4006</v>
      </c>
      <c r="P190" s="1567"/>
      <c r="Q190" s="148"/>
      <c r="R190" s="148"/>
      <c r="S190" s="148"/>
      <c r="T190" s="148"/>
      <c r="U190" s="148"/>
      <c r="V190" s="148"/>
      <c r="W190" s="148"/>
      <c r="X190" s="148"/>
      <c r="Y190" s="148"/>
      <c r="Z190" s="148"/>
      <c r="AA190" s="148"/>
      <c r="AB190" s="148"/>
      <c r="AC190" s="148"/>
      <c r="AD190" s="148"/>
      <c r="AE190" s="148"/>
      <c r="AF190" s="148"/>
      <c r="AG190" s="148"/>
      <c r="AH190" s="148"/>
      <c r="AI190" s="148"/>
      <c r="AJ190" s="148"/>
      <c r="AK190" s="148"/>
      <c r="AL190" s="148"/>
      <c r="AM190" s="148"/>
      <c r="AN190" s="148"/>
      <c r="AO190" s="148"/>
      <c r="AP190" s="148"/>
      <c r="AQ190" s="148"/>
      <c r="AR190" s="148"/>
      <c r="AS190" s="148"/>
      <c r="AT190" s="148"/>
      <c r="AU190" s="148"/>
      <c r="AV190" s="148"/>
      <c r="AW190" s="148"/>
      <c r="AX190" s="148"/>
      <c r="AY190" s="148"/>
      <c r="AZ190" s="148"/>
      <c r="BA190" s="148"/>
      <c r="BB190" s="148"/>
      <c r="BC190" s="148"/>
      <c r="BD190" s="148"/>
      <c r="BE190" s="148"/>
      <c r="BF190" s="148"/>
      <c r="BG190" s="148"/>
      <c r="BH190" s="148"/>
      <c r="BI190" s="148"/>
      <c r="BJ190" s="148"/>
      <c r="BK190" s="148"/>
      <c r="BL190" s="148"/>
      <c r="BM190" s="148"/>
      <c r="BN190" s="148"/>
      <c r="BO190" s="148"/>
      <c r="BP190" s="148"/>
      <c r="BQ190" s="148"/>
      <c r="BR190" s="148"/>
      <c r="BS190" s="148"/>
      <c r="BT190" s="148"/>
      <c r="BU190" s="148"/>
      <c r="BV190" s="148"/>
      <c r="BW190" s="148"/>
      <c r="BX190" s="148"/>
      <c r="BY190" s="148"/>
      <c r="BZ190" s="148"/>
      <c r="CA190" s="148"/>
      <c r="CB190" s="148"/>
      <c r="CC190" s="148"/>
      <c r="CD190" s="148"/>
      <c r="CE190" s="148"/>
      <c r="CF190" s="148"/>
      <c r="CG190" s="148"/>
      <c r="CH190" s="148"/>
      <c r="CI190" s="148"/>
      <c r="CJ190" s="148"/>
      <c r="CK190" s="148"/>
      <c r="CL190" s="148"/>
      <c r="CM190" s="148"/>
      <c r="CN190" s="148"/>
      <c r="CO190" s="148"/>
      <c r="CP190" s="148"/>
      <c r="CQ190" s="148"/>
      <c r="CR190" s="148"/>
      <c r="CS190" s="148"/>
      <c r="CT190" s="148"/>
      <c r="CU190" s="148"/>
      <c r="CV190" s="148"/>
      <c r="CW190" s="148"/>
      <c r="CX190" s="148"/>
      <c r="CY190" s="148"/>
      <c r="CZ190" s="148"/>
      <c r="DA190" s="148"/>
      <c r="DB190" s="148"/>
      <c r="DC190" s="148"/>
      <c r="DD190" s="148"/>
      <c r="DE190" s="148"/>
      <c r="DF190" s="148"/>
      <c r="DG190" s="148"/>
      <c r="DH190" s="148"/>
      <c r="DI190" s="148"/>
      <c r="DJ190" s="148"/>
      <c r="DK190" s="148"/>
      <c r="DL190" s="148"/>
      <c r="DM190" s="148"/>
      <c r="DN190" s="148"/>
      <c r="DO190" s="148"/>
      <c r="DP190" s="148"/>
      <c r="DQ190" s="148"/>
      <c r="DR190" s="148"/>
      <c r="DS190" s="148"/>
      <c r="DT190" s="148"/>
      <c r="DU190" s="148"/>
      <c r="DV190" s="148"/>
      <c r="DW190" s="148"/>
      <c r="DX190" s="148"/>
      <c r="DY190" s="148"/>
      <c r="DZ190" s="148"/>
      <c r="EA190" s="148"/>
      <c r="EB190" s="148"/>
      <c r="EC190" s="148"/>
      <c r="ED190" s="148"/>
      <c r="EE190" s="148"/>
      <c r="EF190" s="148"/>
      <c r="EG190" s="148"/>
      <c r="EH190" s="148"/>
      <c r="EI190" s="148"/>
      <c r="EJ190" s="148"/>
      <c r="EK190" s="148"/>
      <c r="EL190" s="148"/>
      <c r="EM190" s="148"/>
      <c r="EN190" s="148"/>
      <c r="EO190" s="148"/>
      <c r="EP190" s="148"/>
      <c r="EQ190" s="148"/>
      <c r="ER190" s="148"/>
      <c r="ES190" s="148"/>
      <c r="ET190" s="148"/>
      <c r="EU190" s="148"/>
      <c r="EV190" s="148"/>
      <c r="EW190" s="148"/>
      <c r="EX190" s="148"/>
      <c r="EY190" s="148"/>
      <c r="EZ190" s="148"/>
      <c r="FA190" s="148"/>
      <c r="FB190" s="148"/>
      <c r="FC190" s="148"/>
      <c r="FD190" s="148"/>
      <c r="FE190" s="148"/>
      <c r="FF190" s="148"/>
      <c r="FG190" s="148"/>
      <c r="FH190" s="148"/>
      <c r="FI190" s="148"/>
      <c r="FJ190" s="148"/>
      <c r="FK190" s="148"/>
      <c r="FL190" s="148"/>
      <c r="FM190" s="148"/>
      <c r="FN190" s="148"/>
      <c r="FO190" s="148"/>
      <c r="FP190" s="148"/>
      <c r="FQ190" s="148"/>
      <c r="FR190" s="148"/>
      <c r="FS190" s="148"/>
      <c r="FT190" s="148"/>
      <c r="FU190" s="148"/>
      <c r="FV190" s="148"/>
      <c r="FW190" s="148"/>
      <c r="FX190" s="148"/>
      <c r="FY190" s="148"/>
      <c r="FZ190" s="148"/>
      <c r="GA190" s="148"/>
      <c r="GB190" s="148"/>
      <c r="GC190" s="148"/>
      <c r="GD190" s="148"/>
      <c r="GE190" s="148"/>
      <c r="GF190" s="148"/>
      <c r="GG190" s="148"/>
      <c r="GH190" s="148"/>
      <c r="GI190" s="148"/>
      <c r="GJ190" s="148"/>
      <c r="GK190" s="148"/>
      <c r="GL190" s="148"/>
      <c r="GM190" s="148"/>
      <c r="GN190" s="148"/>
      <c r="GO190" s="148"/>
      <c r="GP190" s="148"/>
      <c r="GQ190" s="148"/>
      <c r="GR190" s="148"/>
      <c r="GS190" s="148"/>
      <c r="GT190" s="148"/>
      <c r="GU190" s="148"/>
      <c r="GV190" s="148"/>
      <c r="GW190" s="148"/>
      <c r="GX190" s="148"/>
      <c r="GY190" s="148"/>
      <c r="GZ190" s="148"/>
      <c r="HA190" s="148"/>
      <c r="HB190" s="148"/>
      <c r="HC190" s="148"/>
      <c r="HD190" s="148"/>
      <c r="HE190" s="148"/>
      <c r="HF190" s="148"/>
      <c r="HG190" s="148"/>
      <c r="HH190" s="148"/>
      <c r="HI190" s="148"/>
      <c r="HJ190" s="148"/>
      <c r="HK190" s="148"/>
      <c r="HL190" s="148"/>
      <c r="HM190" s="148"/>
      <c r="HN190" s="148"/>
      <c r="HO190" s="148"/>
      <c r="HP190" s="148"/>
      <c r="HQ190" s="148"/>
      <c r="HR190" s="148"/>
      <c r="HS190" s="148"/>
      <c r="HT190" s="148"/>
      <c r="HU190" s="148"/>
      <c r="HV190" s="148"/>
      <c r="HW190" s="148"/>
      <c r="HX190" s="148"/>
      <c r="HY190" s="148"/>
      <c r="HZ190" s="148"/>
      <c r="IA190" s="148"/>
      <c r="IB190" s="148"/>
      <c r="IC190" s="148"/>
      <c r="ID190" s="148"/>
      <c r="IE190" s="148"/>
      <c r="IF190" s="148"/>
      <c r="IG190" s="148"/>
      <c r="IH190" s="148"/>
      <c r="II190" s="148"/>
      <c r="IJ190" s="148"/>
      <c r="IK190" s="148"/>
      <c r="IL190" s="148"/>
      <c r="IM190" s="148"/>
      <c r="IN190" s="148"/>
      <c r="IO190" s="148"/>
      <c r="IP190" s="148"/>
      <c r="IQ190" s="148"/>
      <c r="IR190" s="148"/>
      <c r="IS190" s="148"/>
      <c r="IT190" s="148"/>
      <c r="IU190" s="148"/>
      <c r="IV190" s="148"/>
      <c r="IW190" s="148"/>
      <c r="IX190" s="148"/>
      <c r="IY190" s="148"/>
      <c r="IZ190" s="148"/>
      <c r="JA190" s="148"/>
    </row>
    <row r="191" spans="1:261" s="272" customFormat="1" ht="18" customHeight="1" x14ac:dyDescent="0.35">
      <c r="A191" s="1423">
        <v>180</v>
      </c>
      <c r="B191" s="1557"/>
      <c r="C191" s="1582"/>
      <c r="D191" s="1174" t="s">
        <v>999</v>
      </c>
      <c r="E191" s="1560"/>
      <c r="F191" s="1560"/>
      <c r="G191" s="1562"/>
      <c r="H191" s="1563"/>
      <c r="I191" s="1590"/>
      <c r="J191" s="1560"/>
      <c r="K191" s="1560"/>
      <c r="L191" s="1560"/>
      <c r="M191" s="1560"/>
      <c r="N191" s="1560"/>
      <c r="O191" s="1578">
        <f>SUM(I191:N191)</f>
        <v>0</v>
      </c>
      <c r="P191" s="1567"/>
      <c r="Q191" s="148"/>
      <c r="R191" s="148"/>
      <c r="S191" s="148"/>
      <c r="T191" s="148"/>
      <c r="U191" s="148"/>
      <c r="V191" s="148"/>
      <c r="W191" s="148"/>
      <c r="X191" s="148"/>
      <c r="Y191" s="148"/>
      <c r="Z191" s="148"/>
      <c r="AA191" s="148"/>
      <c r="AB191" s="148"/>
      <c r="AC191" s="148"/>
      <c r="AD191" s="148"/>
      <c r="AE191" s="148"/>
      <c r="AF191" s="148"/>
      <c r="AG191" s="148"/>
      <c r="AH191" s="148"/>
      <c r="AI191" s="148"/>
      <c r="AJ191" s="148"/>
      <c r="AK191" s="148"/>
      <c r="AL191" s="148"/>
      <c r="AM191" s="148"/>
      <c r="AN191" s="148"/>
      <c r="AO191" s="148"/>
      <c r="AP191" s="148"/>
      <c r="AQ191" s="148"/>
      <c r="AR191" s="148"/>
      <c r="AS191" s="148"/>
      <c r="AT191" s="148"/>
      <c r="AU191" s="148"/>
      <c r="AV191" s="148"/>
      <c r="AW191" s="148"/>
      <c r="AX191" s="148"/>
      <c r="AY191" s="148"/>
      <c r="AZ191" s="148"/>
      <c r="BA191" s="148"/>
      <c r="BB191" s="148"/>
      <c r="BC191" s="148"/>
      <c r="BD191" s="148"/>
      <c r="BE191" s="148"/>
      <c r="BF191" s="148"/>
      <c r="BG191" s="148"/>
      <c r="BH191" s="148"/>
      <c r="BI191" s="148"/>
      <c r="BJ191" s="148"/>
      <c r="BK191" s="148"/>
      <c r="BL191" s="148"/>
      <c r="BM191" s="148"/>
      <c r="BN191" s="148"/>
      <c r="BO191" s="148"/>
      <c r="BP191" s="148"/>
      <c r="BQ191" s="148"/>
      <c r="BR191" s="148"/>
      <c r="BS191" s="148"/>
      <c r="BT191" s="148"/>
      <c r="BU191" s="148"/>
      <c r="BV191" s="148"/>
      <c r="BW191" s="148"/>
      <c r="BX191" s="148"/>
      <c r="BY191" s="148"/>
      <c r="BZ191" s="148"/>
      <c r="CA191" s="148"/>
      <c r="CB191" s="148"/>
      <c r="CC191" s="148"/>
      <c r="CD191" s="148"/>
      <c r="CE191" s="148"/>
      <c r="CF191" s="148"/>
      <c r="CG191" s="148"/>
      <c r="CH191" s="148"/>
      <c r="CI191" s="148"/>
      <c r="CJ191" s="148"/>
      <c r="CK191" s="148"/>
      <c r="CL191" s="148"/>
      <c r="CM191" s="148"/>
      <c r="CN191" s="148"/>
      <c r="CO191" s="148"/>
      <c r="CP191" s="148"/>
      <c r="CQ191" s="148"/>
      <c r="CR191" s="148"/>
      <c r="CS191" s="148"/>
      <c r="CT191" s="148"/>
      <c r="CU191" s="148"/>
      <c r="CV191" s="148"/>
      <c r="CW191" s="148"/>
      <c r="CX191" s="148"/>
      <c r="CY191" s="148"/>
      <c r="CZ191" s="148"/>
      <c r="DA191" s="148"/>
      <c r="DB191" s="148"/>
      <c r="DC191" s="148"/>
      <c r="DD191" s="148"/>
      <c r="DE191" s="148"/>
      <c r="DF191" s="148"/>
      <c r="DG191" s="148"/>
      <c r="DH191" s="148"/>
      <c r="DI191" s="148"/>
      <c r="DJ191" s="148"/>
      <c r="DK191" s="148"/>
      <c r="DL191" s="148"/>
      <c r="DM191" s="148"/>
      <c r="DN191" s="148"/>
      <c r="DO191" s="148"/>
      <c r="DP191" s="148"/>
      <c r="DQ191" s="148"/>
      <c r="DR191" s="148"/>
      <c r="DS191" s="148"/>
      <c r="DT191" s="148"/>
      <c r="DU191" s="148"/>
      <c r="DV191" s="148"/>
      <c r="DW191" s="148"/>
      <c r="DX191" s="148"/>
      <c r="DY191" s="148"/>
      <c r="DZ191" s="148"/>
      <c r="EA191" s="148"/>
      <c r="EB191" s="148"/>
      <c r="EC191" s="148"/>
      <c r="ED191" s="148"/>
      <c r="EE191" s="148"/>
      <c r="EF191" s="148"/>
      <c r="EG191" s="148"/>
      <c r="EH191" s="148"/>
      <c r="EI191" s="148"/>
      <c r="EJ191" s="148"/>
      <c r="EK191" s="148"/>
      <c r="EL191" s="148"/>
      <c r="EM191" s="148"/>
      <c r="EN191" s="148"/>
      <c r="EO191" s="148"/>
      <c r="EP191" s="148"/>
      <c r="EQ191" s="148"/>
      <c r="ER191" s="148"/>
      <c r="ES191" s="148"/>
      <c r="ET191" s="148"/>
      <c r="EU191" s="148"/>
      <c r="EV191" s="148"/>
      <c r="EW191" s="148"/>
      <c r="EX191" s="148"/>
      <c r="EY191" s="148"/>
      <c r="EZ191" s="148"/>
      <c r="FA191" s="148"/>
      <c r="FB191" s="148"/>
      <c r="FC191" s="148"/>
      <c r="FD191" s="148"/>
      <c r="FE191" s="148"/>
      <c r="FF191" s="148"/>
      <c r="FG191" s="148"/>
      <c r="FH191" s="148"/>
      <c r="FI191" s="148"/>
      <c r="FJ191" s="148"/>
      <c r="FK191" s="148"/>
      <c r="FL191" s="148"/>
      <c r="FM191" s="148"/>
      <c r="FN191" s="148"/>
      <c r="FO191" s="148"/>
      <c r="FP191" s="148"/>
      <c r="FQ191" s="148"/>
      <c r="FR191" s="148"/>
      <c r="FS191" s="148"/>
      <c r="FT191" s="148"/>
      <c r="FU191" s="148"/>
      <c r="FV191" s="148"/>
      <c r="FW191" s="148"/>
      <c r="FX191" s="148"/>
      <c r="FY191" s="148"/>
      <c r="FZ191" s="148"/>
      <c r="GA191" s="148"/>
      <c r="GB191" s="148"/>
      <c r="GC191" s="148"/>
      <c r="GD191" s="148"/>
      <c r="GE191" s="148"/>
      <c r="GF191" s="148"/>
      <c r="GG191" s="148"/>
      <c r="GH191" s="148"/>
      <c r="GI191" s="148"/>
      <c r="GJ191" s="148"/>
      <c r="GK191" s="148"/>
      <c r="GL191" s="148"/>
      <c r="GM191" s="148"/>
      <c r="GN191" s="148"/>
      <c r="GO191" s="148"/>
      <c r="GP191" s="148"/>
      <c r="GQ191" s="148"/>
      <c r="GR191" s="148"/>
      <c r="GS191" s="148"/>
      <c r="GT191" s="148"/>
      <c r="GU191" s="148"/>
      <c r="GV191" s="148"/>
      <c r="GW191" s="148"/>
      <c r="GX191" s="148"/>
      <c r="GY191" s="148"/>
      <c r="GZ191" s="148"/>
      <c r="HA191" s="148"/>
      <c r="HB191" s="148"/>
      <c r="HC191" s="148"/>
      <c r="HD191" s="148"/>
      <c r="HE191" s="148"/>
      <c r="HF191" s="148"/>
      <c r="HG191" s="148"/>
      <c r="HH191" s="148"/>
      <c r="HI191" s="148"/>
      <c r="HJ191" s="148"/>
      <c r="HK191" s="148"/>
      <c r="HL191" s="148"/>
      <c r="HM191" s="148"/>
      <c r="HN191" s="148"/>
      <c r="HO191" s="148"/>
      <c r="HP191" s="148"/>
      <c r="HQ191" s="148"/>
      <c r="HR191" s="148"/>
      <c r="HS191" s="148"/>
      <c r="HT191" s="148"/>
      <c r="HU191" s="148"/>
      <c r="HV191" s="148"/>
      <c r="HW191" s="148"/>
      <c r="HX191" s="148"/>
      <c r="HY191" s="148"/>
      <c r="HZ191" s="148"/>
      <c r="IA191" s="148"/>
      <c r="IB191" s="148"/>
      <c r="IC191" s="148"/>
      <c r="ID191" s="148"/>
      <c r="IE191" s="148"/>
      <c r="IF191" s="148"/>
      <c r="IG191" s="148"/>
      <c r="IH191" s="148"/>
      <c r="II191" s="148"/>
      <c r="IJ191" s="148"/>
      <c r="IK191" s="148"/>
      <c r="IL191" s="148"/>
      <c r="IM191" s="148"/>
      <c r="IN191" s="148"/>
      <c r="IO191" s="148"/>
      <c r="IP191" s="148"/>
      <c r="IQ191" s="148"/>
      <c r="IR191" s="148"/>
      <c r="IS191" s="148"/>
      <c r="IT191" s="148"/>
      <c r="IU191" s="148"/>
      <c r="IV191" s="148"/>
      <c r="IW191" s="148"/>
      <c r="IX191" s="148"/>
      <c r="IY191" s="148"/>
      <c r="IZ191" s="148"/>
      <c r="JA191" s="148"/>
    </row>
    <row r="192" spans="1:261" s="272" customFormat="1" ht="18" customHeight="1" x14ac:dyDescent="0.35">
      <c r="A192" s="1423">
        <v>181</v>
      </c>
      <c r="B192" s="1557"/>
      <c r="C192" s="1582"/>
      <c r="D192" s="1163" t="s">
        <v>1116</v>
      </c>
      <c r="E192" s="1560"/>
      <c r="F192" s="1560"/>
      <c r="G192" s="1562"/>
      <c r="H192" s="1563"/>
      <c r="I192" s="1590"/>
      <c r="J192" s="1560"/>
      <c r="K192" s="1560">
        <f>SUM(K190:K191)</f>
        <v>500</v>
      </c>
      <c r="L192" s="1560">
        <f>SUM(L190:L191)</f>
        <v>3506</v>
      </c>
      <c r="M192" s="1560"/>
      <c r="N192" s="1560"/>
      <c r="O192" s="1576">
        <f>SUM(I192:N192)</f>
        <v>4006</v>
      </c>
      <c r="P192" s="1567"/>
      <c r="Q192" s="148"/>
      <c r="R192" s="148"/>
      <c r="S192" s="148"/>
      <c r="T192" s="148"/>
      <c r="U192" s="148"/>
      <c r="V192" s="148"/>
      <c r="W192" s="148"/>
      <c r="X192" s="148"/>
      <c r="Y192" s="148"/>
      <c r="Z192" s="148"/>
      <c r="AA192" s="148"/>
      <c r="AB192" s="148"/>
      <c r="AC192" s="148"/>
      <c r="AD192" s="148"/>
      <c r="AE192" s="148"/>
      <c r="AF192" s="148"/>
      <c r="AG192" s="148"/>
      <c r="AH192" s="148"/>
      <c r="AI192" s="148"/>
      <c r="AJ192" s="148"/>
      <c r="AK192" s="148"/>
      <c r="AL192" s="148"/>
      <c r="AM192" s="148"/>
      <c r="AN192" s="148"/>
      <c r="AO192" s="148"/>
      <c r="AP192" s="148"/>
      <c r="AQ192" s="148"/>
      <c r="AR192" s="148"/>
      <c r="AS192" s="148"/>
      <c r="AT192" s="148"/>
      <c r="AU192" s="148"/>
      <c r="AV192" s="148"/>
      <c r="AW192" s="148"/>
      <c r="AX192" s="148"/>
      <c r="AY192" s="148"/>
      <c r="AZ192" s="148"/>
      <c r="BA192" s="148"/>
      <c r="BB192" s="148"/>
      <c r="BC192" s="148"/>
      <c r="BD192" s="148"/>
      <c r="BE192" s="148"/>
      <c r="BF192" s="148"/>
      <c r="BG192" s="148"/>
      <c r="BH192" s="148"/>
      <c r="BI192" s="148"/>
      <c r="BJ192" s="148"/>
      <c r="BK192" s="148"/>
      <c r="BL192" s="148"/>
      <c r="BM192" s="148"/>
      <c r="BN192" s="148"/>
      <c r="BO192" s="148"/>
      <c r="BP192" s="148"/>
      <c r="BQ192" s="148"/>
      <c r="BR192" s="148"/>
      <c r="BS192" s="148"/>
      <c r="BT192" s="148"/>
      <c r="BU192" s="148"/>
      <c r="BV192" s="148"/>
      <c r="BW192" s="148"/>
      <c r="BX192" s="148"/>
      <c r="BY192" s="148"/>
      <c r="BZ192" s="148"/>
      <c r="CA192" s="148"/>
      <c r="CB192" s="148"/>
      <c r="CC192" s="148"/>
      <c r="CD192" s="148"/>
      <c r="CE192" s="148"/>
      <c r="CF192" s="148"/>
      <c r="CG192" s="148"/>
      <c r="CH192" s="148"/>
      <c r="CI192" s="148"/>
      <c r="CJ192" s="148"/>
      <c r="CK192" s="148"/>
      <c r="CL192" s="148"/>
      <c r="CM192" s="148"/>
      <c r="CN192" s="148"/>
      <c r="CO192" s="148"/>
      <c r="CP192" s="148"/>
      <c r="CQ192" s="148"/>
      <c r="CR192" s="148"/>
      <c r="CS192" s="148"/>
      <c r="CT192" s="148"/>
      <c r="CU192" s="148"/>
      <c r="CV192" s="148"/>
      <c r="CW192" s="148"/>
      <c r="CX192" s="148"/>
      <c r="CY192" s="148"/>
      <c r="CZ192" s="148"/>
      <c r="DA192" s="148"/>
      <c r="DB192" s="148"/>
      <c r="DC192" s="148"/>
      <c r="DD192" s="148"/>
      <c r="DE192" s="148"/>
      <c r="DF192" s="148"/>
      <c r="DG192" s="148"/>
      <c r="DH192" s="148"/>
      <c r="DI192" s="148"/>
      <c r="DJ192" s="148"/>
      <c r="DK192" s="148"/>
      <c r="DL192" s="148"/>
      <c r="DM192" s="148"/>
      <c r="DN192" s="148"/>
      <c r="DO192" s="148"/>
      <c r="DP192" s="148"/>
      <c r="DQ192" s="148"/>
      <c r="DR192" s="148"/>
      <c r="DS192" s="148"/>
      <c r="DT192" s="148"/>
      <c r="DU192" s="148"/>
      <c r="DV192" s="148"/>
      <c r="DW192" s="148"/>
      <c r="DX192" s="148"/>
      <c r="DY192" s="148"/>
      <c r="DZ192" s="148"/>
      <c r="EA192" s="148"/>
      <c r="EB192" s="148"/>
      <c r="EC192" s="148"/>
      <c r="ED192" s="148"/>
      <c r="EE192" s="148"/>
      <c r="EF192" s="148"/>
      <c r="EG192" s="148"/>
      <c r="EH192" s="148"/>
      <c r="EI192" s="148"/>
      <c r="EJ192" s="148"/>
      <c r="EK192" s="148"/>
      <c r="EL192" s="148"/>
      <c r="EM192" s="148"/>
      <c r="EN192" s="148"/>
      <c r="EO192" s="148"/>
      <c r="EP192" s="148"/>
      <c r="EQ192" s="148"/>
      <c r="ER192" s="148"/>
      <c r="ES192" s="148"/>
      <c r="ET192" s="148"/>
      <c r="EU192" s="148"/>
      <c r="EV192" s="148"/>
      <c r="EW192" s="148"/>
      <c r="EX192" s="148"/>
      <c r="EY192" s="148"/>
      <c r="EZ192" s="148"/>
      <c r="FA192" s="148"/>
      <c r="FB192" s="148"/>
      <c r="FC192" s="148"/>
      <c r="FD192" s="148"/>
      <c r="FE192" s="148"/>
      <c r="FF192" s="148"/>
      <c r="FG192" s="148"/>
      <c r="FH192" s="148"/>
      <c r="FI192" s="148"/>
      <c r="FJ192" s="148"/>
      <c r="FK192" s="148"/>
      <c r="FL192" s="148"/>
      <c r="FM192" s="148"/>
      <c r="FN192" s="148"/>
      <c r="FO192" s="148"/>
      <c r="FP192" s="148"/>
      <c r="FQ192" s="148"/>
      <c r="FR192" s="148"/>
      <c r="FS192" s="148"/>
      <c r="FT192" s="148"/>
      <c r="FU192" s="148"/>
      <c r="FV192" s="148"/>
      <c r="FW192" s="148"/>
      <c r="FX192" s="148"/>
      <c r="FY192" s="148"/>
      <c r="FZ192" s="148"/>
      <c r="GA192" s="148"/>
      <c r="GB192" s="148"/>
      <c r="GC192" s="148"/>
      <c r="GD192" s="148"/>
      <c r="GE192" s="148"/>
      <c r="GF192" s="148"/>
      <c r="GG192" s="148"/>
      <c r="GH192" s="148"/>
      <c r="GI192" s="148"/>
      <c r="GJ192" s="148"/>
      <c r="GK192" s="148"/>
      <c r="GL192" s="148"/>
      <c r="GM192" s="148"/>
      <c r="GN192" s="148"/>
      <c r="GO192" s="148"/>
      <c r="GP192" s="148"/>
      <c r="GQ192" s="148"/>
      <c r="GR192" s="148"/>
      <c r="GS192" s="148"/>
      <c r="GT192" s="148"/>
      <c r="GU192" s="148"/>
      <c r="GV192" s="148"/>
      <c r="GW192" s="148"/>
      <c r="GX192" s="148"/>
      <c r="GY192" s="148"/>
      <c r="GZ192" s="148"/>
      <c r="HA192" s="148"/>
      <c r="HB192" s="148"/>
      <c r="HC192" s="148"/>
      <c r="HD192" s="148"/>
      <c r="HE192" s="148"/>
      <c r="HF192" s="148"/>
      <c r="HG192" s="148"/>
      <c r="HH192" s="148"/>
      <c r="HI192" s="148"/>
      <c r="HJ192" s="148"/>
      <c r="HK192" s="148"/>
      <c r="HL192" s="148"/>
      <c r="HM192" s="148"/>
      <c r="HN192" s="148"/>
      <c r="HO192" s="148"/>
      <c r="HP192" s="148"/>
      <c r="HQ192" s="148"/>
      <c r="HR192" s="148"/>
      <c r="HS192" s="148"/>
      <c r="HT192" s="148"/>
      <c r="HU192" s="148"/>
      <c r="HV192" s="148"/>
      <c r="HW192" s="148"/>
      <c r="HX192" s="148"/>
      <c r="HY192" s="148"/>
      <c r="HZ192" s="148"/>
      <c r="IA192" s="148"/>
      <c r="IB192" s="148"/>
      <c r="IC192" s="148"/>
      <c r="ID192" s="148"/>
      <c r="IE192" s="148"/>
      <c r="IF192" s="148"/>
      <c r="IG192" s="148"/>
      <c r="IH192" s="148"/>
      <c r="II192" s="148"/>
      <c r="IJ192" s="148"/>
      <c r="IK192" s="148"/>
      <c r="IL192" s="148"/>
      <c r="IM192" s="148"/>
      <c r="IN192" s="148"/>
      <c r="IO192" s="148"/>
      <c r="IP192" s="148"/>
      <c r="IQ192" s="148"/>
      <c r="IR192" s="148"/>
      <c r="IS192" s="148"/>
      <c r="IT192" s="148"/>
      <c r="IU192" s="148"/>
      <c r="IV192" s="148"/>
      <c r="IW192" s="148"/>
      <c r="IX192" s="148"/>
      <c r="IY192" s="148"/>
      <c r="IZ192" s="148"/>
      <c r="JA192" s="148"/>
    </row>
    <row r="193" spans="1:261" s="272" customFormat="1" ht="22.5" customHeight="1" x14ac:dyDescent="0.35">
      <c r="A193" s="1423">
        <v>182</v>
      </c>
      <c r="B193" s="1557"/>
      <c r="C193" s="1558">
        <v>37</v>
      </c>
      <c r="D193" s="1466" t="s">
        <v>724</v>
      </c>
      <c r="E193" s="1560"/>
      <c r="F193" s="1560"/>
      <c r="G193" s="1562"/>
      <c r="H193" s="1563" t="s">
        <v>24</v>
      </c>
      <c r="I193" s="1586"/>
      <c r="J193" s="1587"/>
      <c r="K193" s="1587"/>
      <c r="L193" s="1587"/>
      <c r="M193" s="1587"/>
      <c r="N193" s="1587"/>
      <c r="O193" s="1566"/>
      <c r="P193" s="1567"/>
      <c r="Q193" s="148"/>
      <c r="R193" s="148"/>
      <c r="S193" s="148"/>
      <c r="T193" s="148"/>
      <c r="U193" s="148"/>
      <c r="V193" s="148"/>
      <c r="W193" s="148"/>
      <c r="X193" s="148"/>
      <c r="Y193" s="148"/>
      <c r="Z193" s="148"/>
      <c r="AA193" s="148"/>
      <c r="AB193" s="148"/>
      <c r="AC193" s="148"/>
      <c r="AD193" s="148"/>
      <c r="AE193" s="148"/>
      <c r="AF193" s="148"/>
      <c r="AG193" s="148"/>
      <c r="AH193" s="148"/>
      <c r="AI193" s="148"/>
      <c r="AJ193" s="148"/>
      <c r="AK193" s="148"/>
      <c r="AL193" s="148"/>
      <c r="AM193" s="148"/>
      <c r="AN193" s="148"/>
      <c r="AO193" s="148"/>
      <c r="AP193" s="148"/>
      <c r="AQ193" s="148"/>
      <c r="AR193" s="148"/>
      <c r="AS193" s="148"/>
      <c r="AT193" s="148"/>
      <c r="AU193" s="148"/>
      <c r="AV193" s="148"/>
      <c r="AW193" s="148"/>
      <c r="AX193" s="148"/>
      <c r="AY193" s="148"/>
      <c r="AZ193" s="148"/>
      <c r="BA193" s="148"/>
      <c r="BB193" s="148"/>
      <c r="BC193" s="148"/>
      <c r="BD193" s="148"/>
      <c r="BE193" s="148"/>
      <c r="BF193" s="148"/>
      <c r="BG193" s="148"/>
      <c r="BH193" s="148"/>
      <c r="BI193" s="148"/>
      <c r="BJ193" s="148"/>
      <c r="BK193" s="148"/>
      <c r="BL193" s="148"/>
      <c r="BM193" s="148"/>
      <c r="BN193" s="148"/>
      <c r="BO193" s="148"/>
      <c r="BP193" s="148"/>
      <c r="BQ193" s="148"/>
      <c r="BR193" s="148"/>
      <c r="BS193" s="148"/>
      <c r="BT193" s="148"/>
      <c r="BU193" s="148"/>
      <c r="BV193" s="148"/>
      <c r="BW193" s="148"/>
      <c r="BX193" s="148"/>
      <c r="BY193" s="148"/>
      <c r="BZ193" s="148"/>
      <c r="CA193" s="148"/>
      <c r="CB193" s="148"/>
      <c r="CC193" s="148"/>
      <c r="CD193" s="148"/>
      <c r="CE193" s="148"/>
      <c r="CF193" s="148"/>
      <c r="CG193" s="148"/>
      <c r="CH193" s="148"/>
      <c r="CI193" s="148"/>
      <c r="CJ193" s="148"/>
      <c r="CK193" s="148"/>
      <c r="CL193" s="148"/>
      <c r="CM193" s="148"/>
      <c r="CN193" s="148"/>
      <c r="CO193" s="148"/>
      <c r="CP193" s="148"/>
      <c r="CQ193" s="148"/>
      <c r="CR193" s="148"/>
      <c r="CS193" s="148"/>
      <c r="CT193" s="148"/>
      <c r="CU193" s="148"/>
      <c r="CV193" s="148"/>
      <c r="CW193" s="148"/>
      <c r="CX193" s="148"/>
      <c r="CY193" s="148"/>
      <c r="CZ193" s="148"/>
      <c r="DA193" s="148"/>
      <c r="DB193" s="148"/>
      <c r="DC193" s="148"/>
      <c r="DD193" s="148"/>
      <c r="DE193" s="148"/>
      <c r="DF193" s="148"/>
      <c r="DG193" s="148"/>
      <c r="DH193" s="148"/>
      <c r="DI193" s="148"/>
      <c r="DJ193" s="148"/>
      <c r="DK193" s="148"/>
      <c r="DL193" s="148"/>
      <c r="DM193" s="148"/>
      <c r="DN193" s="148"/>
      <c r="DO193" s="148"/>
      <c r="DP193" s="148"/>
      <c r="DQ193" s="148"/>
      <c r="DR193" s="148"/>
      <c r="DS193" s="148"/>
      <c r="DT193" s="148"/>
      <c r="DU193" s="148"/>
      <c r="DV193" s="148"/>
      <c r="DW193" s="148"/>
      <c r="DX193" s="148"/>
      <c r="DY193" s="148"/>
      <c r="DZ193" s="148"/>
      <c r="EA193" s="148"/>
      <c r="EB193" s="148"/>
      <c r="EC193" s="148"/>
      <c r="ED193" s="148"/>
      <c r="EE193" s="148"/>
      <c r="EF193" s="148"/>
      <c r="EG193" s="148"/>
      <c r="EH193" s="148"/>
      <c r="EI193" s="148"/>
      <c r="EJ193" s="148"/>
      <c r="EK193" s="148"/>
      <c r="EL193" s="148"/>
      <c r="EM193" s="148"/>
      <c r="EN193" s="148"/>
      <c r="EO193" s="148"/>
      <c r="EP193" s="148"/>
      <c r="EQ193" s="148"/>
      <c r="ER193" s="148"/>
      <c r="ES193" s="148"/>
      <c r="ET193" s="148"/>
      <c r="EU193" s="148"/>
      <c r="EV193" s="148"/>
      <c r="EW193" s="148"/>
      <c r="EX193" s="148"/>
      <c r="EY193" s="148"/>
      <c r="EZ193" s="148"/>
      <c r="FA193" s="148"/>
      <c r="FB193" s="148"/>
      <c r="FC193" s="148"/>
      <c r="FD193" s="148"/>
      <c r="FE193" s="148"/>
      <c r="FF193" s="148"/>
      <c r="FG193" s="148"/>
      <c r="FH193" s="148"/>
      <c r="FI193" s="148"/>
      <c r="FJ193" s="148"/>
      <c r="FK193" s="148"/>
      <c r="FL193" s="148"/>
      <c r="FM193" s="148"/>
      <c r="FN193" s="148"/>
      <c r="FO193" s="148"/>
      <c r="FP193" s="148"/>
      <c r="FQ193" s="148"/>
      <c r="FR193" s="148"/>
      <c r="FS193" s="148"/>
      <c r="FT193" s="148"/>
      <c r="FU193" s="148"/>
      <c r="FV193" s="148"/>
      <c r="FW193" s="148"/>
      <c r="FX193" s="148"/>
      <c r="FY193" s="148"/>
      <c r="FZ193" s="148"/>
      <c r="GA193" s="148"/>
      <c r="GB193" s="148"/>
      <c r="GC193" s="148"/>
      <c r="GD193" s="148"/>
      <c r="GE193" s="148"/>
      <c r="GF193" s="148"/>
      <c r="GG193" s="148"/>
      <c r="GH193" s="148"/>
      <c r="GI193" s="148"/>
      <c r="GJ193" s="148"/>
      <c r="GK193" s="148"/>
      <c r="GL193" s="148"/>
      <c r="GM193" s="148"/>
      <c r="GN193" s="148"/>
      <c r="GO193" s="148"/>
      <c r="GP193" s="148"/>
      <c r="GQ193" s="148"/>
      <c r="GR193" s="148"/>
      <c r="GS193" s="148"/>
      <c r="GT193" s="148"/>
      <c r="GU193" s="148"/>
      <c r="GV193" s="148"/>
      <c r="GW193" s="148"/>
      <c r="GX193" s="148"/>
      <c r="GY193" s="148"/>
      <c r="GZ193" s="148"/>
      <c r="HA193" s="148"/>
      <c r="HB193" s="148"/>
      <c r="HC193" s="148"/>
      <c r="HD193" s="148"/>
      <c r="HE193" s="148"/>
      <c r="HF193" s="148"/>
      <c r="HG193" s="148"/>
      <c r="HH193" s="148"/>
      <c r="HI193" s="148"/>
      <c r="HJ193" s="148"/>
      <c r="HK193" s="148"/>
      <c r="HL193" s="148"/>
      <c r="HM193" s="148"/>
      <c r="HN193" s="148"/>
      <c r="HO193" s="148"/>
      <c r="HP193" s="148"/>
      <c r="HQ193" s="148"/>
      <c r="HR193" s="148"/>
      <c r="HS193" s="148"/>
      <c r="HT193" s="148"/>
      <c r="HU193" s="148"/>
      <c r="HV193" s="148"/>
      <c r="HW193" s="148"/>
      <c r="HX193" s="148"/>
      <c r="HY193" s="148"/>
      <c r="HZ193" s="148"/>
      <c r="IA193" s="148"/>
      <c r="IB193" s="148"/>
      <c r="IC193" s="148"/>
      <c r="ID193" s="148"/>
      <c r="IE193" s="148"/>
      <c r="IF193" s="148"/>
      <c r="IG193" s="148"/>
      <c r="IH193" s="148"/>
      <c r="II193" s="148"/>
      <c r="IJ193" s="148"/>
      <c r="IK193" s="148"/>
      <c r="IL193" s="148"/>
      <c r="IM193" s="148"/>
      <c r="IN193" s="148"/>
      <c r="IO193" s="148"/>
      <c r="IP193" s="148"/>
      <c r="IQ193" s="148"/>
      <c r="IR193" s="148"/>
      <c r="IS193" s="148"/>
      <c r="IT193" s="148"/>
      <c r="IU193" s="148"/>
      <c r="IV193" s="148"/>
      <c r="IW193" s="148"/>
      <c r="IX193" s="148"/>
      <c r="IY193" s="148"/>
      <c r="IZ193" s="148"/>
      <c r="JA193" s="148"/>
    </row>
    <row r="194" spans="1:261" s="272" customFormat="1" ht="18" customHeight="1" x14ac:dyDescent="0.35">
      <c r="A194" s="1423">
        <v>183</v>
      </c>
      <c r="B194" s="1557"/>
      <c r="C194" s="1582"/>
      <c r="D194" s="1585" t="s">
        <v>311</v>
      </c>
      <c r="E194" s="1560">
        <f>F194+G194+O197+P194</f>
        <v>0</v>
      </c>
      <c r="F194" s="1560"/>
      <c r="G194" s="1562"/>
      <c r="H194" s="1563"/>
      <c r="I194" s="1586"/>
      <c r="J194" s="1587"/>
      <c r="K194" s="1587">
        <v>2628</v>
      </c>
      <c r="L194" s="1587"/>
      <c r="M194" s="1587"/>
      <c r="N194" s="1587"/>
      <c r="O194" s="1566">
        <f>SUM(I194:N194)</f>
        <v>2628</v>
      </c>
      <c r="P194" s="1567"/>
      <c r="Q194" s="148"/>
      <c r="R194" s="148"/>
      <c r="S194" s="148"/>
      <c r="T194" s="148"/>
      <c r="U194" s="148"/>
      <c r="V194" s="148"/>
      <c r="W194" s="148"/>
      <c r="X194" s="148"/>
      <c r="Y194" s="148"/>
      <c r="Z194" s="148"/>
      <c r="AA194" s="148"/>
      <c r="AB194" s="148"/>
      <c r="AC194" s="148"/>
      <c r="AD194" s="148"/>
      <c r="AE194" s="148"/>
      <c r="AF194" s="148"/>
      <c r="AG194" s="148"/>
      <c r="AH194" s="148"/>
      <c r="AI194" s="148"/>
      <c r="AJ194" s="148"/>
      <c r="AK194" s="148"/>
      <c r="AL194" s="148"/>
      <c r="AM194" s="148"/>
      <c r="AN194" s="148"/>
      <c r="AO194" s="148"/>
      <c r="AP194" s="148"/>
      <c r="AQ194" s="148"/>
      <c r="AR194" s="148"/>
      <c r="AS194" s="148"/>
      <c r="AT194" s="148"/>
      <c r="AU194" s="148"/>
      <c r="AV194" s="148"/>
      <c r="AW194" s="148"/>
      <c r="AX194" s="148"/>
      <c r="AY194" s="148"/>
      <c r="AZ194" s="148"/>
      <c r="BA194" s="148"/>
      <c r="BB194" s="148"/>
      <c r="BC194" s="148"/>
      <c r="BD194" s="148"/>
      <c r="BE194" s="148"/>
      <c r="BF194" s="148"/>
      <c r="BG194" s="148"/>
      <c r="BH194" s="148"/>
      <c r="BI194" s="148"/>
      <c r="BJ194" s="148"/>
      <c r="BK194" s="148"/>
      <c r="BL194" s="148"/>
      <c r="BM194" s="148"/>
      <c r="BN194" s="148"/>
      <c r="BO194" s="148"/>
      <c r="BP194" s="148"/>
      <c r="BQ194" s="148"/>
      <c r="BR194" s="148"/>
      <c r="BS194" s="148"/>
      <c r="BT194" s="148"/>
      <c r="BU194" s="148"/>
      <c r="BV194" s="148"/>
      <c r="BW194" s="148"/>
      <c r="BX194" s="148"/>
      <c r="BY194" s="148"/>
      <c r="BZ194" s="148"/>
      <c r="CA194" s="148"/>
      <c r="CB194" s="148"/>
      <c r="CC194" s="148"/>
      <c r="CD194" s="148"/>
      <c r="CE194" s="148"/>
      <c r="CF194" s="148"/>
      <c r="CG194" s="148"/>
      <c r="CH194" s="148"/>
      <c r="CI194" s="148"/>
      <c r="CJ194" s="148"/>
      <c r="CK194" s="148"/>
      <c r="CL194" s="148"/>
      <c r="CM194" s="148"/>
      <c r="CN194" s="148"/>
      <c r="CO194" s="148"/>
      <c r="CP194" s="148"/>
      <c r="CQ194" s="148"/>
      <c r="CR194" s="148"/>
      <c r="CS194" s="148"/>
      <c r="CT194" s="148"/>
      <c r="CU194" s="148"/>
      <c r="CV194" s="148"/>
      <c r="CW194" s="148"/>
      <c r="CX194" s="148"/>
      <c r="CY194" s="148"/>
      <c r="CZ194" s="148"/>
      <c r="DA194" s="148"/>
      <c r="DB194" s="148"/>
      <c r="DC194" s="148"/>
      <c r="DD194" s="148"/>
      <c r="DE194" s="148"/>
      <c r="DF194" s="148"/>
      <c r="DG194" s="148"/>
      <c r="DH194" s="148"/>
      <c r="DI194" s="148"/>
      <c r="DJ194" s="148"/>
      <c r="DK194" s="148"/>
      <c r="DL194" s="148"/>
      <c r="DM194" s="148"/>
      <c r="DN194" s="148"/>
      <c r="DO194" s="148"/>
      <c r="DP194" s="148"/>
      <c r="DQ194" s="148"/>
      <c r="DR194" s="148"/>
      <c r="DS194" s="148"/>
      <c r="DT194" s="148"/>
      <c r="DU194" s="148"/>
      <c r="DV194" s="148"/>
      <c r="DW194" s="148"/>
      <c r="DX194" s="148"/>
      <c r="DY194" s="148"/>
      <c r="DZ194" s="148"/>
      <c r="EA194" s="148"/>
      <c r="EB194" s="148"/>
      <c r="EC194" s="148"/>
      <c r="ED194" s="148"/>
      <c r="EE194" s="148"/>
      <c r="EF194" s="148"/>
      <c r="EG194" s="148"/>
      <c r="EH194" s="148"/>
      <c r="EI194" s="148"/>
      <c r="EJ194" s="148"/>
      <c r="EK194" s="148"/>
      <c r="EL194" s="148"/>
      <c r="EM194" s="148"/>
      <c r="EN194" s="148"/>
      <c r="EO194" s="148"/>
      <c r="EP194" s="148"/>
      <c r="EQ194" s="148"/>
      <c r="ER194" s="148"/>
      <c r="ES194" s="148"/>
      <c r="ET194" s="148"/>
      <c r="EU194" s="148"/>
      <c r="EV194" s="148"/>
      <c r="EW194" s="148"/>
      <c r="EX194" s="148"/>
      <c r="EY194" s="148"/>
      <c r="EZ194" s="148"/>
      <c r="FA194" s="148"/>
      <c r="FB194" s="148"/>
      <c r="FC194" s="148"/>
      <c r="FD194" s="148"/>
      <c r="FE194" s="148"/>
      <c r="FF194" s="148"/>
      <c r="FG194" s="148"/>
      <c r="FH194" s="148"/>
      <c r="FI194" s="148"/>
      <c r="FJ194" s="148"/>
      <c r="FK194" s="148"/>
      <c r="FL194" s="148"/>
      <c r="FM194" s="148"/>
      <c r="FN194" s="148"/>
      <c r="FO194" s="148"/>
      <c r="FP194" s="148"/>
      <c r="FQ194" s="148"/>
      <c r="FR194" s="148"/>
      <c r="FS194" s="148"/>
      <c r="FT194" s="148"/>
      <c r="FU194" s="148"/>
      <c r="FV194" s="148"/>
      <c r="FW194" s="148"/>
      <c r="FX194" s="148"/>
      <c r="FY194" s="148"/>
      <c r="FZ194" s="148"/>
      <c r="GA194" s="148"/>
      <c r="GB194" s="148"/>
      <c r="GC194" s="148"/>
      <c r="GD194" s="148"/>
      <c r="GE194" s="148"/>
      <c r="GF194" s="148"/>
      <c r="GG194" s="148"/>
      <c r="GH194" s="148"/>
      <c r="GI194" s="148"/>
      <c r="GJ194" s="148"/>
      <c r="GK194" s="148"/>
      <c r="GL194" s="148"/>
      <c r="GM194" s="148"/>
      <c r="GN194" s="148"/>
      <c r="GO194" s="148"/>
      <c r="GP194" s="148"/>
      <c r="GQ194" s="148"/>
      <c r="GR194" s="148"/>
      <c r="GS194" s="148"/>
      <c r="GT194" s="148"/>
      <c r="GU194" s="148"/>
      <c r="GV194" s="148"/>
      <c r="GW194" s="148"/>
      <c r="GX194" s="148"/>
      <c r="GY194" s="148"/>
      <c r="GZ194" s="148"/>
      <c r="HA194" s="148"/>
      <c r="HB194" s="148"/>
      <c r="HC194" s="148"/>
      <c r="HD194" s="148"/>
      <c r="HE194" s="148"/>
      <c r="HF194" s="148"/>
      <c r="HG194" s="148"/>
      <c r="HH194" s="148"/>
      <c r="HI194" s="148"/>
      <c r="HJ194" s="148"/>
      <c r="HK194" s="148"/>
      <c r="HL194" s="148"/>
      <c r="HM194" s="148"/>
      <c r="HN194" s="148"/>
      <c r="HO194" s="148"/>
      <c r="HP194" s="148"/>
      <c r="HQ194" s="148"/>
      <c r="HR194" s="148"/>
      <c r="HS194" s="148"/>
      <c r="HT194" s="148"/>
      <c r="HU194" s="148"/>
      <c r="HV194" s="148"/>
      <c r="HW194" s="148"/>
      <c r="HX194" s="148"/>
      <c r="HY194" s="148"/>
      <c r="HZ194" s="148"/>
      <c r="IA194" s="148"/>
      <c r="IB194" s="148"/>
      <c r="IC194" s="148"/>
      <c r="ID194" s="148"/>
      <c r="IE194" s="148"/>
      <c r="IF194" s="148"/>
      <c r="IG194" s="148"/>
      <c r="IH194" s="148"/>
      <c r="II194" s="148"/>
      <c r="IJ194" s="148"/>
      <c r="IK194" s="148"/>
      <c r="IL194" s="148"/>
      <c r="IM194" s="148"/>
      <c r="IN194" s="148"/>
      <c r="IO194" s="148"/>
      <c r="IP194" s="148"/>
      <c r="IQ194" s="148"/>
      <c r="IR194" s="148"/>
      <c r="IS194" s="148"/>
      <c r="IT194" s="148"/>
      <c r="IU194" s="148"/>
      <c r="IV194" s="148"/>
      <c r="IW194" s="148"/>
      <c r="IX194" s="148"/>
      <c r="IY194" s="148"/>
      <c r="IZ194" s="148"/>
      <c r="JA194" s="148"/>
    </row>
    <row r="195" spans="1:261" s="272" customFormat="1" ht="18" customHeight="1" x14ac:dyDescent="0.35">
      <c r="A195" s="1423">
        <v>184</v>
      </c>
      <c r="B195" s="1557"/>
      <c r="C195" s="1582"/>
      <c r="D195" s="1163" t="s">
        <v>1064</v>
      </c>
      <c r="E195" s="1560"/>
      <c r="F195" s="1560"/>
      <c r="G195" s="1562"/>
      <c r="H195" s="1563"/>
      <c r="I195" s="1586"/>
      <c r="J195" s="1587"/>
      <c r="K195" s="1560">
        <v>0</v>
      </c>
      <c r="L195" s="1587"/>
      <c r="M195" s="1587"/>
      <c r="N195" s="1587"/>
      <c r="O195" s="1576">
        <f>SUM(I195:N195)</f>
        <v>0</v>
      </c>
      <c r="P195" s="1567"/>
      <c r="Q195" s="148"/>
      <c r="R195" s="148"/>
      <c r="S195" s="148"/>
      <c r="T195" s="148"/>
      <c r="U195" s="148"/>
      <c r="V195" s="148"/>
      <c r="W195" s="148"/>
      <c r="X195" s="148"/>
      <c r="Y195" s="148"/>
      <c r="Z195" s="148"/>
      <c r="AA195" s="148"/>
      <c r="AB195" s="148"/>
      <c r="AC195" s="148"/>
      <c r="AD195" s="148"/>
      <c r="AE195" s="148"/>
      <c r="AF195" s="148"/>
      <c r="AG195" s="148"/>
      <c r="AH195" s="148"/>
      <c r="AI195" s="148"/>
      <c r="AJ195" s="148"/>
      <c r="AK195" s="148"/>
      <c r="AL195" s="148"/>
      <c r="AM195" s="148"/>
      <c r="AN195" s="148"/>
      <c r="AO195" s="148"/>
      <c r="AP195" s="148"/>
      <c r="AQ195" s="148"/>
      <c r="AR195" s="148"/>
      <c r="AS195" s="148"/>
      <c r="AT195" s="148"/>
      <c r="AU195" s="148"/>
      <c r="AV195" s="148"/>
      <c r="AW195" s="148"/>
      <c r="AX195" s="148"/>
      <c r="AY195" s="148"/>
      <c r="AZ195" s="148"/>
      <c r="BA195" s="148"/>
      <c r="BB195" s="148"/>
      <c r="BC195" s="148"/>
      <c r="BD195" s="148"/>
      <c r="BE195" s="148"/>
      <c r="BF195" s="148"/>
      <c r="BG195" s="148"/>
      <c r="BH195" s="148"/>
      <c r="BI195" s="148"/>
      <c r="BJ195" s="148"/>
      <c r="BK195" s="148"/>
      <c r="BL195" s="148"/>
      <c r="BM195" s="148"/>
      <c r="BN195" s="148"/>
      <c r="BO195" s="148"/>
      <c r="BP195" s="148"/>
      <c r="BQ195" s="148"/>
      <c r="BR195" s="148"/>
      <c r="BS195" s="148"/>
      <c r="BT195" s="148"/>
      <c r="BU195" s="148"/>
      <c r="BV195" s="148"/>
      <c r="BW195" s="148"/>
      <c r="BX195" s="148"/>
      <c r="BY195" s="148"/>
      <c r="BZ195" s="148"/>
      <c r="CA195" s="148"/>
      <c r="CB195" s="148"/>
      <c r="CC195" s="148"/>
      <c r="CD195" s="148"/>
      <c r="CE195" s="148"/>
      <c r="CF195" s="148"/>
      <c r="CG195" s="148"/>
      <c r="CH195" s="148"/>
      <c r="CI195" s="148"/>
      <c r="CJ195" s="148"/>
      <c r="CK195" s="148"/>
      <c r="CL195" s="148"/>
      <c r="CM195" s="148"/>
      <c r="CN195" s="148"/>
      <c r="CO195" s="148"/>
      <c r="CP195" s="148"/>
      <c r="CQ195" s="148"/>
      <c r="CR195" s="148"/>
      <c r="CS195" s="148"/>
      <c r="CT195" s="148"/>
      <c r="CU195" s="148"/>
      <c r="CV195" s="148"/>
      <c r="CW195" s="148"/>
      <c r="CX195" s="148"/>
      <c r="CY195" s="148"/>
      <c r="CZ195" s="148"/>
      <c r="DA195" s="148"/>
      <c r="DB195" s="148"/>
      <c r="DC195" s="148"/>
      <c r="DD195" s="148"/>
      <c r="DE195" s="148"/>
      <c r="DF195" s="148"/>
      <c r="DG195" s="148"/>
      <c r="DH195" s="148"/>
      <c r="DI195" s="148"/>
      <c r="DJ195" s="148"/>
      <c r="DK195" s="148"/>
      <c r="DL195" s="148"/>
      <c r="DM195" s="148"/>
      <c r="DN195" s="148"/>
      <c r="DO195" s="148"/>
      <c r="DP195" s="148"/>
      <c r="DQ195" s="148"/>
      <c r="DR195" s="148"/>
      <c r="DS195" s="148"/>
      <c r="DT195" s="148"/>
      <c r="DU195" s="148"/>
      <c r="DV195" s="148"/>
      <c r="DW195" s="148"/>
      <c r="DX195" s="148"/>
      <c r="DY195" s="148"/>
      <c r="DZ195" s="148"/>
      <c r="EA195" s="148"/>
      <c r="EB195" s="148"/>
      <c r="EC195" s="148"/>
      <c r="ED195" s="148"/>
      <c r="EE195" s="148"/>
      <c r="EF195" s="148"/>
      <c r="EG195" s="148"/>
      <c r="EH195" s="148"/>
      <c r="EI195" s="148"/>
      <c r="EJ195" s="148"/>
      <c r="EK195" s="148"/>
      <c r="EL195" s="148"/>
      <c r="EM195" s="148"/>
      <c r="EN195" s="148"/>
      <c r="EO195" s="148"/>
      <c r="EP195" s="148"/>
      <c r="EQ195" s="148"/>
      <c r="ER195" s="148"/>
      <c r="ES195" s="148"/>
      <c r="ET195" s="148"/>
      <c r="EU195" s="148"/>
      <c r="EV195" s="148"/>
      <c r="EW195" s="148"/>
      <c r="EX195" s="148"/>
      <c r="EY195" s="148"/>
      <c r="EZ195" s="148"/>
      <c r="FA195" s="148"/>
      <c r="FB195" s="148"/>
      <c r="FC195" s="148"/>
      <c r="FD195" s="148"/>
      <c r="FE195" s="148"/>
      <c r="FF195" s="148"/>
      <c r="FG195" s="148"/>
      <c r="FH195" s="148"/>
      <c r="FI195" s="148"/>
      <c r="FJ195" s="148"/>
      <c r="FK195" s="148"/>
      <c r="FL195" s="148"/>
      <c r="FM195" s="148"/>
      <c r="FN195" s="148"/>
      <c r="FO195" s="148"/>
      <c r="FP195" s="148"/>
      <c r="FQ195" s="148"/>
      <c r="FR195" s="148"/>
      <c r="FS195" s="148"/>
      <c r="FT195" s="148"/>
      <c r="FU195" s="148"/>
      <c r="FV195" s="148"/>
      <c r="FW195" s="148"/>
      <c r="FX195" s="148"/>
      <c r="FY195" s="148"/>
      <c r="FZ195" s="148"/>
      <c r="GA195" s="148"/>
      <c r="GB195" s="148"/>
      <c r="GC195" s="148"/>
      <c r="GD195" s="148"/>
      <c r="GE195" s="148"/>
      <c r="GF195" s="148"/>
      <c r="GG195" s="148"/>
      <c r="GH195" s="148"/>
      <c r="GI195" s="148"/>
      <c r="GJ195" s="148"/>
      <c r="GK195" s="148"/>
      <c r="GL195" s="148"/>
      <c r="GM195" s="148"/>
      <c r="GN195" s="148"/>
      <c r="GO195" s="148"/>
      <c r="GP195" s="148"/>
      <c r="GQ195" s="148"/>
      <c r="GR195" s="148"/>
      <c r="GS195" s="148"/>
      <c r="GT195" s="148"/>
      <c r="GU195" s="148"/>
      <c r="GV195" s="148"/>
      <c r="GW195" s="148"/>
      <c r="GX195" s="148"/>
      <c r="GY195" s="148"/>
      <c r="GZ195" s="148"/>
      <c r="HA195" s="148"/>
      <c r="HB195" s="148"/>
      <c r="HC195" s="148"/>
      <c r="HD195" s="148"/>
      <c r="HE195" s="148"/>
      <c r="HF195" s="148"/>
      <c r="HG195" s="148"/>
      <c r="HH195" s="148"/>
      <c r="HI195" s="148"/>
      <c r="HJ195" s="148"/>
      <c r="HK195" s="148"/>
      <c r="HL195" s="148"/>
      <c r="HM195" s="148"/>
      <c r="HN195" s="148"/>
      <c r="HO195" s="148"/>
      <c r="HP195" s="148"/>
      <c r="HQ195" s="148"/>
      <c r="HR195" s="148"/>
      <c r="HS195" s="148"/>
      <c r="HT195" s="148"/>
      <c r="HU195" s="148"/>
      <c r="HV195" s="148"/>
      <c r="HW195" s="148"/>
      <c r="HX195" s="148"/>
      <c r="HY195" s="148"/>
      <c r="HZ195" s="148"/>
      <c r="IA195" s="148"/>
      <c r="IB195" s="148"/>
      <c r="IC195" s="148"/>
      <c r="ID195" s="148"/>
      <c r="IE195" s="148"/>
      <c r="IF195" s="148"/>
      <c r="IG195" s="148"/>
      <c r="IH195" s="148"/>
      <c r="II195" s="148"/>
      <c r="IJ195" s="148"/>
      <c r="IK195" s="148"/>
      <c r="IL195" s="148"/>
      <c r="IM195" s="148"/>
      <c r="IN195" s="148"/>
      <c r="IO195" s="148"/>
      <c r="IP195" s="148"/>
      <c r="IQ195" s="148"/>
      <c r="IR195" s="148"/>
      <c r="IS195" s="148"/>
      <c r="IT195" s="148"/>
      <c r="IU195" s="148"/>
      <c r="IV195" s="148"/>
      <c r="IW195" s="148"/>
      <c r="IX195" s="148"/>
      <c r="IY195" s="148"/>
      <c r="IZ195" s="148"/>
      <c r="JA195" s="148"/>
    </row>
    <row r="196" spans="1:261" s="272" customFormat="1" ht="18" customHeight="1" x14ac:dyDescent="0.35">
      <c r="A196" s="1423">
        <v>185</v>
      </c>
      <c r="B196" s="1557"/>
      <c r="C196" s="1582"/>
      <c r="D196" s="1174" t="s">
        <v>999</v>
      </c>
      <c r="E196" s="1560"/>
      <c r="F196" s="1560"/>
      <c r="G196" s="1562"/>
      <c r="H196" s="1563"/>
      <c r="I196" s="1590"/>
      <c r="J196" s="1560"/>
      <c r="K196" s="1560"/>
      <c r="L196" s="1560"/>
      <c r="M196" s="1560"/>
      <c r="N196" s="1560"/>
      <c r="O196" s="1578">
        <f>SUM(I196:N196)</f>
        <v>0</v>
      </c>
      <c r="P196" s="1567"/>
      <c r="Q196" s="148"/>
      <c r="R196" s="148"/>
      <c r="S196" s="148"/>
      <c r="T196" s="148"/>
      <c r="U196" s="148"/>
      <c r="V196" s="148"/>
      <c r="W196" s="148"/>
      <c r="X196" s="148"/>
      <c r="Y196" s="148"/>
      <c r="Z196" s="148"/>
      <c r="AA196" s="148"/>
      <c r="AB196" s="148"/>
      <c r="AC196" s="148"/>
      <c r="AD196" s="148"/>
      <c r="AE196" s="148"/>
      <c r="AF196" s="148"/>
      <c r="AG196" s="148"/>
      <c r="AH196" s="148"/>
      <c r="AI196" s="148"/>
      <c r="AJ196" s="148"/>
      <c r="AK196" s="148"/>
      <c r="AL196" s="148"/>
      <c r="AM196" s="148"/>
      <c r="AN196" s="148"/>
      <c r="AO196" s="148"/>
      <c r="AP196" s="148"/>
      <c r="AQ196" s="148"/>
      <c r="AR196" s="148"/>
      <c r="AS196" s="148"/>
      <c r="AT196" s="148"/>
      <c r="AU196" s="148"/>
      <c r="AV196" s="148"/>
      <c r="AW196" s="148"/>
      <c r="AX196" s="148"/>
      <c r="AY196" s="148"/>
      <c r="AZ196" s="148"/>
      <c r="BA196" s="148"/>
      <c r="BB196" s="148"/>
      <c r="BC196" s="148"/>
      <c r="BD196" s="148"/>
      <c r="BE196" s="148"/>
      <c r="BF196" s="148"/>
      <c r="BG196" s="148"/>
      <c r="BH196" s="148"/>
      <c r="BI196" s="148"/>
      <c r="BJ196" s="148"/>
      <c r="BK196" s="148"/>
      <c r="BL196" s="148"/>
      <c r="BM196" s="148"/>
      <c r="BN196" s="148"/>
      <c r="BO196" s="148"/>
      <c r="BP196" s="148"/>
      <c r="BQ196" s="148"/>
      <c r="BR196" s="148"/>
      <c r="BS196" s="148"/>
      <c r="BT196" s="148"/>
      <c r="BU196" s="148"/>
      <c r="BV196" s="148"/>
      <c r="BW196" s="148"/>
      <c r="BX196" s="148"/>
      <c r="BY196" s="148"/>
      <c r="BZ196" s="148"/>
      <c r="CA196" s="148"/>
      <c r="CB196" s="148"/>
      <c r="CC196" s="148"/>
      <c r="CD196" s="148"/>
      <c r="CE196" s="148"/>
      <c r="CF196" s="148"/>
      <c r="CG196" s="148"/>
      <c r="CH196" s="148"/>
      <c r="CI196" s="148"/>
      <c r="CJ196" s="148"/>
      <c r="CK196" s="148"/>
      <c r="CL196" s="148"/>
      <c r="CM196" s="148"/>
      <c r="CN196" s="148"/>
      <c r="CO196" s="148"/>
      <c r="CP196" s="148"/>
      <c r="CQ196" s="148"/>
      <c r="CR196" s="148"/>
      <c r="CS196" s="148"/>
      <c r="CT196" s="148"/>
      <c r="CU196" s="148"/>
      <c r="CV196" s="148"/>
      <c r="CW196" s="148"/>
      <c r="CX196" s="148"/>
      <c r="CY196" s="148"/>
      <c r="CZ196" s="148"/>
      <c r="DA196" s="148"/>
      <c r="DB196" s="148"/>
      <c r="DC196" s="148"/>
      <c r="DD196" s="148"/>
      <c r="DE196" s="148"/>
      <c r="DF196" s="148"/>
      <c r="DG196" s="148"/>
      <c r="DH196" s="148"/>
      <c r="DI196" s="148"/>
      <c r="DJ196" s="148"/>
      <c r="DK196" s="148"/>
      <c r="DL196" s="148"/>
      <c r="DM196" s="148"/>
      <c r="DN196" s="148"/>
      <c r="DO196" s="148"/>
      <c r="DP196" s="148"/>
      <c r="DQ196" s="148"/>
      <c r="DR196" s="148"/>
      <c r="DS196" s="148"/>
      <c r="DT196" s="148"/>
      <c r="DU196" s="148"/>
      <c r="DV196" s="148"/>
      <c r="DW196" s="148"/>
      <c r="DX196" s="148"/>
      <c r="DY196" s="148"/>
      <c r="DZ196" s="148"/>
      <c r="EA196" s="148"/>
      <c r="EB196" s="148"/>
      <c r="EC196" s="148"/>
      <c r="ED196" s="148"/>
      <c r="EE196" s="148"/>
      <c r="EF196" s="148"/>
      <c r="EG196" s="148"/>
      <c r="EH196" s="148"/>
      <c r="EI196" s="148"/>
      <c r="EJ196" s="148"/>
      <c r="EK196" s="148"/>
      <c r="EL196" s="148"/>
      <c r="EM196" s="148"/>
      <c r="EN196" s="148"/>
      <c r="EO196" s="148"/>
      <c r="EP196" s="148"/>
      <c r="EQ196" s="148"/>
      <c r="ER196" s="148"/>
      <c r="ES196" s="148"/>
      <c r="ET196" s="148"/>
      <c r="EU196" s="148"/>
      <c r="EV196" s="148"/>
      <c r="EW196" s="148"/>
      <c r="EX196" s="148"/>
      <c r="EY196" s="148"/>
      <c r="EZ196" s="148"/>
      <c r="FA196" s="148"/>
      <c r="FB196" s="148"/>
      <c r="FC196" s="148"/>
      <c r="FD196" s="148"/>
      <c r="FE196" s="148"/>
      <c r="FF196" s="148"/>
      <c r="FG196" s="148"/>
      <c r="FH196" s="148"/>
      <c r="FI196" s="148"/>
      <c r="FJ196" s="148"/>
      <c r="FK196" s="148"/>
      <c r="FL196" s="148"/>
      <c r="FM196" s="148"/>
      <c r="FN196" s="148"/>
      <c r="FO196" s="148"/>
      <c r="FP196" s="148"/>
      <c r="FQ196" s="148"/>
      <c r="FR196" s="148"/>
      <c r="FS196" s="148"/>
      <c r="FT196" s="148"/>
      <c r="FU196" s="148"/>
      <c r="FV196" s="148"/>
      <c r="FW196" s="148"/>
      <c r="FX196" s="148"/>
      <c r="FY196" s="148"/>
      <c r="FZ196" s="148"/>
      <c r="GA196" s="148"/>
      <c r="GB196" s="148"/>
      <c r="GC196" s="148"/>
      <c r="GD196" s="148"/>
      <c r="GE196" s="148"/>
      <c r="GF196" s="148"/>
      <c r="GG196" s="148"/>
      <c r="GH196" s="148"/>
      <c r="GI196" s="148"/>
      <c r="GJ196" s="148"/>
      <c r="GK196" s="148"/>
      <c r="GL196" s="148"/>
      <c r="GM196" s="148"/>
      <c r="GN196" s="148"/>
      <c r="GO196" s="148"/>
      <c r="GP196" s="148"/>
      <c r="GQ196" s="148"/>
      <c r="GR196" s="148"/>
      <c r="GS196" s="148"/>
      <c r="GT196" s="148"/>
      <c r="GU196" s="148"/>
      <c r="GV196" s="148"/>
      <c r="GW196" s="148"/>
      <c r="GX196" s="148"/>
      <c r="GY196" s="148"/>
      <c r="GZ196" s="148"/>
      <c r="HA196" s="148"/>
      <c r="HB196" s="148"/>
      <c r="HC196" s="148"/>
      <c r="HD196" s="148"/>
      <c r="HE196" s="148"/>
      <c r="HF196" s="148"/>
      <c r="HG196" s="148"/>
      <c r="HH196" s="148"/>
      <c r="HI196" s="148"/>
      <c r="HJ196" s="148"/>
      <c r="HK196" s="148"/>
      <c r="HL196" s="148"/>
      <c r="HM196" s="148"/>
      <c r="HN196" s="148"/>
      <c r="HO196" s="148"/>
      <c r="HP196" s="148"/>
      <c r="HQ196" s="148"/>
      <c r="HR196" s="148"/>
      <c r="HS196" s="148"/>
      <c r="HT196" s="148"/>
      <c r="HU196" s="148"/>
      <c r="HV196" s="148"/>
      <c r="HW196" s="148"/>
      <c r="HX196" s="148"/>
      <c r="HY196" s="148"/>
      <c r="HZ196" s="148"/>
      <c r="IA196" s="148"/>
      <c r="IB196" s="148"/>
      <c r="IC196" s="148"/>
      <c r="ID196" s="148"/>
      <c r="IE196" s="148"/>
      <c r="IF196" s="148"/>
      <c r="IG196" s="148"/>
      <c r="IH196" s="148"/>
      <c r="II196" s="148"/>
      <c r="IJ196" s="148"/>
      <c r="IK196" s="148"/>
      <c r="IL196" s="148"/>
      <c r="IM196" s="148"/>
      <c r="IN196" s="148"/>
      <c r="IO196" s="148"/>
      <c r="IP196" s="148"/>
      <c r="IQ196" s="148"/>
      <c r="IR196" s="148"/>
      <c r="IS196" s="148"/>
      <c r="IT196" s="148"/>
      <c r="IU196" s="148"/>
      <c r="IV196" s="148"/>
      <c r="IW196" s="148"/>
      <c r="IX196" s="148"/>
      <c r="IY196" s="148"/>
      <c r="IZ196" s="148"/>
      <c r="JA196" s="148"/>
    </row>
    <row r="197" spans="1:261" s="272" customFormat="1" ht="18" customHeight="1" x14ac:dyDescent="0.35">
      <c r="A197" s="1423">
        <v>186</v>
      </c>
      <c r="B197" s="1557"/>
      <c r="C197" s="1582"/>
      <c r="D197" s="1163" t="s">
        <v>1116</v>
      </c>
      <c r="E197" s="1560"/>
      <c r="F197" s="1560"/>
      <c r="G197" s="1562"/>
      <c r="H197" s="1563"/>
      <c r="I197" s="1590"/>
      <c r="J197" s="1560"/>
      <c r="K197" s="1560">
        <f>SUM(K195:K196)</f>
        <v>0</v>
      </c>
      <c r="L197" s="1560"/>
      <c r="M197" s="1560"/>
      <c r="N197" s="1560"/>
      <c r="O197" s="1576">
        <f>SUM(I197:N197)</f>
        <v>0</v>
      </c>
      <c r="P197" s="1567"/>
      <c r="Q197" s="148"/>
      <c r="R197" s="148"/>
      <c r="S197" s="148"/>
      <c r="T197" s="148"/>
      <c r="U197" s="148"/>
      <c r="V197" s="148"/>
      <c r="W197" s="148"/>
      <c r="X197" s="148"/>
      <c r="Y197" s="148"/>
      <c r="Z197" s="148"/>
      <c r="AA197" s="148"/>
      <c r="AB197" s="148"/>
      <c r="AC197" s="148"/>
      <c r="AD197" s="148"/>
      <c r="AE197" s="148"/>
      <c r="AF197" s="148"/>
      <c r="AG197" s="148"/>
      <c r="AH197" s="148"/>
      <c r="AI197" s="148"/>
      <c r="AJ197" s="148"/>
      <c r="AK197" s="148"/>
      <c r="AL197" s="148"/>
      <c r="AM197" s="148"/>
      <c r="AN197" s="148"/>
      <c r="AO197" s="148"/>
      <c r="AP197" s="148"/>
      <c r="AQ197" s="148"/>
      <c r="AR197" s="148"/>
      <c r="AS197" s="148"/>
      <c r="AT197" s="148"/>
      <c r="AU197" s="148"/>
      <c r="AV197" s="148"/>
      <c r="AW197" s="148"/>
      <c r="AX197" s="148"/>
      <c r="AY197" s="148"/>
      <c r="AZ197" s="148"/>
      <c r="BA197" s="148"/>
      <c r="BB197" s="148"/>
      <c r="BC197" s="148"/>
      <c r="BD197" s="148"/>
      <c r="BE197" s="148"/>
      <c r="BF197" s="148"/>
      <c r="BG197" s="148"/>
      <c r="BH197" s="148"/>
      <c r="BI197" s="148"/>
      <c r="BJ197" s="148"/>
      <c r="BK197" s="148"/>
      <c r="BL197" s="148"/>
      <c r="BM197" s="148"/>
      <c r="BN197" s="148"/>
      <c r="BO197" s="148"/>
      <c r="BP197" s="148"/>
      <c r="BQ197" s="148"/>
      <c r="BR197" s="148"/>
      <c r="BS197" s="148"/>
      <c r="BT197" s="148"/>
      <c r="BU197" s="148"/>
      <c r="BV197" s="148"/>
      <c r="BW197" s="148"/>
      <c r="BX197" s="148"/>
      <c r="BY197" s="148"/>
      <c r="BZ197" s="148"/>
      <c r="CA197" s="148"/>
      <c r="CB197" s="148"/>
      <c r="CC197" s="148"/>
      <c r="CD197" s="148"/>
      <c r="CE197" s="148"/>
      <c r="CF197" s="148"/>
      <c r="CG197" s="148"/>
      <c r="CH197" s="148"/>
      <c r="CI197" s="148"/>
      <c r="CJ197" s="148"/>
      <c r="CK197" s="148"/>
      <c r="CL197" s="148"/>
      <c r="CM197" s="148"/>
      <c r="CN197" s="148"/>
      <c r="CO197" s="148"/>
      <c r="CP197" s="148"/>
      <c r="CQ197" s="148"/>
      <c r="CR197" s="148"/>
      <c r="CS197" s="148"/>
      <c r="CT197" s="148"/>
      <c r="CU197" s="148"/>
      <c r="CV197" s="148"/>
      <c r="CW197" s="148"/>
      <c r="CX197" s="148"/>
      <c r="CY197" s="148"/>
      <c r="CZ197" s="148"/>
      <c r="DA197" s="148"/>
      <c r="DB197" s="148"/>
      <c r="DC197" s="148"/>
      <c r="DD197" s="148"/>
      <c r="DE197" s="148"/>
      <c r="DF197" s="148"/>
      <c r="DG197" s="148"/>
      <c r="DH197" s="148"/>
      <c r="DI197" s="148"/>
      <c r="DJ197" s="148"/>
      <c r="DK197" s="148"/>
      <c r="DL197" s="148"/>
      <c r="DM197" s="148"/>
      <c r="DN197" s="148"/>
      <c r="DO197" s="148"/>
      <c r="DP197" s="148"/>
      <c r="DQ197" s="148"/>
      <c r="DR197" s="148"/>
      <c r="DS197" s="148"/>
      <c r="DT197" s="148"/>
      <c r="DU197" s="148"/>
      <c r="DV197" s="148"/>
      <c r="DW197" s="148"/>
      <c r="DX197" s="148"/>
      <c r="DY197" s="148"/>
      <c r="DZ197" s="148"/>
      <c r="EA197" s="148"/>
      <c r="EB197" s="148"/>
      <c r="EC197" s="148"/>
      <c r="ED197" s="148"/>
      <c r="EE197" s="148"/>
      <c r="EF197" s="148"/>
      <c r="EG197" s="148"/>
      <c r="EH197" s="148"/>
      <c r="EI197" s="148"/>
      <c r="EJ197" s="148"/>
      <c r="EK197" s="148"/>
      <c r="EL197" s="148"/>
      <c r="EM197" s="148"/>
      <c r="EN197" s="148"/>
      <c r="EO197" s="148"/>
      <c r="EP197" s="148"/>
      <c r="EQ197" s="148"/>
      <c r="ER197" s="148"/>
      <c r="ES197" s="148"/>
      <c r="ET197" s="148"/>
      <c r="EU197" s="148"/>
      <c r="EV197" s="148"/>
      <c r="EW197" s="148"/>
      <c r="EX197" s="148"/>
      <c r="EY197" s="148"/>
      <c r="EZ197" s="148"/>
      <c r="FA197" s="148"/>
      <c r="FB197" s="148"/>
      <c r="FC197" s="148"/>
      <c r="FD197" s="148"/>
      <c r="FE197" s="148"/>
      <c r="FF197" s="148"/>
      <c r="FG197" s="148"/>
      <c r="FH197" s="148"/>
      <c r="FI197" s="148"/>
      <c r="FJ197" s="148"/>
      <c r="FK197" s="148"/>
      <c r="FL197" s="148"/>
      <c r="FM197" s="148"/>
      <c r="FN197" s="148"/>
      <c r="FO197" s="148"/>
      <c r="FP197" s="148"/>
      <c r="FQ197" s="148"/>
      <c r="FR197" s="148"/>
      <c r="FS197" s="148"/>
      <c r="FT197" s="148"/>
      <c r="FU197" s="148"/>
      <c r="FV197" s="148"/>
      <c r="FW197" s="148"/>
      <c r="FX197" s="148"/>
      <c r="FY197" s="148"/>
      <c r="FZ197" s="148"/>
      <c r="GA197" s="148"/>
      <c r="GB197" s="148"/>
      <c r="GC197" s="148"/>
      <c r="GD197" s="148"/>
      <c r="GE197" s="148"/>
      <c r="GF197" s="148"/>
      <c r="GG197" s="148"/>
      <c r="GH197" s="148"/>
      <c r="GI197" s="148"/>
      <c r="GJ197" s="148"/>
      <c r="GK197" s="148"/>
      <c r="GL197" s="148"/>
      <c r="GM197" s="148"/>
      <c r="GN197" s="148"/>
      <c r="GO197" s="148"/>
      <c r="GP197" s="148"/>
      <c r="GQ197" s="148"/>
      <c r="GR197" s="148"/>
      <c r="GS197" s="148"/>
      <c r="GT197" s="148"/>
      <c r="GU197" s="148"/>
      <c r="GV197" s="148"/>
      <c r="GW197" s="148"/>
      <c r="GX197" s="148"/>
      <c r="GY197" s="148"/>
      <c r="GZ197" s="148"/>
      <c r="HA197" s="148"/>
      <c r="HB197" s="148"/>
      <c r="HC197" s="148"/>
      <c r="HD197" s="148"/>
      <c r="HE197" s="148"/>
      <c r="HF197" s="148"/>
      <c r="HG197" s="148"/>
      <c r="HH197" s="148"/>
      <c r="HI197" s="148"/>
      <c r="HJ197" s="148"/>
      <c r="HK197" s="148"/>
      <c r="HL197" s="148"/>
      <c r="HM197" s="148"/>
      <c r="HN197" s="148"/>
      <c r="HO197" s="148"/>
      <c r="HP197" s="148"/>
      <c r="HQ197" s="148"/>
      <c r="HR197" s="148"/>
      <c r="HS197" s="148"/>
      <c r="HT197" s="148"/>
      <c r="HU197" s="148"/>
      <c r="HV197" s="148"/>
      <c r="HW197" s="148"/>
      <c r="HX197" s="148"/>
      <c r="HY197" s="148"/>
      <c r="HZ197" s="148"/>
      <c r="IA197" s="148"/>
      <c r="IB197" s="148"/>
      <c r="IC197" s="148"/>
      <c r="ID197" s="148"/>
      <c r="IE197" s="148"/>
      <c r="IF197" s="148"/>
      <c r="IG197" s="148"/>
      <c r="IH197" s="148"/>
      <c r="II197" s="148"/>
      <c r="IJ197" s="148"/>
      <c r="IK197" s="148"/>
      <c r="IL197" s="148"/>
      <c r="IM197" s="148"/>
      <c r="IN197" s="148"/>
      <c r="IO197" s="148"/>
      <c r="IP197" s="148"/>
      <c r="IQ197" s="148"/>
      <c r="IR197" s="148"/>
      <c r="IS197" s="148"/>
      <c r="IT197" s="148"/>
      <c r="IU197" s="148"/>
      <c r="IV197" s="148"/>
      <c r="IW197" s="148"/>
      <c r="IX197" s="148"/>
      <c r="IY197" s="148"/>
      <c r="IZ197" s="148"/>
      <c r="JA197" s="148"/>
    </row>
    <row r="198" spans="1:261" s="272" customFormat="1" ht="18" customHeight="1" x14ac:dyDescent="0.35">
      <c r="A198" s="1423">
        <v>187</v>
      </c>
      <c r="B198" s="1557"/>
      <c r="C198" s="1558">
        <v>38</v>
      </c>
      <c r="D198" s="150" t="s">
        <v>704</v>
      </c>
      <c r="E198" s="1560"/>
      <c r="F198" s="1560"/>
      <c r="G198" s="1562"/>
      <c r="H198" s="1563" t="s">
        <v>24</v>
      </c>
      <c r="I198" s="1590"/>
      <c r="J198" s="1560"/>
      <c r="K198" s="1560"/>
      <c r="L198" s="1560"/>
      <c r="M198" s="1560"/>
      <c r="N198" s="1560"/>
      <c r="O198" s="1576"/>
      <c r="P198" s="1567"/>
      <c r="Q198" s="148"/>
      <c r="R198" s="148"/>
      <c r="S198" s="148"/>
      <c r="T198" s="148"/>
      <c r="U198" s="148"/>
      <c r="V198" s="148"/>
      <c r="W198" s="148"/>
      <c r="X198" s="148"/>
      <c r="Y198" s="148"/>
      <c r="Z198" s="148"/>
      <c r="AA198" s="148"/>
      <c r="AB198" s="148"/>
      <c r="AC198" s="148"/>
      <c r="AD198" s="148"/>
      <c r="AE198" s="148"/>
      <c r="AF198" s="148"/>
      <c r="AG198" s="148"/>
      <c r="AH198" s="148"/>
      <c r="AI198" s="148"/>
      <c r="AJ198" s="148"/>
      <c r="AK198" s="148"/>
      <c r="AL198" s="148"/>
      <c r="AM198" s="148"/>
      <c r="AN198" s="148"/>
      <c r="AO198" s="148"/>
      <c r="AP198" s="148"/>
      <c r="AQ198" s="148"/>
      <c r="AR198" s="148"/>
      <c r="AS198" s="148"/>
      <c r="AT198" s="148"/>
      <c r="AU198" s="148"/>
      <c r="AV198" s="148"/>
      <c r="AW198" s="148"/>
      <c r="AX198" s="148"/>
      <c r="AY198" s="148"/>
      <c r="AZ198" s="148"/>
      <c r="BA198" s="148"/>
      <c r="BB198" s="148"/>
      <c r="BC198" s="148"/>
      <c r="BD198" s="148"/>
      <c r="BE198" s="148"/>
      <c r="BF198" s="148"/>
      <c r="BG198" s="148"/>
      <c r="BH198" s="148"/>
      <c r="BI198" s="148"/>
      <c r="BJ198" s="148"/>
      <c r="BK198" s="148"/>
      <c r="BL198" s="148"/>
      <c r="BM198" s="148"/>
      <c r="BN198" s="148"/>
      <c r="BO198" s="148"/>
      <c r="BP198" s="148"/>
      <c r="BQ198" s="148"/>
      <c r="BR198" s="148"/>
      <c r="BS198" s="148"/>
      <c r="BT198" s="148"/>
      <c r="BU198" s="148"/>
      <c r="BV198" s="148"/>
      <c r="BW198" s="148"/>
      <c r="BX198" s="148"/>
      <c r="BY198" s="148"/>
      <c r="BZ198" s="148"/>
      <c r="CA198" s="148"/>
      <c r="CB198" s="148"/>
      <c r="CC198" s="148"/>
      <c r="CD198" s="148"/>
      <c r="CE198" s="148"/>
      <c r="CF198" s="148"/>
      <c r="CG198" s="148"/>
      <c r="CH198" s="148"/>
      <c r="CI198" s="148"/>
      <c r="CJ198" s="148"/>
      <c r="CK198" s="148"/>
      <c r="CL198" s="148"/>
      <c r="CM198" s="148"/>
      <c r="CN198" s="148"/>
      <c r="CO198" s="148"/>
      <c r="CP198" s="148"/>
      <c r="CQ198" s="148"/>
      <c r="CR198" s="148"/>
      <c r="CS198" s="148"/>
      <c r="CT198" s="148"/>
      <c r="CU198" s="148"/>
      <c r="CV198" s="148"/>
      <c r="CW198" s="148"/>
      <c r="CX198" s="148"/>
      <c r="CY198" s="148"/>
      <c r="CZ198" s="148"/>
      <c r="DA198" s="148"/>
      <c r="DB198" s="148"/>
      <c r="DC198" s="148"/>
      <c r="DD198" s="148"/>
      <c r="DE198" s="148"/>
      <c r="DF198" s="148"/>
      <c r="DG198" s="148"/>
      <c r="DH198" s="148"/>
      <c r="DI198" s="148"/>
      <c r="DJ198" s="148"/>
      <c r="DK198" s="148"/>
      <c r="DL198" s="148"/>
      <c r="DM198" s="148"/>
      <c r="DN198" s="148"/>
      <c r="DO198" s="148"/>
      <c r="DP198" s="148"/>
      <c r="DQ198" s="148"/>
      <c r="DR198" s="148"/>
      <c r="DS198" s="148"/>
      <c r="DT198" s="148"/>
      <c r="DU198" s="148"/>
      <c r="DV198" s="148"/>
      <c r="DW198" s="148"/>
      <c r="DX198" s="148"/>
      <c r="DY198" s="148"/>
      <c r="DZ198" s="148"/>
      <c r="EA198" s="148"/>
      <c r="EB198" s="148"/>
      <c r="EC198" s="148"/>
      <c r="ED198" s="148"/>
      <c r="EE198" s="148"/>
      <c r="EF198" s="148"/>
      <c r="EG198" s="148"/>
      <c r="EH198" s="148"/>
      <c r="EI198" s="148"/>
      <c r="EJ198" s="148"/>
      <c r="EK198" s="148"/>
      <c r="EL198" s="148"/>
      <c r="EM198" s="148"/>
      <c r="EN198" s="148"/>
      <c r="EO198" s="148"/>
      <c r="EP198" s="148"/>
      <c r="EQ198" s="148"/>
      <c r="ER198" s="148"/>
      <c r="ES198" s="148"/>
      <c r="ET198" s="148"/>
      <c r="EU198" s="148"/>
      <c r="EV198" s="148"/>
      <c r="EW198" s="148"/>
      <c r="EX198" s="148"/>
      <c r="EY198" s="148"/>
      <c r="EZ198" s="148"/>
      <c r="FA198" s="148"/>
      <c r="FB198" s="148"/>
      <c r="FC198" s="148"/>
      <c r="FD198" s="148"/>
      <c r="FE198" s="148"/>
      <c r="FF198" s="148"/>
      <c r="FG198" s="148"/>
      <c r="FH198" s="148"/>
      <c r="FI198" s="148"/>
      <c r="FJ198" s="148"/>
      <c r="FK198" s="148"/>
      <c r="FL198" s="148"/>
      <c r="FM198" s="148"/>
      <c r="FN198" s="148"/>
      <c r="FO198" s="148"/>
      <c r="FP198" s="148"/>
      <c r="FQ198" s="148"/>
      <c r="FR198" s="148"/>
      <c r="FS198" s="148"/>
      <c r="FT198" s="148"/>
      <c r="FU198" s="148"/>
      <c r="FV198" s="148"/>
      <c r="FW198" s="148"/>
      <c r="FX198" s="148"/>
      <c r="FY198" s="148"/>
      <c r="FZ198" s="148"/>
      <c r="GA198" s="148"/>
      <c r="GB198" s="148"/>
      <c r="GC198" s="148"/>
      <c r="GD198" s="148"/>
      <c r="GE198" s="148"/>
      <c r="GF198" s="148"/>
      <c r="GG198" s="148"/>
      <c r="GH198" s="148"/>
      <c r="GI198" s="148"/>
      <c r="GJ198" s="148"/>
      <c r="GK198" s="148"/>
      <c r="GL198" s="148"/>
      <c r="GM198" s="148"/>
      <c r="GN198" s="148"/>
      <c r="GO198" s="148"/>
      <c r="GP198" s="148"/>
      <c r="GQ198" s="148"/>
      <c r="GR198" s="148"/>
      <c r="GS198" s="148"/>
      <c r="GT198" s="148"/>
      <c r="GU198" s="148"/>
      <c r="GV198" s="148"/>
      <c r="GW198" s="148"/>
      <c r="GX198" s="148"/>
      <c r="GY198" s="148"/>
      <c r="GZ198" s="148"/>
      <c r="HA198" s="148"/>
      <c r="HB198" s="148"/>
      <c r="HC198" s="148"/>
      <c r="HD198" s="148"/>
      <c r="HE198" s="148"/>
      <c r="HF198" s="148"/>
      <c r="HG198" s="148"/>
      <c r="HH198" s="148"/>
      <c r="HI198" s="148"/>
      <c r="HJ198" s="148"/>
      <c r="HK198" s="148"/>
      <c r="HL198" s="148"/>
      <c r="HM198" s="148"/>
      <c r="HN198" s="148"/>
      <c r="HO198" s="148"/>
      <c r="HP198" s="148"/>
      <c r="HQ198" s="148"/>
      <c r="HR198" s="148"/>
      <c r="HS198" s="148"/>
      <c r="HT198" s="148"/>
      <c r="HU198" s="148"/>
      <c r="HV198" s="148"/>
      <c r="HW198" s="148"/>
      <c r="HX198" s="148"/>
      <c r="HY198" s="148"/>
      <c r="HZ198" s="148"/>
      <c r="IA198" s="148"/>
      <c r="IB198" s="148"/>
      <c r="IC198" s="148"/>
      <c r="ID198" s="148"/>
      <c r="IE198" s="148"/>
      <c r="IF198" s="148"/>
      <c r="IG198" s="148"/>
      <c r="IH198" s="148"/>
      <c r="II198" s="148"/>
      <c r="IJ198" s="148"/>
      <c r="IK198" s="148"/>
      <c r="IL198" s="148"/>
      <c r="IM198" s="148"/>
      <c r="IN198" s="148"/>
      <c r="IO198" s="148"/>
      <c r="IP198" s="148"/>
      <c r="IQ198" s="148"/>
      <c r="IR198" s="148"/>
      <c r="IS198" s="148"/>
      <c r="IT198" s="148"/>
      <c r="IU198" s="148"/>
      <c r="IV198" s="148"/>
      <c r="IW198" s="148"/>
      <c r="IX198" s="148"/>
      <c r="IY198" s="148"/>
      <c r="IZ198" s="148"/>
      <c r="JA198" s="148"/>
    </row>
    <row r="199" spans="1:261" s="272" customFormat="1" ht="18" customHeight="1" x14ac:dyDescent="0.35">
      <c r="A199" s="1423">
        <v>188</v>
      </c>
      <c r="B199" s="1557"/>
      <c r="C199" s="1582"/>
      <c r="D199" s="1585" t="s">
        <v>311</v>
      </c>
      <c r="E199" s="1560">
        <f>F199+G199+O202+P199</f>
        <v>2500</v>
      </c>
      <c r="F199" s="1560"/>
      <c r="G199" s="1562"/>
      <c r="H199" s="1563"/>
      <c r="I199" s="1590"/>
      <c r="J199" s="1560"/>
      <c r="K199" s="1560"/>
      <c r="L199" s="1560"/>
      <c r="M199" s="1587">
        <v>2500</v>
      </c>
      <c r="N199" s="1560"/>
      <c r="O199" s="1566">
        <f>SUM(I199:N199)</f>
        <v>2500</v>
      </c>
      <c r="P199" s="1567"/>
      <c r="Q199" s="148"/>
      <c r="R199" s="148"/>
      <c r="S199" s="148"/>
      <c r="T199" s="148"/>
      <c r="U199" s="148"/>
      <c r="V199" s="148"/>
      <c r="W199" s="148"/>
      <c r="X199" s="148"/>
      <c r="Y199" s="148"/>
      <c r="Z199" s="148"/>
      <c r="AA199" s="148"/>
      <c r="AB199" s="148"/>
      <c r="AC199" s="148"/>
      <c r="AD199" s="148"/>
      <c r="AE199" s="148"/>
      <c r="AF199" s="148"/>
      <c r="AG199" s="148"/>
      <c r="AH199" s="148"/>
      <c r="AI199" s="148"/>
      <c r="AJ199" s="148"/>
      <c r="AK199" s="148"/>
      <c r="AL199" s="148"/>
      <c r="AM199" s="148"/>
      <c r="AN199" s="148"/>
      <c r="AO199" s="148"/>
      <c r="AP199" s="148"/>
      <c r="AQ199" s="148"/>
      <c r="AR199" s="148"/>
      <c r="AS199" s="148"/>
      <c r="AT199" s="148"/>
      <c r="AU199" s="148"/>
      <c r="AV199" s="148"/>
      <c r="AW199" s="148"/>
      <c r="AX199" s="148"/>
      <c r="AY199" s="148"/>
      <c r="AZ199" s="148"/>
      <c r="BA199" s="148"/>
      <c r="BB199" s="148"/>
      <c r="BC199" s="148"/>
      <c r="BD199" s="148"/>
      <c r="BE199" s="148"/>
      <c r="BF199" s="148"/>
      <c r="BG199" s="148"/>
      <c r="BH199" s="148"/>
      <c r="BI199" s="148"/>
      <c r="BJ199" s="148"/>
      <c r="BK199" s="148"/>
      <c r="BL199" s="148"/>
      <c r="BM199" s="148"/>
      <c r="BN199" s="148"/>
      <c r="BO199" s="148"/>
      <c r="BP199" s="148"/>
      <c r="BQ199" s="148"/>
      <c r="BR199" s="148"/>
      <c r="BS199" s="148"/>
      <c r="BT199" s="148"/>
      <c r="BU199" s="148"/>
      <c r="BV199" s="148"/>
      <c r="BW199" s="148"/>
      <c r="BX199" s="148"/>
      <c r="BY199" s="148"/>
      <c r="BZ199" s="148"/>
      <c r="CA199" s="148"/>
      <c r="CB199" s="148"/>
      <c r="CC199" s="148"/>
      <c r="CD199" s="148"/>
      <c r="CE199" s="148"/>
      <c r="CF199" s="148"/>
      <c r="CG199" s="148"/>
      <c r="CH199" s="148"/>
      <c r="CI199" s="148"/>
      <c r="CJ199" s="148"/>
      <c r="CK199" s="148"/>
      <c r="CL199" s="148"/>
      <c r="CM199" s="148"/>
      <c r="CN199" s="148"/>
      <c r="CO199" s="148"/>
      <c r="CP199" s="148"/>
      <c r="CQ199" s="148"/>
      <c r="CR199" s="148"/>
      <c r="CS199" s="148"/>
      <c r="CT199" s="148"/>
      <c r="CU199" s="148"/>
      <c r="CV199" s="148"/>
      <c r="CW199" s="148"/>
      <c r="CX199" s="148"/>
      <c r="CY199" s="148"/>
      <c r="CZ199" s="148"/>
      <c r="DA199" s="148"/>
      <c r="DB199" s="148"/>
      <c r="DC199" s="148"/>
      <c r="DD199" s="148"/>
      <c r="DE199" s="148"/>
      <c r="DF199" s="148"/>
      <c r="DG199" s="148"/>
      <c r="DH199" s="148"/>
      <c r="DI199" s="148"/>
      <c r="DJ199" s="148"/>
      <c r="DK199" s="148"/>
      <c r="DL199" s="148"/>
      <c r="DM199" s="148"/>
      <c r="DN199" s="148"/>
      <c r="DO199" s="148"/>
      <c r="DP199" s="148"/>
      <c r="DQ199" s="148"/>
      <c r="DR199" s="148"/>
      <c r="DS199" s="148"/>
      <c r="DT199" s="148"/>
      <c r="DU199" s="148"/>
      <c r="DV199" s="148"/>
      <c r="DW199" s="148"/>
      <c r="DX199" s="148"/>
      <c r="DY199" s="148"/>
      <c r="DZ199" s="148"/>
      <c r="EA199" s="148"/>
      <c r="EB199" s="148"/>
      <c r="EC199" s="148"/>
      <c r="ED199" s="148"/>
      <c r="EE199" s="148"/>
      <c r="EF199" s="148"/>
      <c r="EG199" s="148"/>
      <c r="EH199" s="148"/>
      <c r="EI199" s="148"/>
      <c r="EJ199" s="148"/>
      <c r="EK199" s="148"/>
      <c r="EL199" s="148"/>
      <c r="EM199" s="148"/>
      <c r="EN199" s="148"/>
      <c r="EO199" s="148"/>
      <c r="EP199" s="148"/>
      <c r="EQ199" s="148"/>
      <c r="ER199" s="148"/>
      <c r="ES199" s="148"/>
      <c r="ET199" s="148"/>
      <c r="EU199" s="148"/>
      <c r="EV199" s="148"/>
      <c r="EW199" s="148"/>
      <c r="EX199" s="148"/>
      <c r="EY199" s="148"/>
      <c r="EZ199" s="148"/>
      <c r="FA199" s="148"/>
      <c r="FB199" s="148"/>
      <c r="FC199" s="148"/>
      <c r="FD199" s="148"/>
      <c r="FE199" s="148"/>
      <c r="FF199" s="148"/>
      <c r="FG199" s="148"/>
      <c r="FH199" s="148"/>
      <c r="FI199" s="148"/>
      <c r="FJ199" s="148"/>
      <c r="FK199" s="148"/>
      <c r="FL199" s="148"/>
      <c r="FM199" s="148"/>
      <c r="FN199" s="148"/>
      <c r="FO199" s="148"/>
      <c r="FP199" s="148"/>
      <c r="FQ199" s="148"/>
      <c r="FR199" s="148"/>
      <c r="FS199" s="148"/>
      <c r="FT199" s="148"/>
      <c r="FU199" s="148"/>
      <c r="FV199" s="148"/>
      <c r="FW199" s="148"/>
      <c r="FX199" s="148"/>
      <c r="FY199" s="148"/>
      <c r="FZ199" s="148"/>
      <c r="GA199" s="148"/>
      <c r="GB199" s="148"/>
      <c r="GC199" s="148"/>
      <c r="GD199" s="148"/>
      <c r="GE199" s="148"/>
      <c r="GF199" s="148"/>
      <c r="GG199" s="148"/>
      <c r="GH199" s="148"/>
      <c r="GI199" s="148"/>
      <c r="GJ199" s="148"/>
      <c r="GK199" s="148"/>
      <c r="GL199" s="148"/>
      <c r="GM199" s="148"/>
      <c r="GN199" s="148"/>
      <c r="GO199" s="148"/>
      <c r="GP199" s="148"/>
      <c r="GQ199" s="148"/>
      <c r="GR199" s="148"/>
      <c r="GS199" s="148"/>
      <c r="GT199" s="148"/>
      <c r="GU199" s="148"/>
      <c r="GV199" s="148"/>
      <c r="GW199" s="148"/>
      <c r="GX199" s="148"/>
      <c r="GY199" s="148"/>
      <c r="GZ199" s="148"/>
      <c r="HA199" s="148"/>
      <c r="HB199" s="148"/>
      <c r="HC199" s="148"/>
      <c r="HD199" s="148"/>
      <c r="HE199" s="148"/>
      <c r="HF199" s="148"/>
      <c r="HG199" s="148"/>
      <c r="HH199" s="148"/>
      <c r="HI199" s="148"/>
      <c r="HJ199" s="148"/>
      <c r="HK199" s="148"/>
      <c r="HL199" s="148"/>
      <c r="HM199" s="148"/>
      <c r="HN199" s="148"/>
      <c r="HO199" s="148"/>
      <c r="HP199" s="148"/>
      <c r="HQ199" s="148"/>
      <c r="HR199" s="148"/>
      <c r="HS199" s="148"/>
      <c r="HT199" s="148"/>
      <c r="HU199" s="148"/>
      <c r="HV199" s="148"/>
      <c r="HW199" s="148"/>
      <c r="HX199" s="148"/>
      <c r="HY199" s="148"/>
      <c r="HZ199" s="148"/>
      <c r="IA199" s="148"/>
      <c r="IB199" s="148"/>
      <c r="IC199" s="148"/>
      <c r="ID199" s="148"/>
      <c r="IE199" s="148"/>
      <c r="IF199" s="148"/>
      <c r="IG199" s="148"/>
      <c r="IH199" s="148"/>
      <c r="II199" s="148"/>
      <c r="IJ199" s="148"/>
      <c r="IK199" s="148"/>
      <c r="IL199" s="148"/>
      <c r="IM199" s="148"/>
      <c r="IN199" s="148"/>
      <c r="IO199" s="148"/>
      <c r="IP199" s="148"/>
      <c r="IQ199" s="148"/>
      <c r="IR199" s="148"/>
      <c r="IS199" s="148"/>
      <c r="IT199" s="148"/>
      <c r="IU199" s="148"/>
      <c r="IV199" s="148"/>
      <c r="IW199" s="148"/>
      <c r="IX199" s="148"/>
      <c r="IY199" s="148"/>
      <c r="IZ199" s="148"/>
      <c r="JA199" s="148"/>
    </row>
    <row r="200" spans="1:261" s="272" customFormat="1" ht="18" customHeight="1" x14ac:dyDescent="0.35">
      <c r="A200" s="1423">
        <v>189</v>
      </c>
      <c r="B200" s="1557"/>
      <c r="C200" s="1582"/>
      <c r="D200" s="1163" t="s">
        <v>1064</v>
      </c>
      <c r="E200" s="1560"/>
      <c r="F200" s="1560"/>
      <c r="G200" s="1562"/>
      <c r="H200" s="1563"/>
      <c r="I200" s="1590"/>
      <c r="J200" s="1560"/>
      <c r="K200" s="1560"/>
      <c r="L200" s="1560"/>
      <c r="M200" s="1560">
        <v>2500</v>
      </c>
      <c r="N200" s="1560"/>
      <c r="O200" s="1576">
        <f>SUM(I200:N200)</f>
        <v>2500</v>
      </c>
      <c r="P200" s="1567"/>
      <c r="Q200" s="148"/>
      <c r="R200" s="148"/>
      <c r="S200" s="148"/>
      <c r="T200" s="148"/>
      <c r="U200" s="148"/>
      <c r="V200" s="148"/>
      <c r="W200" s="148"/>
      <c r="X200" s="148"/>
      <c r="Y200" s="148"/>
      <c r="Z200" s="148"/>
      <c r="AA200" s="148"/>
      <c r="AB200" s="148"/>
      <c r="AC200" s="148"/>
      <c r="AD200" s="148"/>
      <c r="AE200" s="148"/>
      <c r="AF200" s="148"/>
      <c r="AG200" s="148"/>
      <c r="AH200" s="148"/>
      <c r="AI200" s="148"/>
      <c r="AJ200" s="148"/>
      <c r="AK200" s="148"/>
      <c r="AL200" s="148"/>
      <c r="AM200" s="148"/>
      <c r="AN200" s="148"/>
      <c r="AO200" s="148"/>
      <c r="AP200" s="148"/>
      <c r="AQ200" s="148"/>
      <c r="AR200" s="148"/>
      <c r="AS200" s="148"/>
      <c r="AT200" s="148"/>
      <c r="AU200" s="148"/>
      <c r="AV200" s="148"/>
      <c r="AW200" s="148"/>
      <c r="AX200" s="148"/>
      <c r="AY200" s="148"/>
      <c r="AZ200" s="148"/>
      <c r="BA200" s="148"/>
      <c r="BB200" s="148"/>
      <c r="BC200" s="148"/>
      <c r="BD200" s="148"/>
      <c r="BE200" s="148"/>
      <c r="BF200" s="148"/>
      <c r="BG200" s="148"/>
      <c r="BH200" s="148"/>
      <c r="BI200" s="148"/>
      <c r="BJ200" s="148"/>
      <c r="BK200" s="148"/>
      <c r="BL200" s="148"/>
      <c r="BM200" s="148"/>
      <c r="BN200" s="148"/>
      <c r="BO200" s="148"/>
      <c r="BP200" s="148"/>
      <c r="BQ200" s="148"/>
      <c r="BR200" s="148"/>
      <c r="BS200" s="148"/>
      <c r="BT200" s="148"/>
      <c r="BU200" s="148"/>
      <c r="BV200" s="148"/>
      <c r="BW200" s="148"/>
      <c r="BX200" s="148"/>
      <c r="BY200" s="148"/>
      <c r="BZ200" s="148"/>
      <c r="CA200" s="148"/>
      <c r="CB200" s="148"/>
      <c r="CC200" s="148"/>
      <c r="CD200" s="148"/>
      <c r="CE200" s="148"/>
      <c r="CF200" s="148"/>
      <c r="CG200" s="148"/>
      <c r="CH200" s="148"/>
      <c r="CI200" s="148"/>
      <c r="CJ200" s="148"/>
      <c r="CK200" s="148"/>
      <c r="CL200" s="148"/>
      <c r="CM200" s="148"/>
      <c r="CN200" s="148"/>
      <c r="CO200" s="148"/>
      <c r="CP200" s="148"/>
      <c r="CQ200" s="148"/>
      <c r="CR200" s="148"/>
      <c r="CS200" s="148"/>
      <c r="CT200" s="148"/>
      <c r="CU200" s="148"/>
      <c r="CV200" s="148"/>
      <c r="CW200" s="148"/>
      <c r="CX200" s="148"/>
      <c r="CY200" s="148"/>
      <c r="CZ200" s="148"/>
      <c r="DA200" s="148"/>
      <c r="DB200" s="148"/>
      <c r="DC200" s="148"/>
      <c r="DD200" s="148"/>
      <c r="DE200" s="148"/>
      <c r="DF200" s="148"/>
      <c r="DG200" s="148"/>
      <c r="DH200" s="148"/>
      <c r="DI200" s="148"/>
      <c r="DJ200" s="148"/>
      <c r="DK200" s="148"/>
      <c r="DL200" s="148"/>
      <c r="DM200" s="148"/>
      <c r="DN200" s="148"/>
      <c r="DO200" s="148"/>
      <c r="DP200" s="148"/>
      <c r="DQ200" s="148"/>
      <c r="DR200" s="148"/>
      <c r="DS200" s="148"/>
      <c r="DT200" s="148"/>
      <c r="DU200" s="148"/>
      <c r="DV200" s="148"/>
      <c r="DW200" s="148"/>
      <c r="DX200" s="148"/>
      <c r="DY200" s="148"/>
      <c r="DZ200" s="148"/>
      <c r="EA200" s="148"/>
      <c r="EB200" s="148"/>
      <c r="EC200" s="148"/>
      <c r="ED200" s="148"/>
      <c r="EE200" s="148"/>
      <c r="EF200" s="148"/>
      <c r="EG200" s="148"/>
      <c r="EH200" s="148"/>
      <c r="EI200" s="148"/>
      <c r="EJ200" s="148"/>
      <c r="EK200" s="148"/>
      <c r="EL200" s="148"/>
      <c r="EM200" s="148"/>
      <c r="EN200" s="148"/>
      <c r="EO200" s="148"/>
      <c r="EP200" s="148"/>
      <c r="EQ200" s="148"/>
      <c r="ER200" s="148"/>
      <c r="ES200" s="148"/>
      <c r="ET200" s="148"/>
      <c r="EU200" s="148"/>
      <c r="EV200" s="148"/>
      <c r="EW200" s="148"/>
      <c r="EX200" s="148"/>
      <c r="EY200" s="148"/>
      <c r="EZ200" s="148"/>
      <c r="FA200" s="148"/>
      <c r="FB200" s="148"/>
      <c r="FC200" s="148"/>
      <c r="FD200" s="148"/>
      <c r="FE200" s="148"/>
      <c r="FF200" s="148"/>
      <c r="FG200" s="148"/>
      <c r="FH200" s="148"/>
      <c r="FI200" s="148"/>
      <c r="FJ200" s="148"/>
      <c r="FK200" s="148"/>
      <c r="FL200" s="148"/>
      <c r="FM200" s="148"/>
      <c r="FN200" s="148"/>
      <c r="FO200" s="148"/>
      <c r="FP200" s="148"/>
      <c r="FQ200" s="148"/>
      <c r="FR200" s="148"/>
      <c r="FS200" s="148"/>
      <c r="FT200" s="148"/>
      <c r="FU200" s="148"/>
      <c r="FV200" s="148"/>
      <c r="FW200" s="148"/>
      <c r="FX200" s="148"/>
      <c r="FY200" s="148"/>
      <c r="FZ200" s="148"/>
      <c r="GA200" s="148"/>
      <c r="GB200" s="148"/>
      <c r="GC200" s="148"/>
      <c r="GD200" s="148"/>
      <c r="GE200" s="148"/>
      <c r="GF200" s="148"/>
      <c r="GG200" s="148"/>
      <c r="GH200" s="148"/>
      <c r="GI200" s="148"/>
      <c r="GJ200" s="148"/>
      <c r="GK200" s="148"/>
      <c r="GL200" s="148"/>
      <c r="GM200" s="148"/>
      <c r="GN200" s="148"/>
      <c r="GO200" s="148"/>
      <c r="GP200" s="148"/>
      <c r="GQ200" s="148"/>
      <c r="GR200" s="148"/>
      <c r="GS200" s="148"/>
      <c r="GT200" s="148"/>
      <c r="GU200" s="148"/>
      <c r="GV200" s="148"/>
      <c r="GW200" s="148"/>
      <c r="GX200" s="148"/>
      <c r="GY200" s="148"/>
      <c r="GZ200" s="148"/>
      <c r="HA200" s="148"/>
      <c r="HB200" s="148"/>
      <c r="HC200" s="148"/>
      <c r="HD200" s="148"/>
      <c r="HE200" s="148"/>
      <c r="HF200" s="148"/>
      <c r="HG200" s="148"/>
      <c r="HH200" s="148"/>
      <c r="HI200" s="148"/>
      <c r="HJ200" s="148"/>
      <c r="HK200" s="148"/>
      <c r="HL200" s="148"/>
      <c r="HM200" s="148"/>
      <c r="HN200" s="148"/>
      <c r="HO200" s="148"/>
      <c r="HP200" s="148"/>
      <c r="HQ200" s="148"/>
      <c r="HR200" s="148"/>
      <c r="HS200" s="148"/>
      <c r="HT200" s="148"/>
      <c r="HU200" s="148"/>
      <c r="HV200" s="148"/>
      <c r="HW200" s="148"/>
      <c r="HX200" s="148"/>
      <c r="HY200" s="148"/>
      <c r="HZ200" s="148"/>
      <c r="IA200" s="148"/>
      <c r="IB200" s="148"/>
      <c r="IC200" s="148"/>
      <c r="ID200" s="148"/>
      <c r="IE200" s="148"/>
      <c r="IF200" s="148"/>
      <c r="IG200" s="148"/>
      <c r="IH200" s="148"/>
      <c r="II200" s="148"/>
      <c r="IJ200" s="148"/>
      <c r="IK200" s="148"/>
      <c r="IL200" s="148"/>
      <c r="IM200" s="148"/>
      <c r="IN200" s="148"/>
      <c r="IO200" s="148"/>
      <c r="IP200" s="148"/>
      <c r="IQ200" s="148"/>
      <c r="IR200" s="148"/>
      <c r="IS200" s="148"/>
      <c r="IT200" s="148"/>
      <c r="IU200" s="148"/>
      <c r="IV200" s="148"/>
      <c r="IW200" s="148"/>
      <c r="IX200" s="148"/>
      <c r="IY200" s="148"/>
      <c r="IZ200" s="148"/>
      <c r="JA200" s="148"/>
    </row>
    <row r="201" spans="1:261" s="272" customFormat="1" ht="18" customHeight="1" x14ac:dyDescent="0.35">
      <c r="A201" s="1423">
        <v>190</v>
      </c>
      <c r="B201" s="1557"/>
      <c r="C201" s="1582"/>
      <c r="D201" s="1174" t="s">
        <v>999</v>
      </c>
      <c r="E201" s="1560"/>
      <c r="F201" s="1560"/>
      <c r="G201" s="1562"/>
      <c r="H201" s="1563"/>
      <c r="I201" s="1590"/>
      <c r="J201" s="1560"/>
      <c r="K201" s="1560"/>
      <c r="L201" s="1560"/>
      <c r="M201" s="1601"/>
      <c r="N201" s="1560"/>
      <c r="O201" s="1578">
        <f>SUM(I201:N201)</f>
        <v>0</v>
      </c>
      <c r="P201" s="1567"/>
      <c r="Q201" s="148"/>
      <c r="R201" s="148"/>
      <c r="S201" s="148"/>
      <c r="T201" s="148"/>
      <c r="U201" s="148"/>
      <c r="V201" s="148"/>
      <c r="W201" s="148"/>
      <c r="X201" s="148"/>
      <c r="Y201" s="148"/>
      <c r="Z201" s="148"/>
      <c r="AA201" s="148"/>
      <c r="AB201" s="148"/>
      <c r="AC201" s="148"/>
      <c r="AD201" s="148"/>
      <c r="AE201" s="148"/>
      <c r="AF201" s="148"/>
      <c r="AG201" s="148"/>
      <c r="AH201" s="148"/>
      <c r="AI201" s="148"/>
      <c r="AJ201" s="148"/>
      <c r="AK201" s="148"/>
      <c r="AL201" s="148"/>
      <c r="AM201" s="148"/>
      <c r="AN201" s="148"/>
      <c r="AO201" s="148"/>
      <c r="AP201" s="148"/>
      <c r="AQ201" s="148"/>
      <c r="AR201" s="148"/>
      <c r="AS201" s="148"/>
      <c r="AT201" s="148"/>
      <c r="AU201" s="148"/>
      <c r="AV201" s="148"/>
      <c r="AW201" s="148"/>
      <c r="AX201" s="148"/>
      <c r="AY201" s="148"/>
      <c r="AZ201" s="148"/>
      <c r="BA201" s="148"/>
      <c r="BB201" s="148"/>
      <c r="BC201" s="148"/>
      <c r="BD201" s="148"/>
      <c r="BE201" s="148"/>
      <c r="BF201" s="148"/>
      <c r="BG201" s="148"/>
      <c r="BH201" s="148"/>
      <c r="BI201" s="148"/>
      <c r="BJ201" s="148"/>
      <c r="BK201" s="148"/>
      <c r="BL201" s="148"/>
      <c r="BM201" s="148"/>
      <c r="BN201" s="148"/>
      <c r="BO201" s="148"/>
      <c r="BP201" s="148"/>
      <c r="BQ201" s="148"/>
      <c r="BR201" s="148"/>
      <c r="BS201" s="148"/>
      <c r="BT201" s="148"/>
      <c r="BU201" s="148"/>
      <c r="BV201" s="148"/>
      <c r="BW201" s="148"/>
      <c r="BX201" s="148"/>
      <c r="BY201" s="148"/>
      <c r="BZ201" s="148"/>
      <c r="CA201" s="148"/>
      <c r="CB201" s="148"/>
      <c r="CC201" s="148"/>
      <c r="CD201" s="148"/>
      <c r="CE201" s="148"/>
      <c r="CF201" s="148"/>
      <c r="CG201" s="148"/>
      <c r="CH201" s="148"/>
      <c r="CI201" s="148"/>
      <c r="CJ201" s="148"/>
      <c r="CK201" s="148"/>
      <c r="CL201" s="148"/>
      <c r="CM201" s="148"/>
      <c r="CN201" s="148"/>
      <c r="CO201" s="148"/>
      <c r="CP201" s="148"/>
      <c r="CQ201" s="148"/>
      <c r="CR201" s="148"/>
      <c r="CS201" s="148"/>
      <c r="CT201" s="148"/>
      <c r="CU201" s="148"/>
      <c r="CV201" s="148"/>
      <c r="CW201" s="148"/>
      <c r="CX201" s="148"/>
      <c r="CY201" s="148"/>
      <c r="CZ201" s="148"/>
      <c r="DA201" s="148"/>
      <c r="DB201" s="148"/>
      <c r="DC201" s="148"/>
      <c r="DD201" s="148"/>
      <c r="DE201" s="148"/>
      <c r="DF201" s="148"/>
      <c r="DG201" s="148"/>
      <c r="DH201" s="148"/>
      <c r="DI201" s="148"/>
      <c r="DJ201" s="148"/>
      <c r="DK201" s="148"/>
      <c r="DL201" s="148"/>
      <c r="DM201" s="148"/>
      <c r="DN201" s="148"/>
      <c r="DO201" s="148"/>
      <c r="DP201" s="148"/>
      <c r="DQ201" s="148"/>
      <c r="DR201" s="148"/>
      <c r="DS201" s="148"/>
      <c r="DT201" s="148"/>
      <c r="DU201" s="148"/>
      <c r="DV201" s="148"/>
      <c r="DW201" s="148"/>
      <c r="DX201" s="148"/>
      <c r="DY201" s="148"/>
      <c r="DZ201" s="148"/>
      <c r="EA201" s="148"/>
      <c r="EB201" s="148"/>
      <c r="EC201" s="148"/>
      <c r="ED201" s="148"/>
      <c r="EE201" s="148"/>
      <c r="EF201" s="148"/>
      <c r="EG201" s="148"/>
      <c r="EH201" s="148"/>
      <c r="EI201" s="148"/>
      <c r="EJ201" s="148"/>
      <c r="EK201" s="148"/>
      <c r="EL201" s="148"/>
      <c r="EM201" s="148"/>
      <c r="EN201" s="148"/>
      <c r="EO201" s="148"/>
      <c r="EP201" s="148"/>
      <c r="EQ201" s="148"/>
      <c r="ER201" s="148"/>
      <c r="ES201" s="148"/>
      <c r="ET201" s="148"/>
      <c r="EU201" s="148"/>
      <c r="EV201" s="148"/>
      <c r="EW201" s="148"/>
      <c r="EX201" s="148"/>
      <c r="EY201" s="148"/>
      <c r="EZ201" s="148"/>
      <c r="FA201" s="148"/>
      <c r="FB201" s="148"/>
      <c r="FC201" s="148"/>
      <c r="FD201" s="148"/>
      <c r="FE201" s="148"/>
      <c r="FF201" s="148"/>
      <c r="FG201" s="148"/>
      <c r="FH201" s="148"/>
      <c r="FI201" s="148"/>
      <c r="FJ201" s="148"/>
      <c r="FK201" s="148"/>
      <c r="FL201" s="148"/>
      <c r="FM201" s="148"/>
      <c r="FN201" s="148"/>
      <c r="FO201" s="148"/>
      <c r="FP201" s="148"/>
      <c r="FQ201" s="148"/>
      <c r="FR201" s="148"/>
      <c r="FS201" s="148"/>
      <c r="FT201" s="148"/>
      <c r="FU201" s="148"/>
      <c r="FV201" s="148"/>
      <c r="FW201" s="148"/>
      <c r="FX201" s="148"/>
      <c r="FY201" s="148"/>
      <c r="FZ201" s="148"/>
      <c r="GA201" s="148"/>
      <c r="GB201" s="148"/>
      <c r="GC201" s="148"/>
      <c r="GD201" s="148"/>
      <c r="GE201" s="148"/>
      <c r="GF201" s="148"/>
      <c r="GG201" s="148"/>
      <c r="GH201" s="148"/>
      <c r="GI201" s="148"/>
      <c r="GJ201" s="148"/>
      <c r="GK201" s="148"/>
      <c r="GL201" s="148"/>
      <c r="GM201" s="148"/>
      <c r="GN201" s="148"/>
      <c r="GO201" s="148"/>
      <c r="GP201" s="148"/>
      <c r="GQ201" s="148"/>
      <c r="GR201" s="148"/>
      <c r="GS201" s="148"/>
      <c r="GT201" s="148"/>
      <c r="GU201" s="148"/>
      <c r="GV201" s="148"/>
      <c r="GW201" s="148"/>
      <c r="GX201" s="148"/>
      <c r="GY201" s="148"/>
      <c r="GZ201" s="148"/>
      <c r="HA201" s="148"/>
      <c r="HB201" s="148"/>
      <c r="HC201" s="148"/>
      <c r="HD201" s="148"/>
      <c r="HE201" s="148"/>
      <c r="HF201" s="148"/>
      <c r="HG201" s="148"/>
      <c r="HH201" s="148"/>
      <c r="HI201" s="148"/>
      <c r="HJ201" s="148"/>
      <c r="HK201" s="148"/>
      <c r="HL201" s="148"/>
      <c r="HM201" s="148"/>
      <c r="HN201" s="148"/>
      <c r="HO201" s="148"/>
      <c r="HP201" s="148"/>
      <c r="HQ201" s="148"/>
      <c r="HR201" s="148"/>
      <c r="HS201" s="148"/>
      <c r="HT201" s="148"/>
      <c r="HU201" s="148"/>
      <c r="HV201" s="148"/>
      <c r="HW201" s="148"/>
      <c r="HX201" s="148"/>
      <c r="HY201" s="148"/>
      <c r="HZ201" s="148"/>
      <c r="IA201" s="148"/>
      <c r="IB201" s="148"/>
      <c r="IC201" s="148"/>
      <c r="ID201" s="148"/>
      <c r="IE201" s="148"/>
      <c r="IF201" s="148"/>
      <c r="IG201" s="148"/>
      <c r="IH201" s="148"/>
      <c r="II201" s="148"/>
      <c r="IJ201" s="148"/>
      <c r="IK201" s="148"/>
      <c r="IL201" s="148"/>
      <c r="IM201" s="148"/>
      <c r="IN201" s="148"/>
      <c r="IO201" s="148"/>
      <c r="IP201" s="148"/>
      <c r="IQ201" s="148"/>
      <c r="IR201" s="148"/>
      <c r="IS201" s="148"/>
      <c r="IT201" s="148"/>
      <c r="IU201" s="148"/>
      <c r="IV201" s="148"/>
      <c r="IW201" s="148"/>
      <c r="IX201" s="148"/>
      <c r="IY201" s="148"/>
      <c r="IZ201" s="148"/>
      <c r="JA201" s="148"/>
    </row>
    <row r="202" spans="1:261" s="272" customFormat="1" ht="18" customHeight="1" x14ac:dyDescent="0.35">
      <c r="A202" s="1423">
        <v>191</v>
      </c>
      <c r="B202" s="1557"/>
      <c r="C202" s="1602"/>
      <c r="D202" s="1163" t="s">
        <v>1116</v>
      </c>
      <c r="E202" s="1560"/>
      <c r="F202" s="1560"/>
      <c r="G202" s="1562"/>
      <c r="H202" s="1563"/>
      <c r="I202" s="1590"/>
      <c r="J202" s="1560"/>
      <c r="K202" s="1560"/>
      <c r="L202" s="1562"/>
      <c r="M202" s="1560">
        <f>SUM(M200:M201)</f>
        <v>2500</v>
      </c>
      <c r="N202" s="1590"/>
      <c r="O202" s="1576">
        <f>SUM(I202:N202)</f>
        <v>2500</v>
      </c>
      <c r="P202" s="1567"/>
      <c r="Q202" s="148"/>
      <c r="R202" s="148"/>
      <c r="S202" s="148"/>
      <c r="T202" s="148"/>
      <c r="U202" s="148"/>
      <c r="V202" s="148"/>
      <c r="W202" s="148"/>
      <c r="X202" s="148"/>
      <c r="Y202" s="148"/>
      <c r="Z202" s="148"/>
      <c r="AA202" s="148"/>
      <c r="AB202" s="148"/>
      <c r="AC202" s="148"/>
      <c r="AD202" s="148"/>
      <c r="AE202" s="148"/>
      <c r="AF202" s="148"/>
      <c r="AG202" s="148"/>
      <c r="AH202" s="148"/>
      <c r="AI202" s="148"/>
      <c r="AJ202" s="148"/>
      <c r="AK202" s="148"/>
      <c r="AL202" s="148"/>
      <c r="AM202" s="148"/>
      <c r="AN202" s="148"/>
      <c r="AO202" s="148"/>
      <c r="AP202" s="148"/>
      <c r="AQ202" s="148"/>
      <c r="AR202" s="148"/>
      <c r="AS202" s="148"/>
      <c r="AT202" s="148"/>
      <c r="AU202" s="148"/>
      <c r="AV202" s="148"/>
      <c r="AW202" s="148"/>
      <c r="AX202" s="148"/>
      <c r="AY202" s="148"/>
      <c r="AZ202" s="148"/>
      <c r="BA202" s="148"/>
      <c r="BB202" s="148"/>
      <c r="BC202" s="148"/>
      <c r="BD202" s="148"/>
      <c r="BE202" s="148"/>
      <c r="BF202" s="148"/>
      <c r="BG202" s="148"/>
      <c r="BH202" s="148"/>
      <c r="BI202" s="148"/>
      <c r="BJ202" s="148"/>
      <c r="BK202" s="148"/>
      <c r="BL202" s="148"/>
      <c r="BM202" s="148"/>
      <c r="BN202" s="148"/>
      <c r="BO202" s="148"/>
      <c r="BP202" s="148"/>
      <c r="BQ202" s="148"/>
      <c r="BR202" s="148"/>
      <c r="BS202" s="148"/>
      <c r="BT202" s="148"/>
      <c r="BU202" s="148"/>
      <c r="BV202" s="148"/>
      <c r="BW202" s="148"/>
      <c r="BX202" s="148"/>
      <c r="BY202" s="148"/>
      <c r="BZ202" s="148"/>
      <c r="CA202" s="148"/>
      <c r="CB202" s="148"/>
      <c r="CC202" s="148"/>
      <c r="CD202" s="148"/>
      <c r="CE202" s="148"/>
      <c r="CF202" s="148"/>
      <c r="CG202" s="148"/>
      <c r="CH202" s="148"/>
      <c r="CI202" s="148"/>
      <c r="CJ202" s="148"/>
      <c r="CK202" s="148"/>
      <c r="CL202" s="148"/>
      <c r="CM202" s="148"/>
      <c r="CN202" s="148"/>
      <c r="CO202" s="148"/>
      <c r="CP202" s="148"/>
      <c r="CQ202" s="148"/>
      <c r="CR202" s="148"/>
      <c r="CS202" s="148"/>
      <c r="CT202" s="148"/>
      <c r="CU202" s="148"/>
      <c r="CV202" s="148"/>
      <c r="CW202" s="148"/>
      <c r="CX202" s="148"/>
      <c r="CY202" s="148"/>
      <c r="CZ202" s="148"/>
      <c r="DA202" s="148"/>
      <c r="DB202" s="148"/>
      <c r="DC202" s="148"/>
      <c r="DD202" s="148"/>
      <c r="DE202" s="148"/>
      <c r="DF202" s="148"/>
      <c r="DG202" s="148"/>
      <c r="DH202" s="148"/>
      <c r="DI202" s="148"/>
      <c r="DJ202" s="148"/>
      <c r="DK202" s="148"/>
      <c r="DL202" s="148"/>
      <c r="DM202" s="148"/>
      <c r="DN202" s="148"/>
      <c r="DO202" s="148"/>
      <c r="DP202" s="148"/>
      <c r="DQ202" s="148"/>
      <c r="DR202" s="148"/>
      <c r="DS202" s="148"/>
      <c r="DT202" s="148"/>
      <c r="DU202" s="148"/>
      <c r="DV202" s="148"/>
      <c r="DW202" s="148"/>
      <c r="DX202" s="148"/>
      <c r="DY202" s="148"/>
      <c r="DZ202" s="148"/>
      <c r="EA202" s="148"/>
      <c r="EB202" s="148"/>
      <c r="EC202" s="148"/>
      <c r="ED202" s="148"/>
      <c r="EE202" s="148"/>
      <c r="EF202" s="148"/>
      <c r="EG202" s="148"/>
      <c r="EH202" s="148"/>
      <c r="EI202" s="148"/>
      <c r="EJ202" s="148"/>
      <c r="EK202" s="148"/>
      <c r="EL202" s="148"/>
      <c r="EM202" s="148"/>
      <c r="EN202" s="148"/>
      <c r="EO202" s="148"/>
      <c r="EP202" s="148"/>
      <c r="EQ202" s="148"/>
      <c r="ER202" s="148"/>
      <c r="ES202" s="148"/>
      <c r="ET202" s="148"/>
      <c r="EU202" s="148"/>
      <c r="EV202" s="148"/>
      <c r="EW202" s="148"/>
      <c r="EX202" s="148"/>
      <c r="EY202" s="148"/>
      <c r="EZ202" s="148"/>
      <c r="FA202" s="148"/>
      <c r="FB202" s="148"/>
      <c r="FC202" s="148"/>
      <c r="FD202" s="148"/>
      <c r="FE202" s="148"/>
      <c r="FF202" s="148"/>
      <c r="FG202" s="148"/>
      <c r="FH202" s="148"/>
      <c r="FI202" s="148"/>
      <c r="FJ202" s="148"/>
      <c r="FK202" s="148"/>
      <c r="FL202" s="148"/>
      <c r="FM202" s="148"/>
      <c r="FN202" s="148"/>
      <c r="FO202" s="148"/>
      <c r="FP202" s="148"/>
      <c r="FQ202" s="148"/>
      <c r="FR202" s="148"/>
      <c r="FS202" s="148"/>
      <c r="FT202" s="148"/>
      <c r="FU202" s="148"/>
      <c r="FV202" s="148"/>
      <c r="FW202" s="148"/>
      <c r="FX202" s="148"/>
      <c r="FY202" s="148"/>
      <c r="FZ202" s="148"/>
      <c r="GA202" s="148"/>
      <c r="GB202" s="148"/>
      <c r="GC202" s="148"/>
      <c r="GD202" s="148"/>
      <c r="GE202" s="148"/>
      <c r="GF202" s="148"/>
      <c r="GG202" s="148"/>
      <c r="GH202" s="148"/>
      <c r="GI202" s="148"/>
      <c r="GJ202" s="148"/>
      <c r="GK202" s="148"/>
      <c r="GL202" s="148"/>
      <c r="GM202" s="148"/>
      <c r="GN202" s="148"/>
      <c r="GO202" s="148"/>
      <c r="GP202" s="148"/>
      <c r="GQ202" s="148"/>
      <c r="GR202" s="148"/>
      <c r="GS202" s="148"/>
      <c r="GT202" s="148"/>
      <c r="GU202" s="148"/>
      <c r="GV202" s="148"/>
      <c r="GW202" s="148"/>
      <c r="GX202" s="148"/>
      <c r="GY202" s="148"/>
      <c r="GZ202" s="148"/>
      <c r="HA202" s="148"/>
      <c r="HB202" s="148"/>
      <c r="HC202" s="148"/>
      <c r="HD202" s="148"/>
      <c r="HE202" s="148"/>
      <c r="HF202" s="148"/>
      <c r="HG202" s="148"/>
      <c r="HH202" s="148"/>
      <c r="HI202" s="148"/>
      <c r="HJ202" s="148"/>
      <c r="HK202" s="148"/>
      <c r="HL202" s="148"/>
      <c r="HM202" s="148"/>
      <c r="HN202" s="148"/>
      <c r="HO202" s="148"/>
      <c r="HP202" s="148"/>
      <c r="HQ202" s="148"/>
      <c r="HR202" s="148"/>
      <c r="HS202" s="148"/>
      <c r="HT202" s="148"/>
      <c r="HU202" s="148"/>
      <c r="HV202" s="148"/>
      <c r="HW202" s="148"/>
      <c r="HX202" s="148"/>
      <c r="HY202" s="148"/>
      <c r="HZ202" s="148"/>
      <c r="IA202" s="148"/>
      <c r="IB202" s="148"/>
      <c r="IC202" s="148"/>
      <c r="ID202" s="148"/>
      <c r="IE202" s="148"/>
      <c r="IF202" s="148"/>
      <c r="IG202" s="148"/>
      <c r="IH202" s="148"/>
      <c r="II202" s="148"/>
      <c r="IJ202" s="148"/>
      <c r="IK202" s="148"/>
      <c r="IL202" s="148"/>
      <c r="IM202" s="148"/>
      <c r="IN202" s="148"/>
      <c r="IO202" s="148"/>
      <c r="IP202" s="148"/>
      <c r="IQ202" s="148"/>
      <c r="IR202" s="148"/>
      <c r="IS202" s="148"/>
      <c r="IT202" s="148"/>
      <c r="IU202" s="148"/>
      <c r="IV202" s="148"/>
      <c r="IW202" s="148"/>
      <c r="IX202" s="148"/>
      <c r="IY202" s="148"/>
      <c r="IZ202" s="148"/>
      <c r="JA202" s="148"/>
    </row>
    <row r="203" spans="1:261" ht="57.75" customHeight="1" x14ac:dyDescent="0.35">
      <c r="A203" s="1423">
        <v>192</v>
      </c>
      <c r="B203" s="1589"/>
      <c r="C203" s="1582">
        <v>39</v>
      </c>
      <c r="D203" s="150" t="s">
        <v>1096</v>
      </c>
      <c r="E203" s="1560">
        <f>F203+G203+O206+P205</f>
        <v>307836</v>
      </c>
      <c r="F203" s="1560">
        <f>984+40</f>
        <v>1024</v>
      </c>
      <c r="G203" s="1562">
        <v>40</v>
      </c>
      <c r="H203" s="1563" t="s">
        <v>24</v>
      </c>
      <c r="I203" s="1586"/>
      <c r="J203" s="1587"/>
      <c r="K203" s="1587"/>
      <c r="L203" s="1587"/>
      <c r="M203" s="1603"/>
      <c r="N203" s="1587"/>
      <c r="O203" s="1588"/>
      <c r="P203" s="1567"/>
    </row>
    <row r="204" spans="1:261" s="272" customFormat="1" ht="18" customHeight="1" x14ac:dyDescent="0.35">
      <c r="A204" s="1423">
        <v>193</v>
      </c>
      <c r="B204" s="1589"/>
      <c r="C204" s="1582"/>
      <c r="D204" s="1163" t="s">
        <v>1064</v>
      </c>
      <c r="E204" s="1560"/>
      <c r="F204" s="1560"/>
      <c r="G204" s="1562"/>
      <c r="H204" s="1563"/>
      <c r="I204" s="1586"/>
      <c r="J204" s="1587"/>
      <c r="K204" s="1560">
        <v>582</v>
      </c>
      <c r="L204" s="1560"/>
      <c r="M204" s="1549">
        <v>306190</v>
      </c>
      <c r="N204" s="1560"/>
      <c r="O204" s="1576">
        <f>SUM(I204:N204)</f>
        <v>306772</v>
      </c>
      <c r="P204" s="1604"/>
      <c r="Q204" s="148"/>
      <c r="R204" s="148"/>
      <c r="S204" s="148"/>
      <c r="T204" s="148"/>
      <c r="U204" s="148"/>
      <c r="V204" s="148"/>
      <c r="W204" s="148"/>
      <c r="X204" s="148"/>
      <c r="Y204" s="148"/>
      <c r="Z204" s="148"/>
      <c r="AA204" s="148"/>
      <c r="AB204" s="148"/>
      <c r="AC204" s="148"/>
      <c r="AD204" s="148"/>
      <c r="AE204" s="148"/>
      <c r="AF204" s="148"/>
      <c r="AG204" s="148"/>
      <c r="AH204" s="148"/>
      <c r="AI204" s="148"/>
      <c r="AJ204" s="148"/>
      <c r="AK204" s="148"/>
      <c r="AL204" s="148"/>
      <c r="AM204" s="148"/>
      <c r="AN204" s="148"/>
      <c r="AO204" s="148"/>
      <c r="AP204" s="148"/>
      <c r="AQ204" s="148"/>
      <c r="AR204" s="148"/>
      <c r="AS204" s="148"/>
      <c r="AT204" s="148"/>
      <c r="AU204" s="148"/>
      <c r="AV204" s="148"/>
      <c r="AW204" s="148"/>
      <c r="AX204" s="148"/>
      <c r="AY204" s="148"/>
      <c r="AZ204" s="148"/>
      <c r="BA204" s="148"/>
      <c r="BB204" s="148"/>
      <c r="BC204" s="148"/>
      <c r="BD204" s="148"/>
      <c r="BE204" s="148"/>
      <c r="BF204" s="148"/>
      <c r="BG204" s="148"/>
      <c r="BH204" s="148"/>
      <c r="BI204" s="148"/>
      <c r="BJ204" s="148"/>
      <c r="BK204" s="148"/>
      <c r="BL204" s="148"/>
      <c r="BM204" s="148"/>
      <c r="BN204" s="148"/>
      <c r="BO204" s="148"/>
      <c r="BP204" s="148"/>
      <c r="BQ204" s="148"/>
      <c r="BR204" s="148"/>
      <c r="BS204" s="148"/>
      <c r="BT204" s="148"/>
      <c r="BU204" s="148"/>
      <c r="BV204" s="148"/>
      <c r="BW204" s="148"/>
      <c r="BX204" s="148"/>
      <c r="BY204" s="148"/>
      <c r="BZ204" s="148"/>
      <c r="CA204" s="148"/>
      <c r="CB204" s="148"/>
      <c r="CC204" s="148"/>
      <c r="CD204" s="148"/>
      <c r="CE204" s="148"/>
      <c r="CF204" s="148"/>
      <c r="CG204" s="148"/>
      <c r="CH204" s="148"/>
      <c r="CI204" s="148"/>
      <c r="CJ204" s="148"/>
      <c r="CK204" s="148"/>
      <c r="CL204" s="148"/>
      <c r="CM204" s="148"/>
      <c r="CN204" s="148"/>
      <c r="CO204" s="148"/>
      <c r="CP204" s="148"/>
      <c r="CQ204" s="148"/>
      <c r="CR204" s="148"/>
      <c r="CS204" s="148"/>
      <c r="CT204" s="148"/>
      <c r="CU204" s="148"/>
      <c r="CV204" s="148"/>
      <c r="CW204" s="148"/>
      <c r="CX204" s="148"/>
      <c r="CY204" s="148"/>
      <c r="CZ204" s="148"/>
      <c r="DA204" s="148"/>
      <c r="DB204" s="148"/>
      <c r="DC204" s="148"/>
      <c r="DD204" s="148"/>
      <c r="DE204" s="148"/>
      <c r="DF204" s="148"/>
      <c r="DG204" s="148"/>
      <c r="DH204" s="148"/>
      <c r="DI204" s="148"/>
      <c r="DJ204" s="148"/>
      <c r="DK204" s="148"/>
      <c r="DL204" s="148"/>
      <c r="DM204" s="148"/>
      <c r="DN204" s="148"/>
      <c r="DO204" s="148"/>
      <c r="DP204" s="148"/>
      <c r="DQ204" s="148"/>
      <c r="DR204" s="148"/>
      <c r="DS204" s="148"/>
      <c r="DT204" s="148"/>
      <c r="DU204" s="148"/>
      <c r="DV204" s="148"/>
      <c r="DW204" s="148"/>
      <c r="DX204" s="148"/>
      <c r="DY204" s="148"/>
      <c r="DZ204" s="148"/>
      <c r="EA204" s="148"/>
      <c r="EB204" s="148"/>
      <c r="EC204" s="148"/>
      <c r="ED204" s="148"/>
      <c r="EE204" s="148"/>
      <c r="EF204" s="148"/>
      <c r="EG204" s="148"/>
      <c r="EH204" s="148"/>
      <c r="EI204" s="148"/>
      <c r="EJ204" s="148"/>
      <c r="EK204" s="148"/>
      <c r="EL204" s="148"/>
      <c r="EM204" s="148"/>
      <c r="EN204" s="148"/>
      <c r="EO204" s="148"/>
      <c r="EP204" s="148"/>
      <c r="EQ204" s="148"/>
      <c r="ER204" s="148"/>
      <c r="ES204" s="148"/>
      <c r="ET204" s="148"/>
      <c r="EU204" s="148"/>
      <c r="EV204" s="148"/>
      <c r="EW204" s="148"/>
      <c r="EX204" s="148"/>
      <c r="EY204" s="148"/>
      <c r="EZ204" s="148"/>
      <c r="FA204" s="148"/>
      <c r="FB204" s="148"/>
      <c r="FC204" s="148"/>
      <c r="FD204" s="148"/>
      <c r="FE204" s="148"/>
      <c r="FF204" s="148"/>
      <c r="FG204" s="148"/>
      <c r="FH204" s="148"/>
      <c r="FI204" s="148"/>
      <c r="FJ204" s="148"/>
      <c r="FK204" s="148"/>
      <c r="FL204" s="148"/>
      <c r="FM204" s="148"/>
      <c r="FN204" s="148"/>
      <c r="FO204" s="148"/>
      <c r="FP204" s="148"/>
      <c r="FQ204" s="148"/>
      <c r="FR204" s="148"/>
      <c r="FS204" s="148"/>
      <c r="FT204" s="148"/>
      <c r="FU204" s="148"/>
      <c r="FV204" s="148"/>
      <c r="FW204" s="148"/>
      <c r="FX204" s="148"/>
      <c r="FY204" s="148"/>
      <c r="FZ204" s="148"/>
      <c r="GA204" s="148"/>
      <c r="GB204" s="148"/>
      <c r="GC204" s="148"/>
      <c r="GD204" s="148"/>
      <c r="GE204" s="148"/>
      <c r="GF204" s="148"/>
      <c r="GG204" s="148"/>
      <c r="GH204" s="148"/>
      <c r="GI204" s="148"/>
      <c r="GJ204" s="148"/>
      <c r="GK204" s="148"/>
      <c r="GL204" s="148"/>
      <c r="GM204" s="148"/>
      <c r="GN204" s="148"/>
      <c r="GO204" s="148"/>
      <c r="GP204" s="148"/>
      <c r="GQ204" s="148"/>
      <c r="GR204" s="148"/>
      <c r="GS204" s="148"/>
      <c r="GT204" s="148"/>
      <c r="GU204" s="148"/>
      <c r="GV204" s="148"/>
      <c r="GW204" s="148"/>
      <c r="GX204" s="148"/>
      <c r="GY204" s="148"/>
      <c r="GZ204" s="148"/>
      <c r="HA204" s="148"/>
      <c r="HB204" s="148"/>
      <c r="HC204" s="148"/>
      <c r="HD204" s="148"/>
      <c r="HE204" s="148"/>
      <c r="HF204" s="148"/>
      <c r="HG204" s="148"/>
      <c r="HH204" s="148"/>
      <c r="HI204" s="148"/>
      <c r="HJ204" s="148"/>
      <c r="HK204" s="148"/>
      <c r="HL204" s="148"/>
      <c r="HM204" s="148"/>
      <c r="HN204" s="148"/>
      <c r="HO204" s="148"/>
      <c r="HP204" s="148"/>
      <c r="HQ204" s="148"/>
      <c r="HR204" s="148"/>
      <c r="HS204" s="148"/>
      <c r="HT204" s="148"/>
      <c r="HU204" s="148"/>
      <c r="HV204" s="148"/>
      <c r="HW204" s="148"/>
      <c r="HX204" s="148"/>
      <c r="HY204" s="148"/>
      <c r="HZ204" s="148"/>
      <c r="IA204" s="148"/>
      <c r="IB204" s="148"/>
      <c r="IC204" s="148"/>
      <c r="ID204" s="148"/>
      <c r="IE204" s="148"/>
      <c r="IF204" s="148"/>
      <c r="IG204" s="148"/>
      <c r="IH204" s="148"/>
      <c r="II204" s="148"/>
      <c r="IJ204" s="148"/>
      <c r="IK204" s="148"/>
      <c r="IL204" s="148"/>
      <c r="IM204" s="148"/>
      <c r="IN204" s="148"/>
      <c r="IO204" s="148"/>
      <c r="IP204" s="148"/>
      <c r="IQ204" s="148"/>
      <c r="IR204" s="148"/>
      <c r="IS204" s="148"/>
      <c r="IT204" s="148"/>
      <c r="IU204" s="148"/>
      <c r="IV204" s="148"/>
      <c r="IW204" s="148"/>
      <c r="IX204" s="148"/>
      <c r="IY204" s="148"/>
      <c r="IZ204" s="148"/>
      <c r="JA204" s="148"/>
    </row>
    <row r="205" spans="1:261" s="272" customFormat="1" ht="18" customHeight="1" x14ac:dyDescent="0.35">
      <c r="A205" s="1423">
        <v>194</v>
      </c>
      <c r="B205" s="1557"/>
      <c r="C205" s="1582"/>
      <c r="D205" s="1174" t="s">
        <v>999</v>
      </c>
      <c r="E205" s="1560"/>
      <c r="F205" s="1560"/>
      <c r="G205" s="1562"/>
      <c r="H205" s="1563"/>
      <c r="I205" s="1560"/>
      <c r="J205" s="1560"/>
      <c r="K205" s="1598"/>
      <c r="L205" s="1598"/>
      <c r="M205" s="1598"/>
      <c r="N205" s="1560"/>
      <c r="O205" s="1599">
        <f>SUM(I205:N205)</f>
        <v>0</v>
      </c>
      <c r="P205" s="1604"/>
      <c r="Q205" s="148"/>
      <c r="R205" s="148"/>
      <c r="S205" s="148"/>
      <c r="T205" s="148"/>
      <c r="U205" s="148"/>
      <c r="V205" s="148"/>
      <c r="W205" s="148"/>
      <c r="X205" s="148"/>
      <c r="Y205" s="148"/>
      <c r="Z205" s="148"/>
      <c r="AA205" s="148"/>
      <c r="AB205" s="148"/>
      <c r="AC205" s="148"/>
      <c r="AD205" s="148"/>
      <c r="AE205" s="148"/>
      <c r="AF205" s="148"/>
      <c r="AG205" s="148"/>
      <c r="AH205" s="148"/>
      <c r="AI205" s="148"/>
      <c r="AJ205" s="148"/>
      <c r="AK205" s="148"/>
      <c r="AL205" s="148"/>
      <c r="AM205" s="148"/>
      <c r="AN205" s="148"/>
      <c r="AO205" s="148"/>
      <c r="AP205" s="148"/>
      <c r="AQ205" s="148"/>
      <c r="AR205" s="148"/>
      <c r="AS205" s="148"/>
      <c r="AT205" s="148"/>
      <c r="AU205" s="148"/>
      <c r="AV205" s="148"/>
      <c r="AW205" s="148"/>
      <c r="AX205" s="148"/>
      <c r="AY205" s="148"/>
      <c r="AZ205" s="148"/>
      <c r="BA205" s="148"/>
      <c r="BB205" s="148"/>
      <c r="BC205" s="148"/>
      <c r="BD205" s="148"/>
      <c r="BE205" s="148"/>
      <c r="BF205" s="148"/>
      <c r="BG205" s="148"/>
      <c r="BH205" s="148"/>
      <c r="BI205" s="148"/>
      <c r="BJ205" s="148"/>
      <c r="BK205" s="148"/>
      <c r="BL205" s="148"/>
      <c r="BM205" s="148"/>
      <c r="BN205" s="148"/>
      <c r="BO205" s="148"/>
      <c r="BP205" s="148"/>
      <c r="BQ205" s="148"/>
      <c r="BR205" s="148"/>
      <c r="BS205" s="148"/>
      <c r="BT205" s="148"/>
      <c r="BU205" s="148"/>
      <c r="BV205" s="148"/>
      <c r="BW205" s="148"/>
      <c r="BX205" s="148"/>
      <c r="BY205" s="148"/>
      <c r="BZ205" s="148"/>
      <c r="CA205" s="148"/>
      <c r="CB205" s="148"/>
      <c r="CC205" s="148"/>
      <c r="CD205" s="148"/>
      <c r="CE205" s="148"/>
      <c r="CF205" s="148"/>
      <c r="CG205" s="148"/>
      <c r="CH205" s="148"/>
      <c r="CI205" s="148"/>
      <c r="CJ205" s="148"/>
      <c r="CK205" s="148"/>
      <c r="CL205" s="148"/>
      <c r="CM205" s="148"/>
      <c r="CN205" s="148"/>
      <c r="CO205" s="148"/>
      <c r="CP205" s="148"/>
      <c r="CQ205" s="148"/>
      <c r="CR205" s="148"/>
      <c r="CS205" s="148"/>
      <c r="CT205" s="148"/>
      <c r="CU205" s="148"/>
      <c r="CV205" s="148"/>
      <c r="CW205" s="148"/>
      <c r="CX205" s="148"/>
      <c r="CY205" s="148"/>
      <c r="CZ205" s="148"/>
      <c r="DA205" s="148"/>
      <c r="DB205" s="148"/>
      <c r="DC205" s="148"/>
      <c r="DD205" s="148"/>
      <c r="DE205" s="148"/>
      <c r="DF205" s="148"/>
      <c r="DG205" s="148"/>
      <c r="DH205" s="148"/>
      <c r="DI205" s="148"/>
      <c r="DJ205" s="148"/>
      <c r="DK205" s="148"/>
      <c r="DL205" s="148"/>
      <c r="DM205" s="148"/>
      <c r="DN205" s="148"/>
      <c r="DO205" s="148"/>
      <c r="DP205" s="148"/>
      <c r="DQ205" s="148"/>
      <c r="DR205" s="148"/>
      <c r="DS205" s="148"/>
      <c r="DT205" s="148"/>
      <c r="DU205" s="148"/>
      <c r="DV205" s="148"/>
      <c r="DW205" s="148"/>
      <c r="DX205" s="148"/>
      <c r="DY205" s="148"/>
      <c r="DZ205" s="148"/>
      <c r="EA205" s="148"/>
      <c r="EB205" s="148"/>
      <c r="EC205" s="148"/>
      <c r="ED205" s="148"/>
      <c r="EE205" s="148"/>
      <c r="EF205" s="148"/>
      <c r="EG205" s="148"/>
      <c r="EH205" s="148"/>
      <c r="EI205" s="148"/>
      <c r="EJ205" s="148"/>
      <c r="EK205" s="148"/>
      <c r="EL205" s="148"/>
      <c r="EM205" s="148"/>
      <c r="EN205" s="148"/>
      <c r="EO205" s="148"/>
      <c r="EP205" s="148"/>
      <c r="EQ205" s="148"/>
      <c r="ER205" s="148"/>
      <c r="ES205" s="148"/>
      <c r="ET205" s="148"/>
      <c r="EU205" s="148"/>
      <c r="EV205" s="148"/>
      <c r="EW205" s="148"/>
      <c r="EX205" s="148"/>
      <c r="EY205" s="148"/>
      <c r="EZ205" s="148"/>
      <c r="FA205" s="148"/>
      <c r="FB205" s="148"/>
      <c r="FC205" s="148"/>
      <c r="FD205" s="148"/>
      <c r="FE205" s="148"/>
      <c r="FF205" s="148"/>
      <c r="FG205" s="148"/>
      <c r="FH205" s="148"/>
      <c r="FI205" s="148"/>
      <c r="FJ205" s="148"/>
      <c r="FK205" s="148"/>
      <c r="FL205" s="148"/>
      <c r="FM205" s="148"/>
      <c r="FN205" s="148"/>
      <c r="FO205" s="148"/>
      <c r="FP205" s="148"/>
      <c r="FQ205" s="148"/>
      <c r="FR205" s="148"/>
      <c r="FS205" s="148"/>
      <c r="FT205" s="148"/>
      <c r="FU205" s="148"/>
      <c r="FV205" s="148"/>
      <c r="FW205" s="148"/>
      <c r="FX205" s="148"/>
      <c r="FY205" s="148"/>
      <c r="FZ205" s="148"/>
      <c r="GA205" s="148"/>
      <c r="GB205" s="148"/>
      <c r="GC205" s="148"/>
      <c r="GD205" s="148"/>
      <c r="GE205" s="148"/>
      <c r="GF205" s="148"/>
      <c r="GG205" s="148"/>
      <c r="GH205" s="148"/>
      <c r="GI205" s="148"/>
      <c r="GJ205" s="148"/>
      <c r="GK205" s="148"/>
      <c r="GL205" s="148"/>
      <c r="GM205" s="148"/>
      <c r="GN205" s="148"/>
      <c r="GO205" s="148"/>
      <c r="GP205" s="148"/>
      <c r="GQ205" s="148"/>
      <c r="GR205" s="148"/>
      <c r="GS205" s="148"/>
      <c r="GT205" s="148"/>
      <c r="GU205" s="148"/>
      <c r="GV205" s="148"/>
      <c r="GW205" s="148"/>
      <c r="GX205" s="148"/>
      <c r="GY205" s="148"/>
      <c r="GZ205" s="148"/>
      <c r="HA205" s="148"/>
      <c r="HB205" s="148"/>
      <c r="HC205" s="148"/>
      <c r="HD205" s="148"/>
      <c r="HE205" s="148"/>
      <c r="HF205" s="148"/>
      <c r="HG205" s="148"/>
      <c r="HH205" s="148"/>
      <c r="HI205" s="148"/>
      <c r="HJ205" s="148"/>
      <c r="HK205" s="148"/>
      <c r="HL205" s="148"/>
      <c r="HM205" s="148"/>
      <c r="HN205" s="148"/>
      <c r="HO205" s="148"/>
      <c r="HP205" s="148"/>
      <c r="HQ205" s="148"/>
      <c r="HR205" s="148"/>
      <c r="HS205" s="148"/>
      <c r="HT205" s="148"/>
      <c r="HU205" s="148"/>
      <c r="HV205" s="148"/>
      <c r="HW205" s="148"/>
      <c r="HX205" s="148"/>
      <c r="HY205" s="148"/>
      <c r="HZ205" s="148"/>
      <c r="IA205" s="148"/>
      <c r="IB205" s="148"/>
      <c r="IC205" s="148"/>
      <c r="ID205" s="148"/>
      <c r="IE205" s="148"/>
      <c r="IF205" s="148"/>
      <c r="IG205" s="148"/>
      <c r="IH205" s="148"/>
      <c r="II205" s="148"/>
      <c r="IJ205" s="148"/>
      <c r="IK205" s="148"/>
      <c r="IL205" s="148"/>
      <c r="IM205" s="148"/>
      <c r="IN205" s="148"/>
      <c r="IO205" s="148"/>
      <c r="IP205" s="148"/>
      <c r="IQ205" s="148"/>
      <c r="IR205" s="148"/>
      <c r="IS205" s="148"/>
      <c r="IT205" s="148"/>
      <c r="IU205" s="148"/>
      <c r="IV205" s="148"/>
      <c r="IW205" s="148"/>
      <c r="IX205" s="148"/>
      <c r="IY205" s="148"/>
      <c r="IZ205" s="148"/>
      <c r="JA205" s="148"/>
    </row>
    <row r="206" spans="1:261" s="151" customFormat="1" ht="20.100000000000001" customHeight="1" thickBot="1" x14ac:dyDescent="0.4">
      <c r="A206" s="1423">
        <v>195</v>
      </c>
      <c r="B206" s="1605"/>
      <c r="C206" s="1606"/>
      <c r="D206" s="1163" t="s">
        <v>1116</v>
      </c>
      <c r="E206" s="1607"/>
      <c r="F206" s="1607"/>
      <c r="G206" s="1608"/>
      <c r="H206" s="1609"/>
      <c r="I206" s="1607"/>
      <c r="J206" s="1607"/>
      <c r="K206" s="1607">
        <f>SUM(K204:K205)</f>
        <v>582</v>
      </c>
      <c r="L206" s="1607"/>
      <c r="M206" s="1607">
        <f>SUM(M204:M205)</f>
        <v>306190</v>
      </c>
      <c r="N206" s="1607"/>
      <c r="O206" s="1576">
        <f>SUM(I206:N206)</f>
        <v>306772</v>
      </c>
      <c r="P206" s="1610"/>
    </row>
    <row r="207" spans="1:261" s="151" customFormat="1" ht="21.95" customHeight="1" x14ac:dyDescent="0.2">
      <c r="A207" s="1423">
        <v>196</v>
      </c>
      <c r="B207" s="2187" t="s">
        <v>13</v>
      </c>
      <c r="C207" s="2188"/>
      <c r="D207" s="2188"/>
      <c r="E207" s="2188"/>
      <c r="F207" s="2188"/>
      <c r="G207" s="2189"/>
      <c r="H207" s="1611"/>
      <c r="I207" s="1612"/>
      <c r="J207" s="1612"/>
      <c r="K207" s="1612"/>
      <c r="L207" s="1612"/>
      <c r="M207" s="1612"/>
      <c r="N207" s="1612"/>
      <c r="O207" s="1612"/>
      <c r="P207" s="1613">
        <f>SUM(P12:P203)</f>
        <v>28736</v>
      </c>
    </row>
    <row r="208" spans="1:261" s="151" customFormat="1" ht="21.95" customHeight="1" x14ac:dyDescent="0.3">
      <c r="A208" s="1423">
        <v>197</v>
      </c>
      <c r="B208" s="1614"/>
      <c r="C208" s="1615"/>
      <c r="D208" s="2190" t="s">
        <v>311</v>
      </c>
      <c r="E208" s="2191"/>
      <c r="F208" s="2191"/>
      <c r="G208" s="2192"/>
      <c r="H208" s="1616"/>
      <c r="I208" s="1617">
        <f t="shared" ref="I208:N208" si="18">I194+I189+I184+I179+I174+I169+I164+I159+I154+I149+I144+I139+I134+I129+I124+I119+I114+I109+I104+I99+I94+I89+I84+I79+I74+I69+I64+I59+I54+I49+I44+I39+I34+I29+I24+I19+I14+I199</f>
        <v>327</v>
      </c>
      <c r="J208" s="1617">
        <f t="shared" si="18"/>
        <v>169</v>
      </c>
      <c r="K208" s="1617">
        <f t="shared" si="18"/>
        <v>287241</v>
      </c>
      <c r="L208" s="1617">
        <f t="shared" si="18"/>
        <v>4529</v>
      </c>
      <c r="M208" s="1617">
        <f t="shared" si="18"/>
        <v>10258653</v>
      </c>
      <c r="N208" s="1617">
        <f t="shared" si="18"/>
        <v>5000</v>
      </c>
      <c r="O208" s="1618">
        <f>O194+O189+O184+O179+O174+O169+O164+O159+O154+O149+O144+O139+O134+O129+O124+O119+O114+O109+O104+O99+O94+O89+O84+O79+O74+O69+O64+O59+O54+O49+O44+O39+O34+O29+O24+O19+O14</f>
        <v>10553419</v>
      </c>
      <c r="P208" s="1619"/>
    </row>
    <row r="209" spans="1:16" s="151" customFormat="1" ht="21.95" customHeight="1" x14ac:dyDescent="0.35">
      <c r="A209" s="1423">
        <v>198</v>
      </c>
      <c r="B209" s="1614"/>
      <c r="C209" s="1615"/>
      <c r="D209" s="1620" t="s">
        <v>1064</v>
      </c>
      <c r="E209" s="1896"/>
      <c r="F209" s="1896"/>
      <c r="G209" s="1897"/>
      <c r="H209" s="1616"/>
      <c r="I209" s="1621">
        <f>I195+I190+I185+I180+I175+I170+I165+I160+I155+I150+I145+I140+I135+I130+I125+I120+I115+I110+I105+I100+I95+I90+I85+I80+I75+I70+I65+I60+I55+I50+I45+I40+I35+I30+I25+I20+I15+I200+I204</f>
        <v>5907</v>
      </c>
      <c r="J209" s="1621">
        <f t="shared" ref="J209:N209" si="19">J195+J190+J185+J180+J175+J170+J165+J160+J155+J150+J145+J140+J135+J130+J125+J120+J115+J110+J105+J100+J95+J90+J85+J80+J75+J70+J65+J60+J55+J50+J45+J40+J35+J30+J25+J20+J15+J200+J204</f>
        <v>1227</v>
      </c>
      <c r="K209" s="1621">
        <f t="shared" si="19"/>
        <v>219460</v>
      </c>
      <c r="L209" s="1621">
        <f t="shared" si="19"/>
        <v>6169</v>
      </c>
      <c r="M209" s="1621">
        <f t="shared" si="19"/>
        <v>10375308</v>
      </c>
      <c r="N209" s="1621">
        <f t="shared" si="19"/>
        <v>86651</v>
      </c>
      <c r="O209" s="1576">
        <f>SUM(I209:N209)</f>
        <v>10694722</v>
      </c>
      <c r="P209" s="1619"/>
    </row>
    <row r="210" spans="1:16" s="151" customFormat="1" ht="21.95" customHeight="1" x14ac:dyDescent="0.3">
      <c r="A210" s="1423">
        <v>199</v>
      </c>
      <c r="B210" s="1623"/>
      <c r="C210" s="1624"/>
      <c r="D210" s="2073" t="s">
        <v>999</v>
      </c>
      <c r="E210" s="2185"/>
      <c r="F210" s="2185"/>
      <c r="G210" s="2186"/>
      <c r="H210" s="1625"/>
      <c r="I210" s="1178">
        <f>I205+I196+I191+I186+I181+I176+I171+I166+I161+I156+I151+I146+I141+I136+I131+I126+I121+I116+I111+I106+I101+I96+I91+I86+I81+I76+I71+I66+I61+I56+I51+I46+I41+I36+I31+I26+I21+I16+I201</f>
        <v>-37</v>
      </c>
      <c r="J210" s="1178">
        <f t="shared" ref="J210:N210" si="20">J205+J196+J191+J186+J181+J176+J171+J166+J161+J156+J151+J146+J141+J136+J131+J126+J121+J116+J111+J106+J101+J96+J91+J86+J81+J76+J71+J66+J61+J56+J51+J46+J41+J36+J31+J26+J21+J16+J201</f>
        <v>34</v>
      </c>
      <c r="K210" s="1178">
        <f t="shared" si="20"/>
        <v>-96963</v>
      </c>
      <c r="L210" s="1178">
        <f t="shared" si="20"/>
        <v>109539</v>
      </c>
      <c r="M210" s="1178">
        <f t="shared" si="20"/>
        <v>-1506861</v>
      </c>
      <c r="N210" s="1178">
        <f t="shared" si="20"/>
        <v>1449925</v>
      </c>
      <c r="O210" s="1927">
        <f>SUM(I210:N210)</f>
        <v>-44363</v>
      </c>
      <c r="P210" s="1626"/>
    </row>
    <row r="211" spans="1:16" ht="18" customHeight="1" thickBot="1" x14ac:dyDescent="0.4">
      <c r="A211" s="1423">
        <v>200</v>
      </c>
      <c r="B211" s="1627"/>
      <c r="C211" s="1628"/>
      <c r="D211" s="2102" t="s">
        <v>1116</v>
      </c>
      <c r="E211" s="2181"/>
      <c r="F211" s="2181"/>
      <c r="G211" s="2182"/>
      <c r="H211" s="1629"/>
      <c r="I211" s="1630">
        <f>SUM(I209:I210)</f>
        <v>5870</v>
      </c>
      <c r="J211" s="1630">
        <f t="shared" ref="J211:N211" si="21">SUM(J209:J210)</f>
        <v>1261</v>
      </c>
      <c r="K211" s="1630">
        <f t="shared" si="21"/>
        <v>122497</v>
      </c>
      <c r="L211" s="1630">
        <f t="shared" si="21"/>
        <v>115708</v>
      </c>
      <c r="M211" s="1630">
        <f t="shared" si="21"/>
        <v>8868447</v>
      </c>
      <c r="N211" s="1630">
        <f t="shared" si="21"/>
        <v>1536576</v>
      </c>
      <c r="O211" s="1631">
        <f>SUM(I211:N211)</f>
        <v>10650359</v>
      </c>
      <c r="P211" s="1632"/>
    </row>
    <row r="212" spans="1:16" ht="18" customHeight="1" x14ac:dyDescent="0.35">
      <c r="B212" s="1633" t="s">
        <v>27</v>
      </c>
      <c r="C212" s="1634"/>
      <c r="D212" s="1633"/>
      <c r="E212" s="1635"/>
      <c r="F212" s="1636"/>
      <c r="G212" s="1635"/>
      <c r="H212" s="269"/>
      <c r="I212" s="1635"/>
      <c r="J212" s="1635"/>
      <c r="K212" s="1635"/>
      <c r="L212" s="1635"/>
      <c r="M212" s="1635"/>
      <c r="N212" s="1635"/>
      <c r="O212" s="1637"/>
      <c r="P212" s="1900"/>
    </row>
    <row r="213" spans="1:16" ht="18" customHeight="1" x14ac:dyDescent="0.35">
      <c r="B213" s="1633" t="s">
        <v>28</v>
      </c>
      <c r="C213" s="1634"/>
      <c r="D213" s="1633"/>
      <c r="E213" s="217"/>
      <c r="F213" s="1636"/>
      <c r="G213" s="1635"/>
      <c r="H213" s="269"/>
      <c r="I213" s="1635"/>
      <c r="J213" s="1635"/>
      <c r="K213" s="1635"/>
      <c r="L213" s="1635"/>
      <c r="M213" s="1635"/>
      <c r="N213" s="1635"/>
      <c r="O213" s="1637"/>
      <c r="P213" s="1900"/>
    </row>
    <row r="214" spans="1:16" x14ac:dyDescent="0.35">
      <c r="B214" s="1633" t="s">
        <v>29</v>
      </c>
      <c r="C214" s="1634"/>
      <c r="D214" s="1633"/>
      <c r="E214" s="217"/>
      <c r="F214" s="1636"/>
      <c r="G214" s="1635"/>
      <c r="H214" s="269"/>
      <c r="I214" s="1635"/>
      <c r="J214" s="1635"/>
      <c r="K214" s="1635"/>
      <c r="L214" s="1635"/>
      <c r="M214" s="1635"/>
      <c r="N214" s="1635"/>
      <c r="O214" s="1637"/>
      <c r="P214" s="1900"/>
    </row>
    <row r="215" spans="1:16" x14ac:dyDescent="0.35">
      <c r="B215" s="1638" t="s">
        <v>653</v>
      </c>
      <c r="C215" s="1638"/>
      <c r="E215" s="1900"/>
      <c r="F215" s="1900"/>
      <c r="G215" s="1900"/>
      <c r="I215" s="1900"/>
      <c r="J215" s="1900"/>
      <c r="K215" s="1900"/>
      <c r="L215" s="1900"/>
      <c r="M215" s="1900"/>
      <c r="N215" s="1900"/>
      <c r="P215" s="1900"/>
    </row>
  </sheetData>
  <mergeCells count="21">
    <mergeCell ref="D211:G211"/>
    <mergeCell ref="O10:O11"/>
    <mergeCell ref="D210:G210"/>
    <mergeCell ref="B207:G207"/>
    <mergeCell ref="D208:G208"/>
    <mergeCell ref="I1:P1"/>
    <mergeCell ref="A1:D1"/>
    <mergeCell ref="A5:P5"/>
    <mergeCell ref="A6:P6"/>
    <mergeCell ref="Q9:R9"/>
    <mergeCell ref="B9:B11"/>
    <mergeCell ref="C9:C11"/>
    <mergeCell ref="D9:D11"/>
    <mergeCell ref="E9:E11"/>
    <mergeCell ref="F9:F11"/>
    <mergeCell ref="G9:G11"/>
    <mergeCell ref="H9:H11"/>
    <mergeCell ref="I9:O9"/>
    <mergeCell ref="P9:P11"/>
    <mergeCell ref="I10:L10"/>
    <mergeCell ref="M10:N10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61" fitToHeight="0" orientation="landscape" r:id="rId1"/>
  <headerFooter>
    <oddFooter>&amp;C- &amp;P -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A86"/>
  <sheetViews>
    <sheetView view="pageBreakPreview" zoomScale="88" zoomScaleNormal="100" zoomScaleSheetLayoutView="88" workbookViewId="0">
      <selection activeCell="A5" sqref="A5:P5"/>
    </sheetView>
  </sheetViews>
  <sheetFormatPr defaultColWidth="9.140625" defaultRowHeight="17.25" x14ac:dyDescent="0.35"/>
  <cols>
    <col min="1" max="1" width="3.7109375" style="268" customWidth="1"/>
    <col min="2" max="3" width="5.7109375" style="300" customWidth="1"/>
    <col min="4" max="4" width="62.7109375" style="148" customWidth="1"/>
    <col min="5" max="5" width="12.7109375" style="299" customWidth="1"/>
    <col min="6" max="7" width="10.7109375" style="299" customWidth="1"/>
    <col min="8" max="8" width="6.7109375" style="271" customWidth="1"/>
    <col min="9" max="14" width="14.85546875" style="299" customWidth="1"/>
    <col min="15" max="15" width="15.7109375" style="273" customWidth="1"/>
    <col min="16" max="16" width="13.85546875" style="299" customWidth="1"/>
    <col min="17" max="16384" width="9.140625" style="148"/>
  </cols>
  <sheetData>
    <row r="1" spans="1:261" ht="18" customHeight="1" x14ac:dyDescent="0.3">
      <c r="A1" s="2154" t="s">
        <v>978</v>
      </c>
      <c r="B1" s="2154"/>
      <c r="C1" s="2154"/>
      <c r="D1" s="2154"/>
      <c r="E1" s="217"/>
      <c r="F1" s="217"/>
      <c r="G1" s="217"/>
      <c r="H1" s="269"/>
      <c r="I1" s="2122"/>
      <c r="J1" s="2122"/>
      <c r="K1" s="2122"/>
      <c r="L1" s="2122"/>
      <c r="M1" s="2122"/>
      <c r="N1" s="2122"/>
      <c r="O1" s="2122"/>
      <c r="P1" s="2122"/>
      <c r="Q1" s="270"/>
      <c r="R1" s="270"/>
      <c r="S1" s="270"/>
      <c r="T1" s="270"/>
      <c r="U1" s="270"/>
      <c r="V1" s="270"/>
      <c r="W1" s="270"/>
      <c r="X1" s="270"/>
      <c r="Y1" s="270"/>
      <c r="Z1" s="270"/>
      <c r="AA1" s="270"/>
      <c r="AB1" s="270"/>
      <c r="AC1" s="270"/>
      <c r="AD1" s="270"/>
      <c r="AE1" s="270"/>
      <c r="AF1" s="270"/>
      <c r="AG1" s="270"/>
      <c r="AH1" s="270"/>
      <c r="AI1" s="270"/>
      <c r="AJ1" s="270"/>
      <c r="AK1" s="270"/>
      <c r="AL1" s="270"/>
      <c r="AM1" s="270"/>
      <c r="AN1" s="270"/>
      <c r="AO1" s="270"/>
      <c r="AP1" s="270"/>
      <c r="AQ1" s="270"/>
      <c r="AR1" s="270"/>
      <c r="AS1" s="270"/>
      <c r="AT1" s="270"/>
      <c r="AU1" s="270"/>
      <c r="AV1" s="270"/>
      <c r="AW1" s="270"/>
      <c r="AX1" s="270"/>
      <c r="AY1" s="270"/>
      <c r="AZ1" s="270"/>
      <c r="BA1" s="270"/>
      <c r="BB1" s="270"/>
      <c r="BC1" s="270"/>
      <c r="BD1" s="270"/>
      <c r="BE1" s="270"/>
      <c r="BF1" s="270"/>
      <c r="BG1" s="270"/>
      <c r="BH1" s="270"/>
      <c r="BI1" s="270"/>
      <c r="BJ1" s="270"/>
      <c r="BK1" s="270"/>
      <c r="BL1" s="270"/>
      <c r="BM1" s="270"/>
      <c r="BN1" s="270"/>
      <c r="BO1" s="270"/>
      <c r="BP1" s="270"/>
      <c r="BQ1" s="270"/>
      <c r="BR1" s="270"/>
      <c r="BS1" s="270"/>
      <c r="BT1" s="270"/>
      <c r="BU1" s="270"/>
      <c r="BV1" s="270"/>
      <c r="BW1" s="270"/>
      <c r="BX1" s="270"/>
      <c r="BY1" s="270"/>
      <c r="BZ1" s="270"/>
      <c r="CA1" s="270"/>
      <c r="CB1" s="270"/>
      <c r="CC1" s="270"/>
      <c r="CD1" s="270"/>
      <c r="CE1" s="270"/>
      <c r="CF1" s="270"/>
      <c r="CG1" s="270"/>
      <c r="CH1" s="270"/>
      <c r="CI1" s="270"/>
      <c r="CJ1" s="270"/>
      <c r="CK1" s="270"/>
      <c r="CL1" s="270"/>
      <c r="CM1" s="270"/>
      <c r="CN1" s="270"/>
      <c r="CO1" s="270"/>
      <c r="CP1" s="270"/>
      <c r="CQ1" s="270"/>
      <c r="CR1" s="270"/>
      <c r="CS1" s="270"/>
      <c r="CT1" s="270"/>
      <c r="CU1" s="270"/>
      <c r="CV1" s="270"/>
      <c r="CW1" s="270"/>
      <c r="CX1" s="270"/>
      <c r="CY1" s="270"/>
      <c r="CZ1" s="270"/>
      <c r="DA1" s="270"/>
      <c r="DB1" s="270"/>
      <c r="DC1" s="270"/>
      <c r="DD1" s="270"/>
      <c r="DE1" s="270"/>
      <c r="DF1" s="270"/>
      <c r="DG1" s="270"/>
      <c r="DH1" s="270"/>
      <c r="DI1" s="270"/>
      <c r="DJ1" s="270"/>
      <c r="DK1" s="270"/>
      <c r="DL1" s="270"/>
      <c r="DM1" s="270"/>
      <c r="DN1" s="270"/>
      <c r="DO1" s="270"/>
      <c r="DP1" s="270"/>
      <c r="DQ1" s="270"/>
      <c r="DR1" s="270"/>
      <c r="DS1" s="270"/>
      <c r="DT1" s="270"/>
      <c r="DU1" s="270"/>
      <c r="DV1" s="270"/>
      <c r="DW1" s="270"/>
      <c r="DX1" s="270"/>
      <c r="DY1" s="270"/>
      <c r="DZ1" s="270"/>
      <c r="EA1" s="270"/>
      <c r="EB1" s="270"/>
      <c r="EC1" s="270"/>
      <c r="ED1" s="270"/>
      <c r="EE1" s="270"/>
      <c r="EF1" s="270"/>
      <c r="EG1" s="270"/>
      <c r="EH1" s="270"/>
      <c r="EI1" s="270"/>
      <c r="EJ1" s="270"/>
      <c r="EK1" s="270"/>
      <c r="EL1" s="270"/>
      <c r="EM1" s="270"/>
      <c r="EN1" s="270"/>
      <c r="EO1" s="270"/>
      <c r="EP1" s="270"/>
      <c r="EQ1" s="270"/>
      <c r="ER1" s="270"/>
      <c r="ES1" s="270"/>
      <c r="ET1" s="270"/>
      <c r="EU1" s="270"/>
      <c r="EV1" s="270"/>
      <c r="EW1" s="270"/>
      <c r="EX1" s="270"/>
      <c r="EY1" s="270"/>
      <c r="EZ1" s="270"/>
      <c r="FA1" s="270"/>
      <c r="FB1" s="270"/>
      <c r="FC1" s="270"/>
      <c r="FD1" s="270"/>
      <c r="FE1" s="270"/>
      <c r="FF1" s="270"/>
      <c r="FG1" s="270"/>
      <c r="FH1" s="270"/>
      <c r="FI1" s="270"/>
      <c r="FJ1" s="270"/>
      <c r="FK1" s="270"/>
      <c r="FL1" s="270"/>
      <c r="FM1" s="270"/>
      <c r="FN1" s="270"/>
      <c r="FO1" s="270"/>
      <c r="FP1" s="270"/>
      <c r="FQ1" s="270"/>
      <c r="FR1" s="270"/>
      <c r="FS1" s="270"/>
      <c r="FT1" s="270"/>
      <c r="FU1" s="270"/>
      <c r="FV1" s="270"/>
      <c r="FW1" s="270"/>
      <c r="FX1" s="270"/>
      <c r="FY1" s="270"/>
      <c r="FZ1" s="270"/>
      <c r="GA1" s="270"/>
      <c r="GB1" s="270"/>
      <c r="GC1" s="270"/>
      <c r="GD1" s="270"/>
      <c r="GE1" s="270"/>
      <c r="GF1" s="270"/>
      <c r="GG1" s="270"/>
      <c r="GH1" s="270"/>
      <c r="GI1" s="270"/>
      <c r="GJ1" s="270"/>
      <c r="GK1" s="270"/>
      <c r="GL1" s="270"/>
      <c r="GM1" s="270"/>
      <c r="GN1" s="270"/>
      <c r="GO1" s="270"/>
      <c r="GP1" s="270"/>
      <c r="GQ1" s="270"/>
      <c r="GR1" s="270"/>
      <c r="GS1" s="270"/>
      <c r="GT1" s="270"/>
      <c r="GU1" s="270"/>
      <c r="GV1" s="270"/>
      <c r="GW1" s="270"/>
      <c r="GX1" s="270"/>
      <c r="GY1" s="270"/>
      <c r="GZ1" s="270"/>
      <c r="HA1" s="270"/>
      <c r="HB1" s="270"/>
      <c r="HC1" s="270"/>
      <c r="HD1" s="270"/>
      <c r="HE1" s="270"/>
      <c r="HF1" s="270"/>
      <c r="HG1" s="270"/>
      <c r="HH1" s="270"/>
      <c r="HI1" s="270"/>
      <c r="HJ1" s="270"/>
      <c r="HK1" s="270"/>
      <c r="HL1" s="270"/>
      <c r="HM1" s="270"/>
      <c r="HN1" s="270"/>
      <c r="HO1" s="270"/>
      <c r="HP1" s="270"/>
      <c r="HQ1" s="270"/>
      <c r="HR1" s="270"/>
      <c r="HS1" s="270"/>
      <c r="HT1" s="270"/>
      <c r="HU1" s="270"/>
      <c r="HV1" s="270"/>
      <c r="HW1" s="270"/>
      <c r="HX1" s="270"/>
      <c r="HY1" s="270"/>
      <c r="HZ1" s="270"/>
      <c r="IA1" s="270"/>
      <c r="IB1" s="270"/>
      <c r="IC1" s="270"/>
      <c r="ID1" s="270"/>
      <c r="IE1" s="270"/>
      <c r="IF1" s="270"/>
      <c r="IG1" s="270"/>
      <c r="IH1" s="270"/>
      <c r="II1" s="270"/>
      <c r="IJ1" s="270"/>
      <c r="IK1" s="270"/>
      <c r="IL1" s="270"/>
      <c r="IM1" s="270"/>
      <c r="IN1" s="270"/>
      <c r="IO1" s="270"/>
      <c r="IP1" s="270"/>
    </row>
    <row r="2" spans="1:261" ht="18" customHeight="1" x14ac:dyDescent="0.3">
      <c r="A2" s="1936" t="s">
        <v>1050</v>
      </c>
      <c r="B2" s="1936"/>
      <c r="C2" s="1936"/>
      <c r="D2" s="1936"/>
      <c r="E2" s="1936"/>
      <c r="F2" s="217"/>
      <c r="G2" s="217"/>
      <c r="H2" s="269"/>
      <c r="I2" s="469"/>
      <c r="J2" s="469"/>
      <c r="K2" s="469"/>
      <c r="L2" s="469"/>
      <c r="M2" s="469"/>
      <c r="N2" s="469"/>
      <c r="O2" s="469"/>
      <c r="P2" s="469"/>
      <c r="Q2" s="270"/>
      <c r="R2" s="270"/>
      <c r="S2" s="270"/>
      <c r="T2" s="270"/>
      <c r="U2" s="270"/>
      <c r="V2" s="270"/>
      <c r="W2" s="270"/>
      <c r="X2" s="270"/>
      <c r="Y2" s="270"/>
      <c r="Z2" s="270"/>
      <c r="AA2" s="270"/>
      <c r="AB2" s="270"/>
      <c r="AC2" s="270"/>
      <c r="AD2" s="270"/>
      <c r="AE2" s="270"/>
      <c r="AF2" s="270"/>
      <c r="AG2" s="270"/>
      <c r="AH2" s="270"/>
      <c r="AI2" s="270"/>
      <c r="AJ2" s="270"/>
      <c r="AK2" s="270"/>
      <c r="AL2" s="270"/>
      <c r="AM2" s="270"/>
      <c r="AN2" s="270"/>
      <c r="AO2" s="270"/>
      <c r="AP2" s="270"/>
      <c r="AQ2" s="270"/>
      <c r="AR2" s="270"/>
      <c r="AS2" s="270"/>
      <c r="AT2" s="270"/>
      <c r="AU2" s="270"/>
      <c r="AV2" s="270"/>
      <c r="AW2" s="270"/>
      <c r="AX2" s="270"/>
      <c r="AY2" s="270"/>
      <c r="AZ2" s="270"/>
      <c r="BA2" s="270"/>
      <c r="BB2" s="270"/>
      <c r="BC2" s="270"/>
      <c r="BD2" s="270"/>
      <c r="BE2" s="270"/>
      <c r="BF2" s="270"/>
      <c r="BG2" s="270"/>
      <c r="BH2" s="270"/>
      <c r="BI2" s="270"/>
      <c r="BJ2" s="270"/>
      <c r="BK2" s="270"/>
      <c r="BL2" s="270"/>
      <c r="BM2" s="270"/>
      <c r="BN2" s="270"/>
      <c r="BO2" s="270"/>
      <c r="BP2" s="270"/>
      <c r="BQ2" s="270"/>
      <c r="BR2" s="270"/>
      <c r="BS2" s="270"/>
      <c r="BT2" s="270"/>
      <c r="BU2" s="270"/>
      <c r="BV2" s="270"/>
      <c r="BW2" s="270"/>
      <c r="BX2" s="270"/>
      <c r="BY2" s="270"/>
      <c r="BZ2" s="270"/>
      <c r="CA2" s="270"/>
      <c r="CB2" s="270"/>
      <c r="CC2" s="270"/>
      <c r="CD2" s="270"/>
      <c r="CE2" s="270"/>
      <c r="CF2" s="270"/>
      <c r="CG2" s="270"/>
      <c r="CH2" s="270"/>
      <c r="CI2" s="270"/>
      <c r="CJ2" s="270"/>
      <c r="CK2" s="270"/>
      <c r="CL2" s="270"/>
      <c r="CM2" s="270"/>
      <c r="CN2" s="270"/>
      <c r="CO2" s="270"/>
      <c r="CP2" s="270"/>
      <c r="CQ2" s="270"/>
      <c r="CR2" s="270"/>
      <c r="CS2" s="270"/>
      <c r="CT2" s="270"/>
      <c r="CU2" s="270"/>
      <c r="CV2" s="270"/>
      <c r="CW2" s="270"/>
      <c r="CX2" s="270"/>
      <c r="CY2" s="270"/>
      <c r="CZ2" s="270"/>
      <c r="DA2" s="270"/>
      <c r="DB2" s="270"/>
      <c r="DC2" s="270"/>
      <c r="DD2" s="270"/>
      <c r="DE2" s="270"/>
      <c r="DF2" s="270"/>
      <c r="DG2" s="270"/>
      <c r="DH2" s="270"/>
      <c r="DI2" s="270"/>
      <c r="DJ2" s="270"/>
      <c r="DK2" s="270"/>
      <c r="DL2" s="270"/>
      <c r="DM2" s="270"/>
      <c r="DN2" s="270"/>
      <c r="DO2" s="270"/>
      <c r="DP2" s="270"/>
      <c r="DQ2" s="270"/>
      <c r="DR2" s="270"/>
      <c r="DS2" s="270"/>
      <c r="DT2" s="270"/>
      <c r="DU2" s="270"/>
      <c r="DV2" s="270"/>
      <c r="DW2" s="270"/>
      <c r="DX2" s="270"/>
      <c r="DY2" s="270"/>
      <c r="DZ2" s="270"/>
      <c r="EA2" s="270"/>
      <c r="EB2" s="270"/>
      <c r="EC2" s="270"/>
      <c r="ED2" s="270"/>
      <c r="EE2" s="270"/>
      <c r="EF2" s="270"/>
      <c r="EG2" s="270"/>
      <c r="EH2" s="270"/>
      <c r="EI2" s="270"/>
      <c r="EJ2" s="270"/>
      <c r="EK2" s="270"/>
      <c r="EL2" s="270"/>
      <c r="EM2" s="270"/>
      <c r="EN2" s="270"/>
      <c r="EO2" s="270"/>
      <c r="EP2" s="270"/>
      <c r="EQ2" s="270"/>
      <c r="ER2" s="270"/>
      <c r="ES2" s="270"/>
      <c r="ET2" s="270"/>
      <c r="EU2" s="270"/>
      <c r="EV2" s="270"/>
      <c r="EW2" s="270"/>
      <c r="EX2" s="270"/>
      <c r="EY2" s="270"/>
      <c r="EZ2" s="270"/>
      <c r="FA2" s="270"/>
      <c r="FB2" s="270"/>
      <c r="FC2" s="270"/>
      <c r="FD2" s="270"/>
      <c r="FE2" s="270"/>
      <c r="FF2" s="270"/>
      <c r="FG2" s="270"/>
      <c r="FH2" s="270"/>
      <c r="FI2" s="270"/>
      <c r="FJ2" s="270"/>
      <c r="FK2" s="270"/>
      <c r="FL2" s="270"/>
      <c r="FM2" s="270"/>
      <c r="FN2" s="270"/>
      <c r="FO2" s="270"/>
      <c r="FP2" s="270"/>
      <c r="FQ2" s="270"/>
      <c r="FR2" s="270"/>
      <c r="FS2" s="270"/>
      <c r="FT2" s="270"/>
      <c r="FU2" s="270"/>
      <c r="FV2" s="270"/>
      <c r="FW2" s="270"/>
      <c r="FX2" s="270"/>
      <c r="FY2" s="270"/>
      <c r="FZ2" s="270"/>
      <c r="GA2" s="270"/>
      <c r="GB2" s="270"/>
      <c r="GC2" s="270"/>
      <c r="GD2" s="270"/>
      <c r="GE2" s="270"/>
      <c r="GF2" s="270"/>
      <c r="GG2" s="270"/>
      <c r="GH2" s="270"/>
      <c r="GI2" s="270"/>
      <c r="GJ2" s="270"/>
      <c r="GK2" s="270"/>
      <c r="GL2" s="270"/>
      <c r="GM2" s="270"/>
      <c r="GN2" s="270"/>
      <c r="GO2" s="270"/>
      <c r="GP2" s="270"/>
      <c r="GQ2" s="270"/>
      <c r="GR2" s="270"/>
      <c r="GS2" s="270"/>
      <c r="GT2" s="270"/>
      <c r="GU2" s="270"/>
      <c r="GV2" s="270"/>
      <c r="GW2" s="270"/>
      <c r="GX2" s="270"/>
      <c r="GY2" s="270"/>
      <c r="GZ2" s="270"/>
      <c r="HA2" s="270"/>
      <c r="HB2" s="270"/>
      <c r="HC2" s="270"/>
      <c r="HD2" s="270"/>
      <c r="HE2" s="270"/>
      <c r="HF2" s="270"/>
      <c r="HG2" s="270"/>
      <c r="HH2" s="270"/>
      <c r="HI2" s="270"/>
      <c r="HJ2" s="270"/>
      <c r="HK2" s="270"/>
      <c r="HL2" s="270"/>
      <c r="HM2" s="270"/>
      <c r="HN2" s="270"/>
      <c r="HO2" s="270"/>
      <c r="HP2" s="270"/>
      <c r="HQ2" s="270"/>
      <c r="HR2" s="270"/>
      <c r="HS2" s="270"/>
      <c r="HT2" s="270"/>
      <c r="HU2" s="270"/>
      <c r="HV2" s="270"/>
      <c r="HW2" s="270"/>
      <c r="HX2" s="270"/>
      <c r="HY2" s="270"/>
      <c r="HZ2" s="270"/>
      <c r="IA2" s="270"/>
      <c r="IB2" s="270"/>
      <c r="IC2" s="270"/>
      <c r="ID2" s="270"/>
      <c r="IE2" s="270"/>
      <c r="IF2" s="270"/>
      <c r="IG2" s="270"/>
      <c r="IH2" s="270"/>
      <c r="II2" s="270"/>
      <c r="IJ2" s="270"/>
      <c r="IK2" s="270"/>
      <c r="IL2" s="270"/>
      <c r="IM2" s="270"/>
      <c r="IN2" s="270"/>
      <c r="IO2" s="270"/>
      <c r="IP2" s="270"/>
    </row>
    <row r="3" spans="1:261" ht="18" customHeight="1" x14ac:dyDescent="0.3">
      <c r="A3" s="500" t="s">
        <v>1097</v>
      </c>
      <c r="B3" s="500"/>
      <c r="C3" s="500"/>
      <c r="D3" s="500"/>
      <c r="E3" s="500"/>
      <c r="F3" s="217"/>
      <c r="G3" s="217"/>
      <c r="H3" s="269"/>
      <c r="I3" s="509"/>
      <c r="J3" s="509"/>
      <c r="K3" s="509"/>
      <c r="L3" s="509"/>
      <c r="M3" s="509"/>
      <c r="N3" s="509"/>
      <c r="O3" s="509"/>
      <c r="P3" s="509"/>
      <c r="Q3" s="270"/>
      <c r="R3" s="270"/>
      <c r="S3" s="270"/>
      <c r="T3" s="270"/>
      <c r="U3" s="270"/>
      <c r="V3" s="270"/>
      <c r="W3" s="270"/>
      <c r="X3" s="270"/>
      <c r="Y3" s="270"/>
      <c r="Z3" s="270"/>
      <c r="AA3" s="270"/>
      <c r="AB3" s="270"/>
      <c r="AC3" s="270"/>
      <c r="AD3" s="270"/>
      <c r="AE3" s="270"/>
      <c r="AF3" s="270"/>
      <c r="AG3" s="270"/>
      <c r="AH3" s="270"/>
      <c r="AI3" s="270"/>
      <c r="AJ3" s="270"/>
      <c r="AK3" s="270"/>
      <c r="AL3" s="270"/>
      <c r="AM3" s="270"/>
      <c r="AN3" s="270"/>
      <c r="AO3" s="270"/>
      <c r="AP3" s="270"/>
      <c r="AQ3" s="270"/>
      <c r="AR3" s="270"/>
      <c r="AS3" s="270"/>
      <c r="AT3" s="270"/>
      <c r="AU3" s="270"/>
      <c r="AV3" s="270"/>
      <c r="AW3" s="270"/>
      <c r="AX3" s="270"/>
      <c r="AY3" s="270"/>
      <c r="AZ3" s="270"/>
      <c r="BA3" s="270"/>
      <c r="BB3" s="270"/>
      <c r="BC3" s="270"/>
      <c r="BD3" s="270"/>
      <c r="BE3" s="270"/>
      <c r="BF3" s="270"/>
      <c r="BG3" s="270"/>
      <c r="BH3" s="270"/>
      <c r="BI3" s="270"/>
      <c r="BJ3" s="270"/>
      <c r="BK3" s="270"/>
      <c r="BL3" s="270"/>
      <c r="BM3" s="270"/>
      <c r="BN3" s="270"/>
      <c r="BO3" s="270"/>
      <c r="BP3" s="270"/>
      <c r="BQ3" s="270"/>
      <c r="BR3" s="270"/>
      <c r="BS3" s="270"/>
      <c r="BT3" s="270"/>
      <c r="BU3" s="270"/>
      <c r="BV3" s="270"/>
      <c r="BW3" s="270"/>
      <c r="BX3" s="270"/>
      <c r="BY3" s="270"/>
      <c r="BZ3" s="270"/>
      <c r="CA3" s="270"/>
      <c r="CB3" s="270"/>
      <c r="CC3" s="270"/>
      <c r="CD3" s="270"/>
      <c r="CE3" s="270"/>
      <c r="CF3" s="270"/>
      <c r="CG3" s="270"/>
      <c r="CH3" s="270"/>
      <c r="CI3" s="270"/>
      <c r="CJ3" s="270"/>
      <c r="CK3" s="270"/>
      <c r="CL3" s="270"/>
      <c r="CM3" s="270"/>
      <c r="CN3" s="270"/>
      <c r="CO3" s="270"/>
      <c r="CP3" s="270"/>
      <c r="CQ3" s="270"/>
      <c r="CR3" s="270"/>
      <c r="CS3" s="270"/>
      <c r="CT3" s="270"/>
      <c r="CU3" s="270"/>
      <c r="CV3" s="270"/>
      <c r="CW3" s="270"/>
      <c r="CX3" s="270"/>
      <c r="CY3" s="270"/>
      <c r="CZ3" s="270"/>
      <c r="DA3" s="270"/>
      <c r="DB3" s="270"/>
      <c r="DC3" s="270"/>
      <c r="DD3" s="270"/>
      <c r="DE3" s="270"/>
      <c r="DF3" s="270"/>
      <c r="DG3" s="270"/>
      <c r="DH3" s="270"/>
      <c r="DI3" s="270"/>
      <c r="DJ3" s="270"/>
      <c r="DK3" s="270"/>
      <c r="DL3" s="270"/>
      <c r="DM3" s="270"/>
      <c r="DN3" s="270"/>
      <c r="DO3" s="270"/>
      <c r="DP3" s="270"/>
      <c r="DQ3" s="270"/>
      <c r="DR3" s="270"/>
      <c r="DS3" s="270"/>
      <c r="DT3" s="270"/>
      <c r="DU3" s="270"/>
      <c r="DV3" s="270"/>
      <c r="DW3" s="270"/>
      <c r="DX3" s="270"/>
      <c r="DY3" s="270"/>
      <c r="DZ3" s="270"/>
      <c r="EA3" s="270"/>
      <c r="EB3" s="270"/>
      <c r="EC3" s="270"/>
      <c r="ED3" s="270"/>
      <c r="EE3" s="270"/>
      <c r="EF3" s="270"/>
      <c r="EG3" s="270"/>
      <c r="EH3" s="270"/>
      <c r="EI3" s="270"/>
      <c r="EJ3" s="270"/>
      <c r="EK3" s="270"/>
      <c r="EL3" s="270"/>
      <c r="EM3" s="270"/>
      <c r="EN3" s="270"/>
      <c r="EO3" s="270"/>
      <c r="EP3" s="270"/>
      <c r="EQ3" s="270"/>
      <c r="ER3" s="270"/>
      <c r="ES3" s="270"/>
      <c r="ET3" s="270"/>
      <c r="EU3" s="270"/>
      <c r="EV3" s="270"/>
      <c r="EW3" s="270"/>
      <c r="EX3" s="270"/>
      <c r="EY3" s="270"/>
      <c r="EZ3" s="270"/>
      <c r="FA3" s="270"/>
      <c r="FB3" s="270"/>
      <c r="FC3" s="270"/>
      <c r="FD3" s="270"/>
      <c r="FE3" s="270"/>
      <c r="FF3" s="270"/>
      <c r="FG3" s="270"/>
      <c r="FH3" s="270"/>
      <c r="FI3" s="270"/>
      <c r="FJ3" s="270"/>
      <c r="FK3" s="270"/>
      <c r="FL3" s="270"/>
      <c r="FM3" s="270"/>
      <c r="FN3" s="270"/>
      <c r="FO3" s="270"/>
      <c r="FP3" s="270"/>
      <c r="FQ3" s="270"/>
      <c r="FR3" s="270"/>
      <c r="FS3" s="270"/>
      <c r="FT3" s="270"/>
      <c r="FU3" s="270"/>
      <c r="FV3" s="270"/>
      <c r="FW3" s="270"/>
      <c r="FX3" s="270"/>
      <c r="FY3" s="270"/>
      <c r="FZ3" s="270"/>
      <c r="GA3" s="270"/>
      <c r="GB3" s="270"/>
      <c r="GC3" s="270"/>
      <c r="GD3" s="270"/>
      <c r="GE3" s="270"/>
      <c r="GF3" s="270"/>
      <c r="GG3" s="270"/>
      <c r="GH3" s="270"/>
      <c r="GI3" s="270"/>
      <c r="GJ3" s="270"/>
      <c r="GK3" s="270"/>
      <c r="GL3" s="270"/>
      <c r="GM3" s="270"/>
      <c r="GN3" s="270"/>
      <c r="GO3" s="270"/>
      <c r="GP3" s="270"/>
      <c r="GQ3" s="270"/>
      <c r="GR3" s="270"/>
      <c r="GS3" s="270"/>
      <c r="GT3" s="270"/>
      <c r="GU3" s="270"/>
      <c r="GV3" s="270"/>
      <c r="GW3" s="270"/>
      <c r="GX3" s="270"/>
      <c r="GY3" s="270"/>
      <c r="GZ3" s="270"/>
      <c r="HA3" s="270"/>
      <c r="HB3" s="270"/>
      <c r="HC3" s="270"/>
      <c r="HD3" s="270"/>
      <c r="HE3" s="270"/>
      <c r="HF3" s="270"/>
      <c r="HG3" s="270"/>
      <c r="HH3" s="270"/>
      <c r="HI3" s="270"/>
      <c r="HJ3" s="270"/>
      <c r="HK3" s="270"/>
      <c r="HL3" s="270"/>
      <c r="HM3" s="270"/>
      <c r="HN3" s="270"/>
      <c r="HO3" s="270"/>
      <c r="HP3" s="270"/>
      <c r="HQ3" s="270"/>
      <c r="HR3" s="270"/>
      <c r="HS3" s="270"/>
      <c r="HT3" s="270"/>
      <c r="HU3" s="270"/>
      <c r="HV3" s="270"/>
      <c r="HW3" s="270"/>
      <c r="HX3" s="270"/>
      <c r="HY3" s="270"/>
      <c r="HZ3" s="270"/>
      <c r="IA3" s="270"/>
      <c r="IB3" s="270"/>
      <c r="IC3" s="270"/>
      <c r="ID3" s="270"/>
      <c r="IE3" s="270"/>
      <c r="IF3" s="270"/>
      <c r="IG3" s="270"/>
      <c r="IH3" s="270"/>
      <c r="II3" s="270"/>
      <c r="IJ3" s="270"/>
      <c r="IK3" s="270"/>
      <c r="IL3" s="270"/>
      <c r="IM3" s="270"/>
      <c r="IN3" s="270"/>
      <c r="IO3" s="270"/>
      <c r="IP3" s="270"/>
    </row>
    <row r="4" spans="1:261" ht="18" customHeight="1" x14ac:dyDescent="0.3">
      <c r="A4" s="1905" t="s">
        <v>1240</v>
      </c>
      <c r="B4" s="1886"/>
      <c r="C4" s="1886"/>
      <c r="D4" s="1886"/>
      <c r="E4" s="1886"/>
      <c r="F4" s="217"/>
      <c r="G4" s="217"/>
      <c r="H4" s="269"/>
      <c r="I4" s="1900"/>
      <c r="J4" s="1900"/>
      <c r="K4" s="1900"/>
      <c r="L4" s="1900"/>
      <c r="M4" s="1900"/>
      <c r="N4" s="1900"/>
      <c r="O4" s="1900"/>
      <c r="P4" s="1900"/>
      <c r="Q4" s="270"/>
      <c r="R4" s="270"/>
      <c r="S4" s="270"/>
      <c r="T4" s="270"/>
      <c r="U4" s="270"/>
      <c r="V4" s="270"/>
      <c r="W4" s="270"/>
      <c r="X4" s="270"/>
      <c r="Y4" s="270"/>
      <c r="Z4" s="270"/>
      <c r="AA4" s="270"/>
      <c r="AB4" s="270"/>
      <c r="AC4" s="270"/>
      <c r="AD4" s="270"/>
      <c r="AE4" s="270"/>
      <c r="AF4" s="270"/>
      <c r="AG4" s="270"/>
      <c r="AH4" s="270"/>
      <c r="AI4" s="270"/>
      <c r="AJ4" s="270"/>
      <c r="AK4" s="270"/>
      <c r="AL4" s="270"/>
      <c r="AM4" s="270"/>
      <c r="AN4" s="270"/>
      <c r="AO4" s="270"/>
      <c r="AP4" s="270"/>
      <c r="AQ4" s="270"/>
      <c r="AR4" s="270"/>
      <c r="AS4" s="270"/>
      <c r="AT4" s="270"/>
      <c r="AU4" s="270"/>
      <c r="AV4" s="270"/>
      <c r="AW4" s="270"/>
      <c r="AX4" s="270"/>
      <c r="AY4" s="270"/>
      <c r="AZ4" s="270"/>
      <c r="BA4" s="270"/>
      <c r="BB4" s="270"/>
      <c r="BC4" s="270"/>
      <c r="BD4" s="270"/>
      <c r="BE4" s="270"/>
      <c r="BF4" s="270"/>
      <c r="BG4" s="270"/>
      <c r="BH4" s="270"/>
      <c r="BI4" s="270"/>
      <c r="BJ4" s="270"/>
      <c r="BK4" s="270"/>
      <c r="BL4" s="270"/>
      <c r="BM4" s="270"/>
      <c r="BN4" s="270"/>
      <c r="BO4" s="270"/>
      <c r="BP4" s="270"/>
      <c r="BQ4" s="270"/>
      <c r="BR4" s="270"/>
      <c r="BS4" s="270"/>
      <c r="BT4" s="270"/>
      <c r="BU4" s="270"/>
      <c r="BV4" s="270"/>
      <c r="BW4" s="270"/>
      <c r="BX4" s="270"/>
      <c r="BY4" s="270"/>
      <c r="BZ4" s="270"/>
      <c r="CA4" s="270"/>
      <c r="CB4" s="270"/>
      <c r="CC4" s="270"/>
      <c r="CD4" s="270"/>
      <c r="CE4" s="270"/>
      <c r="CF4" s="270"/>
      <c r="CG4" s="270"/>
      <c r="CH4" s="270"/>
      <c r="CI4" s="270"/>
      <c r="CJ4" s="270"/>
      <c r="CK4" s="270"/>
      <c r="CL4" s="270"/>
      <c r="CM4" s="270"/>
      <c r="CN4" s="270"/>
      <c r="CO4" s="270"/>
      <c r="CP4" s="270"/>
      <c r="CQ4" s="270"/>
      <c r="CR4" s="270"/>
      <c r="CS4" s="270"/>
      <c r="CT4" s="270"/>
      <c r="CU4" s="270"/>
      <c r="CV4" s="270"/>
      <c r="CW4" s="270"/>
      <c r="CX4" s="270"/>
      <c r="CY4" s="270"/>
      <c r="CZ4" s="270"/>
      <c r="DA4" s="270"/>
      <c r="DB4" s="270"/>
      <c r="DC4" s="270"/>
      <c r="DD4" s="270"/>
      <c r="DE4" s="270"/>
      <c r="DF4" s="270"/>
      <c r="DG4" s="270"/>
      <c r="DH4" s="270"/>
      <c r="DI4" s="270"/>
      <c r="DJ4" s="270"/>
      <c r="DK4" s="270"/>
      <c r="DL4" s="270"/>
      <c r="DM4" s="270"/>
      <c r="DN4" s="270"/>
      <c r="DO4" s="270"/>
      <c r="DP4" s="270"/>
      <c r="DQ4" s="270"/>
      <c r="DR4" s="270"/>
      <c r="DS4" s="270"/>
      <c r="DT4" s="270"/>
      <c r="DU4" s="270"/>
      <c r="DV4" s="270"/>
      <c r="DW4" s="270"/>
      <c r="DX4" s="270"/>
      <c r="DY4" s="270"/>
      <c r="DZ4" s="270"/>
      <c r="EA4" s="270"/>
      <c r="EB4" s="270"/>
      <c r="EC4" s="270"/>
      <c r="ED4" s="270"/>
      <c r="EE4" s="270"/>
      <c r="EF4" s="270"/>
      <c r="EG4" s="270"/>
      <c r="EH4" s="270"/>
      <c r="EI4" s="270"/>
      <c r="EJ4" s="270"/>
      <c r="EK4" s="270"/>
      <c r="EL4" s="270"/>
      <c r="EM4" s="270"/>
      <c r="EN4" s="270"/>
      <c r="EO4" s="270"/>
      <c r="EP4" s="270"/>
      <c r="EQ4" s="270"/>
      <c r="ER4" s="270"/>
      <c r="ES4" s="270"/>
      <c r="ET4" s="270"/>
      <c r="EU4" s="270"/>
      <c r="EV4" s="270"/>
      <c r="EW4" s="270"/>
      <c r="EX4" s="270"/>
      <c r="EY4" s="270"/>
      <c r="EZ4" s="270"/>
      <c r="FA4" s="270"/>
      <c r="FB4" s="270"/>
      <c r="FC4" s="270"/>
      <c r="FD4" s="270"/>
      <c r="FE4" s="270"/>
      <c r="FF4" s="270"/>
      <c r="FG4" s="270"/>
      <c r="FH4" s="270"/>
      <c r="FI4" s="270"/>
      <c r="FJ4" s="270"/>
      <c r="FK4" s="270"/>
      <c r="FL4" s="270"/>
      <c r="FM4" s="270"/>
      <c r="FN4" s="270"/>
      <c r="FO4" s="270"/>
      <c r="FP4" s="270"/>
      <c r="FQ4" s="270"/>
      <c r="FR4" s="270"/>
      <c r="FS4" s="270"/>
      <c r="FT4" s="270"/>
      <c r="FU4" s="270"/>
      <c r="FV4" s="270"/>
      <c r="FW4" s="270"/>
      <c r="FX4" s="270"/>
      <c r="FY4" s="270"/>
      <c r="FZ4" s="270"/>
      <c r="GA4" s="270"/>
      <c r="GB4" s="270"/>
      <c r="GC4" s="270"/>
      <c r="GD4" s="270"/>
      <c r="GE4" s="270"/>
      <c r="GF4" s="270"/>
      <c r="GG4" s="270"/>
      <c r="GH4" s="270"/>
      <c r="GI4" s="270"/>
      <c r="GJ4" s="270"/>
      <c r="GK4" s="270"/>
      <c r="GL4" s="270"/>
      <c r="GM4" s="270"/>
      <c r="GN4" s="270"/>
      <c r="GO4" s="270"/>
      <c r="GP4" s="270"/>
      <c r="GQ4" s="270"/>
      <c r="GR4" s="270"/>
      <c r="GS4" s="270"/>
      <c r="GT4" s="270"/>
      <c r="GU4" s="270"/>
      <c r="GV4" s="270"/>
      <c r="GW4" s="270"/>
      <c r="GX4" s="270"/>
      <c r="GY4" s="270"/>
      <c r="GZ4" s="270"/>
      <c r="HA4" s="270"/>
      <c r="HB4" s="270"/>
      <c r="HC4" s="270"/>
      <c r="HD4" s="270"/>
      <c r="HE4" s="270"/>
      <c r="HF4" s="270"/>
      <c r="HG4" s="270"/>
      <c r="HH4" s="270"/>
      <c r="HI4" s="270"/>
      <c r="HJ4" s="270"/>
      <c r="HK4" s="270"/>
      <c r="HL4" s="270"/>
      <c r="HM4" s="270"/>
      <c r="HN4" s="270"/>
      <c r="HO4" s="270"/>
      <c r="HP4" s="270"/>
      <c r="HQ4" s="270"/>
      <c r="HR4" s="270"/>
      <c r="HS4" s="270"/>
      <c r="HT4" s="270"/>
      <c r="HU4" s="270"/>
      <c r="HV4" s="270"/>
      <c r="HW4" s="270"/>
      <c r="HX4" s="270"/>
      <c r="HY4" s="270"/>
      <c r="HZ4" s="270"/>
      <c r="IA4" s="270"/>
      <c r="IB4" s="270"/>
      <c r="IC4" s="270"/>
      <c r="ID4" s="270"/>
      <c r="IE4" s="270"/>
      <c r="IF4" s="270"/>
      <c r="IG4" s="270"/>
      <c r="IH4" s="270"/>
      <c r="II4" s="270"/>
      <c r="IJ4" s="270"/>
      <c r="IK4" s="270"/>
      <c r="IL4" s="270"/>
      <c r="IM4" s="270"/>
      <c r="IN4" s="270"/>
      <c r="IO4" s="270"/>
      <c r="IP4" s="270"/>
    </row>
    <row r="5" spans="1:261" ht="24.75" customHeight="1" x14ac:dyDescent="0.35">
      <c r="A5" s="2123" t="s">
        <v>14</v>
      </c>
      <c r="B5" s="2123"/>
      <c r="C5" s="2123"/>
      <c r="D5" s="2123"/>
      <c r="E5" s="2123"/>
      <c r="F5" s="2123"/>
      <c r="G5" s="2123"/>
      <c r="H5" s="2123"/>
      <c r="I5" s="2123"/>
      <c r="J5" s="2123"/>
      <c r="K5" s="2123"/>
      <c r="L5" s="2123"/>
      <c r="M5" s="2123"/>
      <c r="N5" s="2123"/>
      <c r="O5" s="2123"/>
      <c r="P5" s="2123"/>
    </row>
    <row r="6" spans="1:261" ht="24.75" customHeight="1" x14ac:dyDescent="0.35">
      <c r="A6" s="2155" t="s">
        <v>811</v>
      </c>
      <c r="B6" s="2155"/>
      <c r="C6" s="2155"/>
      <c r="D6" s="2155"/>
      <c r="E6" s="2155"/>
      <c r="F6" s="2155"/>
      <c r="G6" s="2155"/>
      <c r="H6" s="2155"/>
      <c r="I6" s="2155"/>
      <c r="J6" s="2155"/>
      <c r="K6" s="2155"/>
      <c r="L6" s="2155"/>
      <c r="M6" s="2155"/>
      <c r="N6" s="2155"/>
      <c r="O6" s="2155"/>
      <c r="P6" s="2155"/>
    </row>
    <row r="7" spans="1:261" s="332" customFormat="1" ht="18" customHeight="1" x14ac:dyDescent="0.3">
      <c r="A7" s="268"/>
      <c r="B7" s="268"/>
      <c r="C7" s="268"/>
      <c r="E7" s="254"/>
      <c r="F7" s="254"/>
      <c r="G7" s="254"/>
      <c r="H7" s="333"/>
      <c r="I7" s="254"/>
      <c r="J7" s="254"/>
      <c r="K7" s="254"/>
      <c r="L7" s="254"/>
      <c r="M7" s="254"/>
      <c r="N7" s="254"/>
      <c r="O7" s="334"/>
      <c r="P7" s="260" t="s">
        <v>0</v>
      </c>
    </row>
    <row r="8" spans="1:261" s="336" customFormat="1" ht="18" customHeight="1" thickBot="1" x14ac:dyDescent="0.35">
      <c r="A8" s="335"/>
      <c r="B8" s="1541" t="s">
        <v>1</v>
      </c>
      <c r="C8" s="1542" t="s">
        <v>3</v>
      </c>
      <c r="D8" s="1542" t="s">
        <v>2</v>
      </c>
      <c r="E8" s="1542" t="s">
        <v>4</v>
      </c>
      <c r="F8" s="1542" t="s">
        <v>5</v>
      </c>
      <c r="G8" s="1542" t="s">
        <v>15</v>
      </c>
      <c r="H8" s="1542" t="s">
        <v>16</v>
      </c>
      <c r="I8" s="1542" t="s">
        <v>17</v>
      </c>
      <c r="J8" s="1542" t="s">
        <v>36</v>
      </c>
      <c r="K8" s="1542" t="s">
        <v>30</v>
      </c>
      <c r="L8" s="1542" t="s">
        <v>23</v>
      </c>
      <c r="M8" s="1542" t="s">
        <v>37</v>
      </c>
      <c r="N8" s="1542" t="s">
        <v>38</v>
      </c>
      <c r="O8" s="1542" t="s">
        <v>160</v>
      </c>
      <c r="P8" s="1542" t="s">
        <v>161</v>
      </c>
      <c r="Q8" s="335"/>
      <c r="R8" s="335"/>
      <c r="S8" s="335"/>
      <c r="T8" s="335"/>
      <c r="U8" s="335"/>
      <c r="V8" s="335"/>
      <c r="W8" s="335"/>
      <c r="X8" s="335"/>
      <c r="Y8" s="335"/>
      <c r="Z8" s="335"/>
      <c r="AA8" s="335"/>
      <c r="AB8" s="335"/>
      <c r="AC8" s="335"/>
      <c r="AD8" s="335"/>
      <c r="AE8" s="335"/>
      <c r="AF8" s="335"/>
      <c r="AG8" s="335"/>
      <c r="AH8" s="335"/>
      <c r="AI8" s="335"/>
      <c r="AJ8" s="335"/>
      <c r="AK8" s="335"/>
      <c r="AL8" s="335"/>
      <c r="AM8" s="335"/>
      <c r="AN8" s="335"/>
      <c r="AO8" s="335"/>
      <c r="AP8" s="335"/>
      <c r="AQ8" s="335"/>
      <c r="AR8" s="335"/>
      <c r="AS8" s="335"/>
      <c r="AT8" s="335"/>
      <c r="AU8" s="335"/>
      <c r="AV8" s="335"/>
      <c r="AW8" s="335"/>
      <c r="AX8" s="335"/>
      <c r="AY8" s="335"/>
      <c r="AZ8" s="335"/>
      <c r="BA8" s="335"/>
      <c r="BB8" s="335"/>
      <c r="BC8" s="335"/>
      <c r="BD8" s="335"/>
      <c r="BE8" s="335"/>
      <c r="BF8" s="335"/>
      <c r="BG8" s="335"/>
      <c r="BH8" s="335"/>
      <c r="BI8" s="335"/>
      <c r="BJ8" s="335"/>
      <c r="BK8" s="335"/>
      <c r="BL8" s="335"/>
      <c r="BM8" s="335"/>
      <c r="BN8" s="335"/>
      <c r="BO8" s="335"/>
      <c r="BP8" s="335"/>
      <c r="BQ8" s="335"/>
      <c r="BR8" s="335"/>
      <c r="BS8" s="335"/>
      <c r="BT8" s="335"/>
      <c r="BU8" s="335"/>
      <c r="BV8" s="335"/>
      <c r="BW8" s="335"/>
      <c r="BX8" s="335"/>
      <c r="BY8" s="335"/>
      <c r="BZ8" s="335"/>
      <c r="CA8" s="335"/>
      <c r="CB8" s="335"/>
      <c r="CC8" s="335"/>
      <c r="CD8" s="335"/>
      <c r="CE8" s="335"/>
      <c r="CF8" s="335"/>
      <c r="CG8" s="335"/>
      <c r="CH8" s="335"/>
      <c r="CI8" s="335"/>
      <c r="CJ8" s="335"/>
      <c r="CK8" s="335"/>
      <c r="CL8" s="335"/>
      <c r="CM8" s="335"/>
      <c r="CN8" s="335"/>
      <c r="CO8" s="335"/>
      <c r="CP8" s="335"/>
      <c r="CQ8" s="335"/>
      <c r="CR8" s="335"/>
      <c r="CS8" s="335"/>
      <c r="CT8" s="335"/>
      <c r="CU8" s="335"/>
      <c r="CV8" s="335"/>
      <c r="CW8" s="335"/>
      <c r="CX8" s="335"/>
      <c r="CY8" s="335"/>
      <c r="CZ8" s="335"/>
      <c r="DA8" s="335"/>
      <c r="DB8" s="335"/>
      <c r="DC8" s="335"/>
      <c r="DD8" s="335"/>
      <c r="DE8" s="335"/>
      <c r="DF8" s="335"/>
      <c r="DG8" s="335"/>
      <c r="DH8" s="335"/>
      <c r="DI8" s="335"/>
      <c r="DJ8" s="335"/>
      <c r="DK8" s="335"/>
      <c r="DL8" s="335"/>
      <c r="DM8" s="335"/>
      <c r="DN8" s="335"/>
      <c r="DO8" s="335"/>
      <c r="DP8" s="335"/>
      <c r="DQ8" s="335"/>
      <c r="DR8" s="335"/>
      <c r="DS8" s="335"/>
      <c r="DT8" s="335"/>
      <c r="DU8" s="335"/>
      <c r="DV8" s="335"/>
      <c r="DW8" s="335"/>
      <c r="DX8" s="335"/>
      <c r="DY8" s="335"/>
      <c r="DZ8" s="335"/>
      <c r="EA8" s="335"/>
      <c r="EB8" s="335"/>
      <c r="EC8" s="335"/>
      <c r="ED8" s="335"/>
      <c r="EE8" s="335"/>
      <c r="EF8" s="335"/>
      <c r="EG8" s="335"/>
      <c r="EH8" s="335"/>
      <c r="EI8" s="335"/>
      <c r="EJ8" s="335"/>
      <c r="EK8" s="335"/>
      <c r="EL8" s="335"/>
      <c r="EM8" s="335"/>
      <c r="EN8" s="335"/>
      <c r="EO8" s="335"/>
      <c r="EP8" s="335"/>
      <c r="EQ8" s="335"/>
      <c r="ER8" s="335"/>
      <c r="ES8" s="335"/>
      <c r="ET8" s="335"/>
      <c r="EU8" s="335"/>
      <c r="EV8" s="335"/>
      <c r="EW8" s="335"/>
      <c r="EX8" s="335"/>
      <c r="EY8" s="335"/>
      <c r="EZ8" s="335"/>
      <c r="FA8" s="335"/>
      <c r="FB8" s="335"/>
      <c r="FC8" s="335"/>
      <c r="FD8" s="335"/>
      <c r="FE8" s="335"/>
      <c r="FF8" s="335"/>
      <c r="FG8" s="335"/>
      <c r="FH8" s="335"/>
      <c r="FI8" s="335"/>
      <c r="FJ8" s="335"/>
      <c r="FK8" s="335"/>
      <c r="FL8" s="335"/>
      <c r="FM8" s="335"/>
      <c r="FN8" s="335"/>
      <c r="FO8" s="335"/>
      <c r="FP8" s="335"/>
      <c r="FQ8" s="335"/>
      <c r="FR8" s="335"/>
      <c r="FS8" s="335"/>
      <c r="FT8" s="335"/>
      <c r="FU8" s="335"/>
      <c r="FV8" s="335"/>
      <c r="FW8" s="335"/>
      <c r="FX8" s="335"/>
      <c r="FY8" s="335"/>
      <c r="FZ8" s="335"/>
      <c r="GA8" s="335"/>
      <c r="GB8" s="335"/>
      <c r="GC8" s="335"/>
      <c r="GD8" s="335"/>
      <c r="GE8" s="335"/>
      <c r="GF8" s="335"/>
      <c r="GG8" s="335"/>
      <c r="GH8" s="335"/>
      <c r="GI8" s="335"/>
      <c r="GJ8" s="335"/>
      <c r="GK8" s="335"/>
      <c r="GL8" s="335"/>
      <c r="GM8" s="335"/>
      <c r="GN8" s="335"/>
      <c r="GO8" s="335"/>
      <c r="GP8" s="335"/>
      <c r="GQ8" s="335"/>
      <c r="GR8" s="335"/>
      <c r="GS8" s="335"/>
      <c r="GT8" s="335"/>
      <c r="GU8" s="335"/>
      <c r="GV8" s="335"/>
      <c r="GW8" s="335"/>
      <c r="GX8" s="335"/>
      <c r="GY8" s="335"/>
      <c r="GZ8" s="335"/>
      <c r="HA8" s="335"/>
      <c r="HB8" s="335"/>
      <c r="HC8" s="335"/>
      <c r="HD8" s="335"/>
      <c r="HE8" s="335"/>
      <c r="HF8" s="335"/>
      <c r="HG8" s="335"/>
      <c r="HH8" s="335"/>
      <c r="HI8" s="335"/>
      <c r="HJ8" s="335"/>
      <c r="HK8" s="335"/>
      <c r="HL8" s="335"/>
      <c r="HM8" s="335"/>
      <c r="HN8" s="335"/>
      <c r="HO8" s="335"/>
      <c r="HP8" s="335"/>
      <c r="HQ8" s="335"/>
      <c r="HR8" s="335"/>
      <c r="HS8" s="335"/>
      <c r="HT8" s="335"/>
      <c r="HU8" s="335"/>
      <c r="HV8" s="335"/>
      <c r="HW8" s="335"/>
      <c r="HX8" s="335"/>
      <c r="HY8" s="335"/>
      <c r="HZ8" s="335"/>
      <c r="IA8" s="335"/>
      <c r="IB8" s="335"/>
      <c r="IC8" s="335"/>
      <c r="ID8" s="335"/>
      <c r="IE8" s="335"/>
      <c r="IF8" s="335"/>
      <c r="IG8" s="335"/>
      <c r="IH8" s="335"/>
      <c r="II8" s="335"/>
      <c r="IJ8" s="335"/>
      <c r="IK8" s="335"/>
      <c r="IL8" s="335"/>
      <c r="IM8" s="335"/>
      <c r="IN8" s="335"/>
      <c r="IO8" s="335"/>
      <c r="IP8" s="335"/>
    </row>
    <row r="9" spans="1:261" ht="22.5" customHeight="1" x14ac:dyDescent="0.3">
      <c r="B9" s="2157" t="s">
        <v>18</v>
      </c>
      <c r="C9" s="2160" t="s">
        <v>19</v>
      </c>
      <c r="D9" s="2163" t="s">
        <v>6</v>
      </c>
      <c r="E9" s="2166" t="s">
        <v>652</v>
      </c>
      <c r="F9" s="2166" t="s">
        <v>964</v>
      </c>
      <c r="G9" s="2169" t="s">
        <v>989</v>
      </c>
      <c r="H9" s="2143" t="s">
        <v>20</v>
      </c>
      <c r="I9" s="2172" t="s">
        <v>637</v>
      </c>
      <c r="J9" s="2166"/>
      <c r="K9" s="2166"/>
      <c r="L9" s="2166"/>
      <c r="M9" s="2166"/>
      <c r="N9" s="2166"/>
      <c r="O9" s="2173"/>
      <c r="P9" s="2174" t="s">
        <v>648</v>
      </c>
      <c r="Q9" s="2156"/>
      <c r="R9" s="2156"/>
    </row>
    <row r="10" spans="1:261" ht="33" customHeight="1" x14ac:dyDescent="0.3">
      <c r="B10" s="2158"/>
      <c r="C10" s="2161"/>
      <c r="D10" s="2164"/>
      <c r="E10" s="2167"/>
      <c r="F10" s="2167"/>
      <c r="G10" s="2170"/>
      <c r="H10" s="2144"/>
      <c r="I10" s="2177" t="s">
        <v>654</v>
      </c>
      <c r="J10" s="2178"/>
      <c r="K10" s="2179"/>
      <c r="L10" s="2179"/>
      <c r="M10" s="2180" t="s">
        <v>163</v>
      </c>
      <c r="N10" s="2180"/>
      <c r="O10" s="2183" t="s">
        <v>129</v>
      </c>
      <c r="P10" s="2175"/>
    </row>
    <row r="11" spans="1:261" ht="53.25" customHeight="1" thickBot="1" x14ac:dyDescent="0.35">
      <c r="B11" s="2159"/>
      <c r="C11" s="2162"/>
      <c r="D11" s="2165"/>
      <c r="E11" s="2168"/>
      <c r="F11" s="2168"/>
      <c r="G11" s="2171"/>
      <c r="H11" s="2145"/>
      <c r="I11" s="1543" t="s">
        <v>40</v>
      </c>
      <c r="J11" s="1544" t="s">
        <v>649</v>
      </c>
      <c r="K11" s="1545" t="s">
        <v>42</v>
      </c>
      <c r="L11" s="1545" t="s">
        <v>651</v>
      </c>
      <c r="M11" s="1544" t="s">
        <v>231</v>
      </c>
      <c r="N11" s="1544" t="s">
        <v>164</v>
      </c>
      <c r="O11" s="2184"/>
      <c r="P11" s="2176"/>
    </row>
    <row r="12" spans="1:261" s="272" customFormat="1" ht="22.5" customHeight="1" x14ac:dyDescent="0.35">
      <c r="A12" s="1423">
        <v>1</v>
      </c>
      <c r="B12" s="1546">
        <v>18</v>
      </c>
      <c r="C12" s="1547" t="s">
        <v>14</v>
      </c>
      <c r="D12" s="1548"/>
      <c r="E12" s="1549"/>
      <c r="F12" s="1550"/>
      <c r="G12" s="1551"/>
      <c r="H12" s="1552"/>
      <c r="I12" s="1639"/>
      <c r="J12" s="1640"/>
      <c r="K12" s="1640"/>
      <c r="L12" s="1640"/>
      <c r="M12" s="1640"/>
      <c r="N12" s="1640"/>
      <c r="O12" s="1641"/>
      <c r="P12" s="1556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  <c r="BI12" s="148"/>
      <c r="BJ12" s="148"/>
      <c r="BK12" s="148"/>
      <c r="BL12" s="148"/>
      <c r="BM12" s="148"/>
      <c r="BN12" s="148"/>
      <c r="BO12" s="148"/>
      <c r="BP12" s="148"/>
      <c r="BQ12" s="148"/>
      <c r="BR12" s="148"/>
      <c r="BS12" s="148"/>
      <c r="BT12" s="148"/>
      <c r="BU12" s="148"/>
      <c r="BV12" s="148"/>
      <c r="BW12" s="148"/>
      <c r="BX12" s="148"/>
      <c r="BY12" s="148"/>
      <c r="BZ12" s="148"/>
      <c r="CA12" s="148"/>
      <c r="CB12" s="148"/>
      <c r="CC12" s="148"/>
      <c r="CD12" s="148"/>
      <c r="CE12" s="148"/>
      <c r="CF12" s="148"/>
      <c r="CG12" s="148"/>
      <c r="CH12" s="148"/>
      <c r="CI12" s="148"/>
      <c r="CJ12" s="148"/>
      <c r="CK12" s="148"/>
      <c r="CL12" s="148"/>
      <c r="CM12" s="148"/>
      <c r="CN12" s="148"/>
      <c r="CO12" s="148"/>
      <c r="CP12" s="148"/>
      <c r="CQ12" s="148"/>
      <c r="CR12" s="148"/>
      <c r="CS12" s="148"/>
      <c r="CT12" s="148"/>
      <c r="CU12" s="148"/>
      <c r="CV12" s="148"/>
      <c r="CW12" s="148"/>
      <c r="CX12" s="148"/>
      <c r="CY12" s="148"/>
      <c r="CZ12" s="148"/>
      <c r="DA12" s="148"/>
      <c r="DB12" s="148"/>
      <c r="DC12" s="148"/>
      <c r="DD12" s="148"/>
      <c r="DE12" s="148"/>
      <c r="DF12" s="148"/>
      <c r="DG12" s="148"/>
      <c r="DH12" s="148"/>
      <c r="DI12" s="148"/>
      <c r="DJ12" s="148"/>
      <c r="DK12" s="148"/>
      <c r="DL12" s="148"/>
      <c r="DM12" s="148"/>
      <c r="DN12" s="148"/>
      <c r="DO12" s="148"/>
      <c r="DP12" s="148"/>
      <c r="DQ12" s="148"/>
      <c r="DR12" s="148"/>
      <c r="DS12" s="148"/>
      <c r="DT12" s="148"/>
      <c r="DU12" s="148"/>
      <c r="DV12" s="148"/>
      <c r="DW12" s="148"/>
      <c r="DX12" s="148"/>
      <c r="DY12" s="148"/>
      <c r="DZ12" s="148"/>
      <c r="EA12" s="148"/>
      <c r="EB12" s="148"/>
      <c r="EC12" s="148"/>
      <c r="ED12" s="148"/>
      <c r="EE12" s="148"/>
      <c r="EF12" s="148"/>
      <c r="EG12" s="148"/>
      <c r="EH12" s="148"/>
      <c r="EI12" s="148"/>
      <c r="EJ12" s="148"/>
      <c r="EK12" s="148"/>
      <c r="EL12" s="148"/>
      <c r="EM12" s="148"/>
      <c r="EN12" s="148"/>
      <c r="EO12" s="148"/>
      <c r="EP12" s="148"/>
      <c r="EQ12" s="148"/>
      <c r="ER12" s="148"/>
      <c r="ES12" s="148"/>
      <c r="ET12" s="148"/>
      <c r="EU12" s="148"/>
      <c r="EV12" s="148"/>
      <c r="EW12" s="148"/>
      <c r="EX12" s="148"/>
      <c r="EY12" s="148"/>
      <c r="EZ12" s="148"/>
      <c r="FA12" s="148"/>
      <c r="FB12" s="148"/>
      <c r="FC12" s="148"/>
      <c r="FD12" s="148"/>
      <c r="FE12" s="148"/>
      <c r="FF12" s="148"/>
      <c r="FG12" s="148"/>
      <c r="FH12" s="148"/>
      <c r="FI12" s="148"/>
      <c r="FJ12" s="148"/>
      <c r="FK12" s="148"/>
      <c r="FL12" s="148"/>
      <c r="FM12" s="148"/>
      <c r="FN12" s="148"/>
      <c r="FO12" s="148"/>
      <c r="FP12" s="148"/>
      <c r="FQ12" s="148"/>
      <c r="FR12" s="148"/>
      <c r="FS12" s="148"/>
      <c r="FT12" s="148"/>
      <c r="FU12" s="148"/>
      <c r="FV12" s="148"/>
      <c r="FW12" s="148"/>
      <c r="FX12" s="148"/>
      <c r="FY12" s="148"/>
      <c r="FZ12" s="148"/>
      <c r="GA12" s="148"/>
      <c r="GB12" s="148"/>
      <c r="GC12" s="148"/>
      <c r="GD12" s="148"/>
      <c r="GE12" s="148"/>
      <c r="GF12" s="148"/>
      <c r="GG12" s="148"/>
      <c r="GH12" s="148"/>
      <c r="GI12" s="148"/>
      <c r="GJ12" s="148"/>
      <c r="GK12" s="148"/>
      <c r="GL12" s="148"/>
      <c r="GM12" s="148"/>
      <c r="GN12" s="148"/>
      <c r="GO12" s="148"/>
      <c r="GP12" s="148"/>
      <c r="GQ12" s="148"/>
      <c r="GR12" s="148"/>
      <c r="GS12" s="148"/>
      <c r="GT12" s="148"/>
      <c r="GU12" s="148"/>
      <c r="GV12" s="148"/>
      <c r="GW12" s="148"/>
      <c r="GX12" s="148"/>
      <c r="GY12" s="148"/>
      <c r="GZ12" s="148"/>
      <c r="HA12" s="148"/>
      <c r="HB12" s="148"/>
      <c r="HC12" s="148"/>
      <c r="HD12" s="148"/>
      <c r="HE12" s="148"/>
      <c r="HF12" s="148"/>
      <c r="HG12" s="148"/>
      <c r="HH12" s="148"/>
      <c r="HI12" s="148"/>
      <c r="HJ12" s="148"/>
      <c r="HK12" s="148"/>
      <c r="HL12" s="148"/>
      <c r="HM12" s="148"/>
      <c r="HN12" s="148"/>
      <c r="HO12" s="148"/>
      <c r="HP12" s="148"/>
      <c r="HQ12" s="148"/>
      <c r="HR12" s="148"/>
      <c r="HS12" s="148"/>
      <c r="HT12" s="148"/>
      <c r="HU12" s="148"/>
      <c r="HV12" s="148"/>
      <c r="HW12" s="148"/>
      <c r="HX12" s="148"/>
      <c r="HY12" s="148"/>
      <c r="HZ12" s="148"/>
      <c r="IA12" s="148"/>
      <c r="IB12" s="148"/>
      <c r="IC12" s="148"/>
      <c r="ID12" s="148"/>
      <c r="IE12" s="148"/>
      <c r="IF12" s="148"/>
      <c r="IG12" s="148"/>
      <c r="IH12" s="148"/>
      <c r="II12" s="148"/>
      <c r="IJ12" s="148"/>
      <c r="IK12" s="148"/>
      <c r="IL12" s="148"/>
      <c r="IM12" s="148"/>
      <c r="IN12" s="148"/>
      <c r="IO12" s="148"/>
      <c r="IP12" s="148"/>
      <c r="IQ12" s="148"/>
      <c r="IR12" s="148"/>
      <c r="IS12" s="148"/>
      <c r="IT12" s="148"/>
      <c r="IU12" s="148"/>
      <c r="IV12" s="148"/>
      <c r="IW12" s="148"/>
      <c r="IX12" s="148"/>
      <c r="IY12" s="148"/>
      <c r="IZ12" s="148"/>
      <c r="JA12" s="148"/>
    </row>
    <row r="13" spans="1:261" s="272" customFormat="1" ht="22.5" customHeight="1" x14ac:dyDescent="0.35">
      <c r="A13" s="1423">
        <v>2</v>
      </c>
      <c r="B13" s="1557"/>
      <c r="C13" s="1558">
        <v>1</v>
      </c>
      <c r="D13" s="1559" t="s">
        <v>708</v>
      </c>
      <c r="E13" s="1560"/>
      <c r="F13" s="1561"/>
      <c r="G13" s="1562"/>
      <c r="H13" s="1563" t="s">
        <v>24</v>
      </c>
      <c r="I13" s="1564"/>
      <c r="J13" s="1565"/>
      <c r="K13" s="1565"/>
      <c r="L13" s="1565"/>
      <c r="M13" s="1565"/>
      <c r="N13" s="1565"/>
      <c r="O13" s="1576"/>
      <c r="P13" s="1567"/>
      <c r="Q13" s="148"/>
      <c r="R13" s="148"/>
      <c r="S13" s="148"/>
      <c r="T13" s="148"/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48"/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  <c r="BI13" s="148"/>
      <c r="BJ13" s="148"/>
      <c r="BK13" s="148"/>
      <c r="BL13" s="148"/>
      <c r="BM13" s="148"/>
      <c r="BN13" s="148"/>
      <c r="BO13" s="148"/>
      <c r="BP13" s="148"/>
      <c r="BQ13" s="148"/>
      <c r="BR13" s="148"/>
      <c r="BS13" s="148"/>
      <c r="BT13" s="148"/>
      <c r="BU13" s="148"/>
      <c r="BV13" s="148"/>
      <c r="BW13" s="148"/>
      <c r="BX13" s="148"/>
      <c r="BY13" s="148"/>
      <c r="BZ13" s="148"/>
      <c r="CA13" s="148"/>
      <c r="CB13" s="148"/>
      <c r="CC13" s="148"/>
      <c r="CD13" s="148"/>
      <c r="CE13" s="148"/>
      <c r="CF13" s="148"/>
      <c r="CG13" s="148"/>
      <c r="CH13" s="148"/>
      <c r="CI13" s="148"/>
      <c r="CJ13" s="148"/>
      <c r="CK13" s="148"/>
      <c r="CL13" s="148"/>
      <c r="CM13" s="148"/>
      <c r="CN13" s="148"/>
      <c r="CO13" s="148"/>
      <c r="CP13" s="148"/>
      <c r="CQ13" s="148"/>
      <c r="CR13" s="148"/>
      <c r="CS13" s="148"/>
      <c r="CT13" s="148"/>
      <c r="CU13" s="148"/>
      <c r="CV13" s="148"/>
      <c r="CW13" s="148"/>
      <c r="CX13" s="148"/>
      <c r="CY13" s="148"/>
      <c r="CZ13" s="148"/>
      <c r="DA13" s="148"/>
      <c r="DB13" s="148"/>
      <c r="DC13" s="148"/>
      <c r="DD13" s="148"/>
      <c r="DE13" s="148"/>
      <c r="DF13" s="148"/>
      <c r="DG13" s="148"/>
      <c r="DH13" s="148"/>
      <c r="DI13" s="148"/>
      <c r="DJ13" s="148"/>
      <c r="DK13" s="148"/>
      <c r="DL13" s="148"/>
      <c r="DM13" s="148"/>
      <c r="DN13" s="148"/>
      <c r="DO13" s="148"/>
      <c r="DP13" s="148"/>
      <c r="DQ13" s="148"/>
      <c r="DR13" s="148"/>
      <c r="DS13" s="148"/>
      <c r="DT13" s="148"/>
      <c r="DU13" s="148"/>
      <c r="DV13" s="148"/>
      <c r="DW13" s="148"/>
      <c r="DX13" s="148"/>
      <c r="DY13" s="148"/>
      <c r="DZ13" s="148"/>
      <c r="EA13" s="148"/>
      <c r="EB13" s="148"/>
      <c r="EC13" s="148"/>
      <c r="ED13" s="148"/>
      <c r="EE13" s="148"/>
      <c r="EF13" s="148"/>
      <c r="EG13" s="148"/>
      <c r="EH13" s="148"/>
      <c r="EI13" s="148"/>
      <c r="EJ13" s="148"/>
      <c r="EK13" s="148"/>
      <c r="EL13" s="148"/>
      <c r="EM13" s="148"/>
      <c r="EN13" s="148"/>
      <c r="EO13" s="148"/>
      <c r="EP13" s="148"/>
      <c r="EQ13" s="148"/>
      <c r="ER13" s="148"/>
      <c r="ES13" s="148"/>
      <c r="ET13" s="148"/>
      <c r="EU13" s="148"/>
      <c r="EV13" s="148"/>
      <c r="EW13" s="148"/>
      <c r="EX13" s="148"/>
      <c r="EY13" s="148"/>
      <c r="EZ13" s="148"/>
      <c r="FA13" s="148"/>
      <c r="FB13" s="148"/>
      <c r="FC13" s="148"/>
      <c r="FD13" s="148"/>
      <c r="FE13" s="148"/>
      <c r="FF13" s="148"/>
      <c r="FG13" s="148"/>
      <c r="FH13" s="148"/>
      <c r="FI13" s="148"/>
      <c r="FJ13" s="148"/>
      <c r="FK13" s="148"/>
      <c r="FL13" s="148"/>
      <c r="FM13" s="148"/>
      <c r="FN13" s="148"/>
      <c r="FO13" s="148"/>
      <c r="FP13" s="148"/>
      <c r="FQ13" s="148"/>
      <c r="FR13" s="148"/>
      <c r="FS13" s="148"/>
      <c r="FT13" s="148"/>
      <c r="FU13" s="148"/>
      <c r="FV13" s="148"/>
      <c r="FW13" s="148"/>
      <c r="FX13" s="148"/>
      <c r="FY13" s="148"/>
      <c r="FZ13" s="148"/>
      <c r="GA13" s="148"/>
      <c r="GB13" s="148"/>
      <c r="GC13" s="148"/>
      <c r="GD13" s="148"/>
      <c r="GE13" s="148"/>
      <c r="GF13" s="148"/>
      <c r="GG13" s="148"/>
      <c r="GH13" s="148"/>
      <c r="GI13" s="148"/>
      <c r="GJ13" s="148"/>
      <c r="GK13" s="148"/>
      <c r="GL13" s="148"/>
      <c r="GM13" s="148"/>
      <c r="GN13" s="148"/>
      <c r="GO13" s="148"/>
      <c r="GP13" s="148"/>
      <c r="GQ13" s="148"/>
      <c r="GR13" s="148"/>
      <c r="GS13" s="148"/>
      <c r="GT13" s="148"/>
      <c r="GU13" s="148"/>
      <c r="GV13" s="148"/>
      <c r="GW13" s="148"/>
      <c r="GX13" s="148"/>
      <c r="GY13" s="148"/>
      <c r="GZ13" s="148"/>
      <c r="HA13" s="148"/>
      <c r="HB13" s="148"/>
      <c r="HC13" s="148"/>
      <c r="HD13" s="148"/>
      <c r="HE13" s="148"/>
      <c r="HF13" s="148"/>
      <c r="HG13" s="148"/>
      <c r="HH13" s="148"/>
      <c r="HI13" s="148"/>
      <c r="HJ13" s="148"/>
      <c r="HK13" s="148"/>
      <c r="HL13" s="148"/>
      <c r="HM13" s="148"/>
      <c r="HN13" s="148"/>
      <c r="HO13" s="148"/>
      <c r="HP13" s="148"/>
      <c r="HQ13" s="148"/>
      <c r="HR13" s="148"/>
      <c r="HS13" s="148"/>
      <c r="HT13" s="148"/>
      <c r="HU13" s="148"/>
      <c r="HV13" s="148"/>
      <c r="HW13" s="148"/>
      <c r="HX13" s="148"/>
      <c r="HY13" s="148"/>
      <c r="HZ13" s="148"/>
      <c r="IA13" s="148"/>
      <c r="IB13" s="148"/>
      <c r="IC13" s="148"/>
      <c r="ID13" s="148"/>
      <c r="IE13" s="148"/>
      <c r="IF13" s="148"/>
      <c r="IG13" s="148"/>
      <c r="IH13" s="148"/>
      <c r="II13" s="148"/>
      <c r="IJ13" s="148"/>
      <c r="IK13" s="148"/>
      <c r="IL13" s="148"/>
      <c r="IM13" s="148"/>
      <c r="IN13" s="148"/>
      <c r="IO13" s="148"/>
      <c r="IP13" s="148"/>
      <c r="IQ13" s="148"/>
      <c r="IR13" s="148"/>
      <c r="IS13" s="148"/>
      <c r="IT13" s="148"/>
      <c r="IU13" s="148"/>
      <c r="IV13" s="148"/>
      <c r="IW13" s="148"/>
      <c r="IX13" s="148"/>
      <c r="IY13" s="148"/>
      <c r="IZ13" s="148"/>
      <c r="JA13" s="148"/>
    </row>
    <row r="14" spans="1:261" s="337" customFormat="1" ht="18" customHeight="1" x14ac:dyDescent="0.35">
      <c r="A14" s="1423">
        <v>3</v>
      </c>
      <c r="B14" s="1568"/>
      <c r="C14" s="1569"/>
      <c r="D14" s="1570" t="s">
        <v>311</v>
      </c>
      <c r="E14" s="1560">
        <f>F14+G14+O17+P14</f>
        <v>8822998</v>
      </c>
      <c r="F14" s="1561"/>
      <c r="G14" s="1562">
        <f>106200</f>
        <v>106200</v>
      </c>
      <c r="H14" s="1642"/>
      <c r="I14" s="1564"/>
      <c r="J14" s="1565"/>
      <c r="K14" s="1565">
        <v>34384</v>
      </c>
      <c r="L14" s="1565"/>
      <c r="M14" s="1565">
        <v>694452</v>
      </c>
      <c r="N14" s="1565"/>
      <c r="O14" s="1566">
        <f>SUM(I14:N14)</f>
        <v>728836</v>
      </c>
      <c r="P14" s="1567">
        <v>4397322</v>
      </c>
      <c r="Q14" s="348"/>
    </row>
    <row r="15" spans="1:261" s="337" customFormat="1" ht="18" customHeight="1" x14ac:dyDescent="0.35">
      <c r="A15" s="1423">
        <v>4</v>
      </c>
      <c r="B15" s="1568"/>
      <c r="C15" s="1569"/>
      <c r="D15" s="1163" t="s">
        <v>1064</v>
      </c>
      <c r="E15" s="1560"/>
      <c r="F15" s="1561"/>
      <c r="G15" s="1562"/>
      <c r="H15" s="1642"/>
      <c r="I15" s="1564"/>
      <c r="J15" s="1565"/>
      <c r="K15" s="1575">
        <v>97709</v>
      </c>
      <c r="L15" s="1575"/>
      <c r="M15" s="1575">
        <v>4221767</v>
      </c>
      <c r="N15" s="1574"/>
      <c r="O15" s="1576">
        <f>SUM(I15:N15)</f>
        <v>4319476</v>
      </c>
      <c r="P15" s="1567"/>
      <c r="Q15" s="348"/>
    </row>
    <row r="16" spans="1:261" s="337" customFormat="1" ht="18" customHeight="1" x14ac:dyDescent="0.35">
      <c r="A16" s="1423">
        <v>5</v>
      </c>
      <c r="B16" s="1568"/>
      <c r="C16" s="1569"/>
      <c r="D16" s="1174" t="s">
        <v>1012</v>
      </c>
      <c r="E16" s="1560"/>
      <c r="F16" s="1561"/>
      <c r="G16" s="1562"/>
      <c r="H16" s="1642"/>
      <c r="I16" s="1580"/>
      <c r="J16" s="1574"/>
      <c r="K16" s="1581"/>
      <c r="L16" s="1581"/>
      <c r="M16" s="1581"/>
      <c r="N16" s="1574"/>
      <c r="O16" s="1576">
        <f>SUM(I16:N16)</f>
        <v>0</v>
      </c>
      <c r="P16" s="1567"/>
      <c r="Q16" s="348"/>
    </row>
    <row r="17" spans="1:261" s="337" customFormat="1" ht="18" customHeight="1" x14ac:dyDescent="0.35">
      <c r="A17" s="1423">
        <v>6</v>
      </c>
      <c r="B17" s="1568"/>
      <c r="C17" s="1569"/>
      <c r="D17" s="1163" t="s">
        <v>1116</v>
      </c>
      <c r="E17" s="1560"/>
      <c r="F17" s="1561"/>
      <c r="G17" s="1562"/>
      <c r="H17" s="1642"/>
      <c r="I17" s="1580"/>
      <c r="J17" s="1574"/>
      <c r="K17" s="1575">
        <f>SUM(K15:K16)</f>
        <v>97709</v>
      </c>
      <c r="L17" s="1575"/>
      <c r="M17" s="1575">
        <f t="shared" ref="M17" si="0">SUM(M15:M16)</f>
        <v>4221767</v>
      </c>
      <c r="N17" s="1574"/>
      <c r="O17" s="1576">
        <f>SUM(I17:N17)</f>
        <v>4319476</v>
      </c>
      <c r="P17" s="1567"/>
      <c r="Q17" s="348"/>
    </row>
    <row r="18" spans="1:261" s="272" customFormat="1" ht="22.5" customHeight="1" x14ac:dyDescent="0.35">
      <c r="A18" s="1423">
        <v>7</v>
      </c>
      <c r="B18" s="1557"/>
      <c r="C18" s="1558">
        <v>2</v>
      </c>
      <c r="D18" s="1559" t="s">
        <v>709</v>
      </c>
      <c r="E18" s="1560"/>
      <c r="F18" s="1561"/>
      <c r="G18" s="1562"/>
      <c r="H18" s="1563" t="s">
        <v>24</v>
      </c>
      <c r="I18" s="1564"/>
      <c r="J18" s="1565"/>
      <c r="K18" s="1565"/>
      <c r="L18" s="1565"/>
      <c r="M18" s="1565"/>
      <c r="N18" s="1565"/>
      <c r="O18" s="1576"/>
      <c r="P18" s="1567"/>
      <c r="Q18" s="148"/>
      <c r="R18" s="148"/>
      <c r="S18" s="148"/>
      <c r="T18" s="148"/>
      <c r="U18" s="148"/>
      <c r="V18" s="148"/>
      <c r="W18" s="148"/>
      <c r="X18" s="148"/>
      <c r="Y18" s="148"/>
      <c r="Z18" s="148"/>
      <c r="AA18" s="148"/>
      <c r="AB18" s="148"/>
      <c r="AC18" s="148"/>
      <c r="AD18" s="148"/>
      <c r="AE18" s="148"/>
      <c r="AF18" s="148"/>
      <c r="AG18" s="148"/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  <c r="BH18" s="148"/>
      <c r="BI18" s="148"/>
      <c r="BJ18" s="148"/>
      <c r="BK18" s="148"/>
      <c r="BL18" s="148"/>
      <c r="BM18" s="148"/>
      <c r="BN18" s="148"/>
      <c r="BO18" s="148"/>
      <c r="BP18" s="148"/>
      <c r="BQ18" s="148"/>
      <c r="BR18" s="148"/>
      <c r="BS18" s="148"/>
      <c r="BT18" s="148"/>
      <c r="BU18" s="148"/>
      <c r="BV18" s="148"/>
      <c r="BW18" s="148"/>
      <c r="BX18" s="148"/>
      <c r="BY18" s="148"/>
      <c r="BZ18" s="148"/>
      <c r="CA18" s="148"/>
      <c r="CB18" s="148"/>
      <c r="CC18" s="148"/>
      <c r="CD18" s="148"/>
      <c r="CE18" s="148"/>
      <c r="CF18" s="148"/>
      <c r="CG18" s="148"/>
      <c r="CH18" s="148"/>
      <c r="CI18" s="148"/>
      <c r="CJ18" s="148"/>
      <c r="CK18" s="148"/>
      <c r="CL18" s="148"/>
      <c r="CM18" s="148"/>
      <c r="CN18" s="148"/>
      <c r="CO18" s="148"/>
      <c r="CP18" s="148"/>
      <c r="CQ18" s="148"/>
      <c r="CR18" s="148"/>
      <c r="CS18" s="148"/>
      <c r="CT18" s="148"/>
      <c r="CU18" s="148"/>
      <c r="CV18" s="148"/>
      <c r="CW18" s="148"/>
      <c r="CX18" s="148"/>
      <c r="CY18" s="148"/>
      <c r="CZ18" s="148"/>
      <c r="DA18" s="148"/>
      <c r="DB18" s="148"/>
      <c r="DC18" s="148"/>
      <c r="DD18" s="148"/>
      <c r="DE18" s="148"/>
      <c r="DF18" s="148"/>
      <c r="DG18" s="148"/>
      <c r="DH18" s="148"/>
      <c r="DI18" s="148"/>
      <c r="DJ18" s="148"/>
      <c r="DK18" s="148"/>
      <c r="DL18" s="148"/>
      <c r="DM18" s="148"/>
      <c r="DN18" s="148"/>
      <c r="DO18" s="148"/>
      <c r="DP18" s="148"/>
      <c r="DQ18" s="148"/>
      <c r="DR18" s="148"/>
      <c r="DS18" s="148"/>
      <c r="DT18" s="148"/>
      <c r="DU18" s="148"/>
      <c r="DV18" s="148"/>
      <c r="DW18" s="148"/>
      <c r="DX18" s="148"/>
      <c r="DY18" s="148"/>
      <c r="DZ18" s="148"/>
      <c r="EA18" s="148"/>
      <c r="EB18" s="148"/>
      <c r="EC18" s="148"/>
      <c r="ED18" s="148"/>
      <c r="EE18" s="148"/>
      <c r="EF18" s="148"/>
      <c r="EG18" s="148"/>
      <c r="EH18" s="148"/>
      <c r="EI18" s="148"/>
      <c r="EJ18" s="148"/>
      <c r="EK18" s="148"/>
      <c r="EL18" s="148"/>
      <c r="EM18" s="148"/>
      <c r="EN18" s="148"/>
      <c r="EO18" s="148"/>
      <c r="EP18" s="148"/>
      <c r="EQ18" s="148"/>
      <c r="ER18" s="148"/>
      <c r="ES18" s="148"/>
      <c r="ET18" s="148"/>
      <c r="EU18" s="148"/>
      <c r="EV18" s="148"/>
      <c r="EW18" s="148"/>
      <c r="EX18" s="148"/>
      <c r="EY18" s="148"/>
      <c r="EZ18" s="148"/>
      <c r="FA18" s="148"/>
      <c r="FB18" s="148"/>
      <c r="FC18" s="148"/>
      <c r="FD18" s="148"/>
      <c r="FE18" s="148"/>
      <c r="FF18" s="148"/>
      <c r="FG18" s="148"/>
      <c r="FH18" s="148"/>
      <c r="FI18" s="148"/>
      <c r="FJ18" s="148"/>
      <c r="FK18" s="148"/>
      <c r="FL18" s="148"/>
      <c r="FM18" s="148"/>
      <c r="FN18" s="148"/>
      <c r="FO18" s="148"/>
      <c r="FP18" s="148"/>
      <c r="FQ18" s="148"/>
      <c r="FR18" s="148"/>
      <c r="FS18" s="148"/>
      <c r="FT18" s="148"/>
      <c r="FU18" s="148"/>
      <c r="FV18" s="148"/>
      <c r="FW18" s="148"/>
      <c r="FX18" s="148"/>
      <c r="FY18" s="148"/>
      <c r="FZ18" s="148"/>
      <c r="GA18" s="148"/>
      <c r="GB18" s="148"/>
      <c r="GC18" s="148"/>
      <c r="GD18" s="148"/>
      <c r="GE18" s="148"/>
      <c r="GF18" s="148"/>
      <c r="GG18" s="148"/>
      <c r="GH18" s="148"/>
      <c r="GI18" s="148"/>
      <c r="GJ18" s="148"/>
      <c r="GK18" s="148"/>
      <c r="GL18" s="148"/>
      <c r="GM18" s="148"/>
      <c r="GN18" s="148"/>
      <c r="GO18" s="148"/>
      <c r="GP18" s="148"/>
      <c r="GQ18" s="148"/>
      <c r="GR18" s="148"/>
      <c r="GS18" s="148"/>
      <c r="GT18" s="148"/>
      <c r="GU18" s="148"/>
      <c r="GV18" s="148"/>
      <c r="GW18" s="148"/>
      <c r="GX18" s="148"/>
      <c r="GY18" s="148"/>
      <c r="GZ18" s="148"/>
      <c r="HA18" s="148"/>
      <c r="HB18" s="148"/>
      <c r="HC18" s="148"/>
      <c r="HD18" s="148"/>
      <c r="HE18" s="148"/>
      <c r="HF18" s="148"/>
      <c r="HG18" s="148"/>
      <c r="HH18" s="148"/>
      <c r="HI18" s="148"/>
      <c r="HJ18" s="148"/>
      <c r="HK18" s="148"/>
      <c r="HL18" s="148"/>
      <c r="HM18" s="148"/>
      <c r="HN18" s="148"/>
      <c r="HO18" s="148"/>
      <c r="HP18" s="148"/>
      <c r="HQ18" s="148"/>
      <c r="HR18" s="148"/>
      <c r="HS18" s="148"/>
      <c r="HT18" s="148"/>
      <c r="HU18" s="148"/>
      <c r="HV18" s="148"/>
      <c r="HW18" s="148"/>
      <c r="HX18" s="148"/>
      <c r="HY18" s="148"/>
      <c r="HZ18" s="148"/>
      <c r="IA18" s="148"/>
      <c r="IB18" s="148"/>
      <c r="IC18" s="148"/>
      <c r="ID18" s="148"/>
      <c r="IE18" s="148"/>
      <c r="IF18" s="148"/>
      <c r="IG18" s="148"/>
      <c r="IH18" s="148"/>
      <c r="II18" s="148"/>
      <c r="IJ18" s="148"/>
      <c r="IK18" s="148"/>
      <c r="IL18" s="148"/>
      <c r="IM18" s="148"/>
      <c r="IN18" s="148"/>
      <c r="IO18" s="148"/>
      <c r="IP18" s="148"/>
      <c r="IQ18" s="148"/>
      <c r="IR18" s="148"/>
      <c r="IS18" s="148"/>
      <c r="IT18" s="148"/>
      <c r="IU18" s="148"/>
      <c r="IV18" s="148"/>
      <c r="IW18" s="148"/>
      <c r="IX18" s="148"/>
      <c r="IY18" s="148"/>
      <c r="IZ18" s="148"/>
      <c r="JA18" s="148"/>
    </row>
    <row r="19" spans="1:261" s="337" customFormat="1" ht="18" customHeight="1" x14ac:dyDescent="0.35">
      <c r="A19" s="1423">
        <v>8</v>
      </c>
      <c r="B19" s="1568"/>
      <c r="C19" s="1569"/>
      <c r="D19" s="1570" t="s">
        <v>311</v>
      </c>
      <c r="E19" s="1560">
        <f>F19+G19+O22+P19</f>
        <v>14460580</v>
      </c>
      <c r="F19" s="1561">
        <v>324476</v>
      </c>
      <c r="G19" s="1562">
        <f>2834+481562</f>
        <v>484396</v>
      </c>
      <c r="H19" s="1642"/>
      <c r="I19" s="1564"/>
      <c r="J19" s="1565"/>
      <c r="K19" s="1565">
        <v>499</v>
      </c>
      <c r="L19" s="1565"/>
      <c r="M19" s="1565">
        <v>3870629</v>
      </c>
      <c r="N19" s="1565"/>
      <c r="O19" s="1566">
        <f>SUM(I19:N19)</f>
        <v>3871128</v>
      </c>
      <c r="P19" s="1567">
        <v>9780580</v>
      </c>
      <c r="Q19" s="348"/>
    </row>
    <row r="20" spans="1:261" s="337" customFormat="1" ht="18" customHeight="1" x14ac:dyDescent="0.35">
      <c r="A20" s="1423">
        <v>9</v>
      </c>
      <c r="B20" s="1568"/>
      <c r="C20" s="1569"/>
      <c r="D20" s="1163" t="s">
        <v>1064</v>
      </c>
      <c r="E20" s="1560"/>
      <c r="F20" s="1561"/>
      <c r="G20" s="1562"/>
      <c r="H20" s="1642"/>
      <c r="I20" s="1564"/>
      <c r="J20" s="1565"/>
      <c r="K20" s="1575">
        <v>5715</v>
      </c>
      <c r="L20" s="1575"/>
      <c r="M20" s="1575">
        <v>3865413</v>
      </c>
      <c r="N20" s="1565"/>
      <c r="O20" s="1566">
        <f>SUM(I20:N20)</f>
        <v>3871128</v>
      </c>
      <c r="P20" s="1567"/>
      <c r="Q20" s="348"/>
    </row>
    <row r="21" spans="1:261" s="337" customFormat="1" ht="18" customHeight="1" x14ac:dyDescent="0.35">
      <c r="A21" s="1423">
        <v>10</v>
      </c>
      <c r="B21" s="1568"/>
      <c r="C21" s="1569"/>
      <c r="D21" s="1174" t="s">
        <v>999</v>
      </c>
      <c r="E21" s="1560"/>
      <c r="F21" s="1561"/>
      <c r="G21" s="1562"/>
      <c r="H21" s="1642"/>
      <c r="I21" s="1580"/>
      <c r="J21" s="1574"/>
      <c r="K21" s="1581"/>
      <c r="L21" s="1581"/>
      <c r="M21" s="1581"/>
      <c r="N21" s="1574"/>
      <c r="O21" s="1576">
        <f>SUM(I21:N21)</f>
        <v>0</v>
      </c>
      <c r="P21" s="1567"/>
      <c r="Q21" s="348"/>
    </row>
    <row r="22" spans="1:261" s="337" customFormat="1" ht="18" customHeight="1" x14ac:dyDescent="0.35">
      <c r="A22" s="1423">
        <v>11</v>
      </c>
      <c r="B22" s="1568"/>
      <c r="C22" s="1569"/>
      <c r="D22" s="1163" t="s">
        <v>1116</v>
      </c>
      <c r="E22" s="1560"/>
      <c r="F22" s="1561"/>
      <c r="G22" s="1562"/>
      <c r="H22" s="1642"/>
      <c r="I22" s="1580"/>
      <c r="J22" s="1574"/>
      <c r="K22" s="1575">
        <f>SUM(K20:K21)</f>
        <v>5715</v>
      </c>
      <c r="L22" s="1575"/>
      <c r="M22" s="1575">
        <f>SUM(M20:M21)</f>
        <v>3865413</v>
      </c>
      <c r="N22" s="1574"/>
      <c r="O22" s="1576">
        <f>SUM(I22:N22)</f>
        <v>3871128</v>
      </c>
      <c r="P22" s="1567"/>
      <c r="Q22" s="348"/>
    </row>
    <row r="23" spans="1:261" s="272" customFormat="1" ht="22.5" customHeight="1" x14ac:dyDescent="0.35">
      <c r="A23" s="1423">
        <v>12</v>
      </c>
      <c r="B23" s="1557"/>
      <c r="C23" s="1582">
        <v>3</v>
      </c>
      <c r="D23" s="1643" t="s">
        <v>710</v>
      </c>
      <c r="E23" s="1560"/>
      <c r="F23" s="1561"/>
      <c r="G23" s="1562"/>
      <c r="H23" s="1563" t="s">
        <v>24</v>
      </c>
      <c r="I23" s="1564"/>
      <c r="J23" s="1565"/>
      <c r="K23" s="1565"/>
      <c r="L23" s="1565"/>
      <c r="M23" s="1565"/>
      <c r="N23" s="1565"/>
      <c r="O23" s="1576"/>
      <c r="P23" s="1567"/>
      <c r="Q23" s="148"/>
      <c r="R23" s="148"/>
      <c r="S23" s="148"/>
      <c r="T23" s="148"/>
      <c r="U23" s="148"/>
      <c r="V23" s="148"/>
      <c r="W23" s="148"/>
      <c r="X23" s="148"/>
      <c r="Y23" s="148"/>
      <c r="Z23" s="148"/>
      <c r="AA23" s="148"/>
      <c r="AB23" s="148"/>
      <c r="AC23" s="148"/>
      <c r="AD23" s="148"/>
      <c r="AE23" s="148"/>
      <c r="AF23" s="148"/>
      <c r="AG23" s="148"/>
      <c r="AH23" s="148"/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48"/>
      <c r="BB23" s="148"/>
      <c r="BC23" s="148"/>
      <c r="BD23" s="148"/>
      <c r="BE23" s="148"/>
      <c r="BF23" s="148"/>
      <c r="BG23" s="148"/>
      <c r="BH23" s="148"/>
      <c r="BI23" s="148"/>
      <c r="BJ23" s="148"/>
      <c r="BK23" s="148"/>
      <c r="BL23" s="148"/>
      <c r="BM23" s="148"/>
      <c r="BN23" s="148"/>
      <c r="BO23" s="148"/>
      <c r="BP23" s="148"/>
      <c r="BQ23" s="148"/>
      <c r="BR23" s="148"/>
      <c r="BS23" s="148"/>
      <c r="BT23" s="148"/>
      <c r="BU23" s="148"/>
      <c r="BV23" s="148"/>
      <c r="BW23" s="148"/>
      <c r="BX23" s="148"/>
      <c r="BY23" s="148"/>
      <c r="BZ23" s="148"/>
      <c r="CA23" s="148"/>
      <c r="CB23" s="148"/>
      <c r="CC23" s="148"/>
      <c r="CD23" s="148"/>
      <c r="CE23" s="148"/>
      <c r="CF23" s="148"/>
      <c r="CG23" s="148"/>
      <c r="CH23" s="148"/>
      <c r="CI23" s="148"/>
      <c r="CJ23" s="148"/>
      <c r="CK23" s="148"/>
      <c r="CL23" s="148"/>
      <c r="CM23" s="148"/>
      <c r="CN23" s="148"/>
      <c r="CO23" s="148"/>
      <c r="CP23" s="148"/>
      <c r="CQ23" s="148"/>
      <c r="CR23" s="148"/>
      <c r="CS23" s="148"/>
      <c r="CT23" s="148"/>
      <c r="CU23" s="148"/>
      <c r="CV23" s="148"/>
      <c r="CW23" s="148"/>
      <c r="CX23" s="148"/>
      <c r="CY23" s="148"/>
      <c r="CZ23" s="148"/>
      <c r="DA23" s="148"/>
      <c r="DB23" s="148"/>
      <c r="DC23" s="148"/>
      <c r="DD23" s="148"/>
      <c r="DE23" s="148"/>
      <c r="DF23" s="148"/>
      <c r="DG23" s="148"/>
      <c r="DH23" s="148"/>
      <c r="DI23" s="148"/>
      <c r="DJ23" s="148"/>
      <c r="DK23" s="148"/>
      <c r="DL23" s="148"/>
      <c r="DM23" s="148"/>
      <c r="DN23" s="148"/>
      <c r="DO23" s="148"/>
      <c r="DP23" s="148"/>
      <c r="DQ23" s="148"/>
      <c r="DR23" s="148"/>
      <c r="DS23" s="148"/>
      <c r="DT23" s="148"/>
      <c r="DU23" s="148"/>
      <c r="DV23" s="148"/>
      <c r="DW23" s="148"/>
      <c r="DX23" s="148"/>
      <c r="DY23" s="148"/>
      <c r="DZ23" s="148"/>
      <c r="EA23" s="148"/>
      <c r="EB23" s="148"/>
      <c r="EC23" s="148"/>
      <c r="ED23" s="148"/>
      <c r="EE23" s="148"/>
      <c r="EF23" s="148"/>
      <c r="EG23" s="148"/>
      <c r="EH23" s="148"/>
      <c r="EI23" s="148"/>
      <c r="EJ23" s="148"/>
      <c r="EK23" s="148"/>
      <c r="EL23" s="148"/>
      <c r="EM23" s="148"/>
      <c r="EN23" s="148"/>
      <c r="EO23" s="148"/>
      <c r="EP23" s="148"/>
      <c r="EQ23" s="148"/>
      <c r="ER23" s="148"/>
      <c r="ES23" s="148"/>
      <c r="ET23" s="148"/>
      <c r="EU23" s="148"/>
      <c r="EV23" s="148"/>
      <c r="EW23" s="148"/>
      <c r="EX23" s="148"/>
      <c r="EY23" s="148"/>
      <c r="EZ23" s="148"/>
      <c r="FA23" s="148"/>
      <c r="FB23" s="148"/>
      <c r="FC23" s="148"/>
      <c r="FD23" s="148"/>
      <c r="FE23" s="148"/>
      <c r="FF23" s="148"/>
      <c r="FG23" s="148"/>
      <c r="FH23" s="148"/>
      <c r="FI23" s="148"/>
      <c r="FJ23" s="148"/>
      <c r="FK23" s="148"/>
      <c r="FL23" s="148"/>
      <c r="FM23" s="148"/>
      <c r="FN23" s="148"/>
      <c r="FO23" s="148"/>
      <c r="FP23" s="148"/>
      <c r="FQ23" s="148"/>
      <c r="FR23" s="148"/>
      <c r="FS23" s="148"/>
      <c r="FT23" s="148"/>
      <c r="FU23" s="148"/>
      <c r="FV23" s="148"/>
      <c r="FW23" s="148"/>
      <c r="FX23" s="148"/>
      <c r="FY23" s="148"/>
      <c r="FZ23" s="148"/>
      <c r="GA23" s="148"/>
      <c r="GB23" s="148"/>
      <c r="GC23" s="148"/>
      <c r="GD23" s="148"/>
      <c r="GE23" s="148"/>
      <c r="GF23" s="148"/>
      <c r="GG23" s="148"/>
      <c r="GH23" s="148"/>
      <c r="GI23" s="148"/>
      <c r="GJ23" s="148"/>
      <c r="GK23" s="148"/>
      <c r="GL23" s="148"/>
      <c r="GM23" s="148"/>
      <c r="GN23" s="148"/>
      <c r="GO23" s="148"/>
      <c r="GP23" s="148"/>
      <c r="GQ23" s="148"/>
      <c r="GR23" s="148"/>
      <c r="GS23" s="148"/>
      <c r="GT23" s="148"/>
      <c r="GU23" s="148"/>
      <c r="GV23" s="148"/>
      <c r="GW23" s="148"/>
      <c r="GX23" s="148"/>
      <c r="GY23" s="148"/>
      <c r="GZ23" s="148"/>
      <c r="HA23" s="148"/>
      <c r="HB23" s="148"/>
      <c r="HC23" s="148"/>
      <c r="HD23" s="148"/>
      <c r="HE23" s="148"/>
      <c r="HF23" s="148"/>
      <c r="HG23" s="148"/>
      <c r="HH23" s="148"/>
      <c r="HI23" s="148"/>
      <c r="HJ23" s="148"/>
      <c r="HK23" s="148"/>
      <c r="HL23" s="148"/>
      <c r="HM23" s="148"/>
      <c r="HN23" s="148"/>
      <c r="HO23" s="148"/>
      <c r="HP23" s="148"/>
      <c r="HQ23" s="148"/>
      <c r="HR23" s="148"/>
      <c r="HS23" s="148"/>
      <c r="HT23" s="148"/>
      <c r="HU23" s="148"/>
      <c r="HV23" s="148"/>
      <c r="HW23" s="148"/>
      <c r="HX23" s="148"/>
      <c r="HY23" s="148"/>
      <c r="HZ23" s="148"/>
      <c r="IA23" s="148"/>
      <c r="IB23" s="148"/>
      <c r="IC23" s="148"/>
      <c r="ID23" s="148"/>
      <c r="IE23" s="148"/>
      <c r="IF23" s="148"/>
      <c r="IG23" s="148"/>
      <c r="IH23" s="148"/>
      <c r="II23" s="148"/>
      <c r="IJ23" s="148"/>
      <c r="IK23" s="148"/>
      <c r="IL23" s="148"/>
      <c r="IM23" s="148"/>
      <c r="IN23" s="148"/>
      <c r="IO23" s="148"/>
      <c r="IP23" s="148"/>
      <c r="IQ23" s="148"/>
      <c r="IR23" s="148"/>
      <c r="IS23" s="148"/>
      <c r="IT23" s="148"/>
      <c r="IU23" s="148"/>
      <c r="IV23" s="148"/>
      <c r="IW23" s="148"/>
      <c r="IX23" s="148"/>
      <c r="IY23" s="148"/>
      <c r="IZ23" s="148"/>
      <c r="JA23" s="148"/>
    </row>
    <row r="24" spans="1:261" s="337" customFormat="1" ht="18" customHeight="1" x14ac:dyDescent="0.35">
      <c r="A24" s="1423">
        <v>13</v>
      </c>
      <c r="B24" s="1568"/>
      <c r="C24" s="1569"/>
      <c r="D24" s="1570" t="s">
        <v>311</v>
      </c>
      <c r="E24" s="1560">
        <f>F24+G24+O27+P24</f>
        <v>1793189</v>
      </c>
      <c r="F24" s="1561">
        <v>1281902</v>
      </c>
      <c r="G24" s="1562">
        <f>1692</f>
        <v>1692</v>
      </c>
      <c r="H24" s="1642"/>
      <c r="I24" s="1564"/>
      <c r="J24" s="1565"/>
      <c r="K24" s="1565">
        <v>658</v>
      </c>
      <c r="L24" s="1565"/>
      <c r="M24" s="1565">
        <f>371256+137681</f>
        <v>508937</v>
      </c>
      <c r="N24" s="1565"/>
      <c r="O24" s="1566">
        <f>SUM(I24:N24)</f>
        <v>509595</v>
      </c>
      <c r="P24" s="1567"/>
      <c r="Q24" s="348"/>
    </row>
    <row r="25" spans="1:261" s="337" customFormat="1" ht="18" customHeight="1" x14ac:dyDescent="0.35">
      <c r="A25" s="1423">
        <v>14</v>
      </c>
      <c r="B25" s="1568"/>
      <c r="C25" s="1569"/>
      <c r="D25" s="1163" t="s">
        <v>1064</v>
      </c>
      <c r="E25" s="1560"/>
      <c r="F25" s="1561"/>
      <c r="G25" s="1562"/>
      <c r="H25" s="1642"/>
      <c r="I25" s="1564"/>
      <c r="J25" s="1565"/>
      <c r="K25" s="1575">
        <v>658</v>
      </c>
      <c r="L25" s="1575"/>
      <c r="M25" s="1575">
        <v>508937</v>
      </c>
      <c r="N25" s="1574"/>
      <c r="O25" s="1576">
        <f>SUM(I25:N25)</f>
        <v>509595</v>
      </c>
      <c r="P25" s="1567"/>
      <c r="Q25" s="348"/>
    </row>
    <row r="26" spans="1:261" s="337" customFormat="1" ht="18" customHeight="1" x14ac:dyDescent="0.35">
      <c r="A26" s="1423">
        <v>15</v>
      </c>
      <c r="B26" s="1568"/>
      <c r="C26" s="1569"/>
      <c r="D26" s="1174" t="s">
        <v>999</v>
      </c>
      <c r="E26" s="1560"/>
      <c r="F26" s="1561"/>
      <c r="G26" s="1562"/>
      <c r="H26" s="1642"/>
      <c r="I26" s="1580"/>
      <c r="J26" s="1574"/>
      <c r="K26" s="1574"/>
      <c r="L26" s="1574"/>
      <c r="M26" s="1574"/>
      <c r="N26" s="1574"/>
      <c r="O26" s="1576">
        <f>SUM(I26:N26)</f>
        <v>0</v>
      </c>
      <c r="P26" s="1567"/>
      <c r="Q26" s="348"/>
    </row>
    <row r="27" spans="1:261" s="337" customFormat="1" ht="18" customHeight="1" x14ac:dyDescent="0.35">
      <c r="A27" s="1423">
        <v>16</v>
      </c>
      <c r="B27" s="1568"/>
      <c r="C27" s="1569"/>
      <c r="D27" s="1163" t="s">
        <v>1116</v>
      </c>
      <c r="E27" s="1560"/>
      <c r="F27" s="1561"/>
      <c r="G27" s="1562"/>
      <c r="H27" s="1642"/>
      <c r="I27" s="1580"/>
      <c r="J27" s="1574"/>
      <c r="K27" s="1575">
        <f>SUM(K25:K26)</f>
        <v>658</v>
      </c>
      <c r="L27" s="1575"/>
      <c r="M27" s="1575">
        <f>SUM(M25:M26)</f>
        <v>508937</v>
      </c>
      <c r="N27" s="1574"/>
      <c r="O27" s="1576">
        <f>SUM(I27:N27)</f>
        <v>509595</v>
      </c>
      <c r="P27" s="1567"/>
      <c r="Q27" s="348"/>
    </row>
    <row r="28" spans="1:261" s="272" customFormat="1" ht="49.5" customHeight="1" x14ac:dyDescent="0.35">
      <c r="A28" s="1423">
        <v>17</v>
      </c>
      <c r="B28" s="1557"/>
      <c r="C28" s="1582">
        <v>4</v>
      </c>
      <c r="D28" s="1583" t="s">
        <v>711</v>
      </c>
      <c r="E28" s="1560"/>
      <c r="F28" s="1561"/>
      <c r="G28" s="1562"/>
      <c r="H28" s="1563" t="s">
        <v>24</v>
      </c>
      <c r="I28" s="1564"/>
      <c r="J28" s="1565"/>
      <c r="K28" s="1565"/>
      <c r="L28" s="1565"/>
      <c r="M28" s="1565"/>
      <c r="N28" s="1565"/>
      <c r="O28" s="1576"/>
      <c r="P28" s="1567"/>
      <c r="Q28" s="148"/>
      <c r="R28" s="148"/>
      <c r="S28" s="148"/>
      <c r="T28" s="148"/>
      <c r="U28" s="148"/>
      <c r="V28" s="148"/>
      <c r="W28" s="148"/>
      <c r="X28" s="148"/>
      <c r="Y28" s="148"/>
      <c r="Z28" s="148"/>
      <c r="AA28" s="148"/>
      <c r="AB28" s="148"/>
      <c r="AC28" s="148"/>
      <c r="AD28" s="148"/>
      <c r="AE28" s="148"/>
      <c r="AF28" s="148"/>
      <c r="AG28" s="148"/>
      <c r="AH28" s="148"/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  <c r="BH28" s="148"/>
      <c r="BI28" s="148"/>
      <c r="BJ28" s="148"/>
      <c r="BK28" s="148"/>
      <c r="BL28" s="148"/>
      <c r="BM28" s="148"/>
      <c r="BN28" s="148"/>
      <c r="BO28" s="148"/>
      <c r="BP28" s="148"/>
      <c r="BQ28" s="148"/>
      <c r="BR28" s="148"/>
      <c r="BS28" s="148"/>
      <c r="BT28" s="148"/>
      <c r="BU28" s="148"/>
      <c r="BV28" s="148"/>
      <c r="BW28" s="148"/>
      <c r="BX28" s="148"/>
      <c r="BY28" s="148"/>
      <c r="BZ28" s="148"/>
      <c r="CA28" s="148"/>
      <c r="CB28" s="148"/>
      <c r="CC28" s="148"/>
      <c r="CD28" s="148"/>
      <c r="CE28" s="148"/>
      <c r="CF28" s="148"/>
      <c r="CG28" s="148"/>
      <c r="CH28" s="148"/>
      <c r="CI28" s="148"/>
      <c r="CJ28" s="148"/>
      <c r="CK28" s="148"/>
      <c r="CL28" s="148"/>
      <c r="CM28" s="148"/>
      <c r="CN28" s="148"/>
      <c r="CO28" s="148"/>
      <c r="CP28" s="148"/>
      <c r="CQ28" s="148"/>
      <c r="CR28" s="148"/>
      <c r="CS28" s="148"/>
      <c r="CT28" s="148"/>
      <c r="CU28" s="148"/>
      <c r="CV28" s="148"/>
      <c r="CW28" s="148"/>
      <c r="CX28" s="148"/>
      <c r="CY28" s="148"/>
      <c r="CZ28" s="148"/>
      <c r="DA28" s="148"/>
      <c r="DB28" s="148"/>
      <c r="DC28" s="148"/>
      <c r="DD28" s="148"/>
      <c r="DE28" s="148"/>
      <c r="DF28" s="148"/>
      <c r="DG28" s="148"/>
      <c r="DH28" s="148"/>
      <c r="DI28" s="148"/>
      <c r="DJ28" s="148"/>
      <c r="DK28" s="148"/>
      <c r="DL28" s="148"/>
      <c r="DM28" s="148"/>
      <c r="DN28" s="148"/>
      <c r="DO28" s="148"/>
      <c r="DP28" s="148"/>
      <c r="DQ28" s="148"/>
      <c r="DR28" s="148"/>
      <c r="DS28" s="148"/>
      <c r="DT28" s="148"/>
      <c r="DU28" s="148"/>
      <c r="DV28" s="148"/>
      <c r="DW28" s="148"/>
      <c r="DX28" s="148"/>
      <c r="DY28" s="148"/>
      <c r="DZ28" s="148"/>
      <c r="EA28" s="148"/>
      <c r="EB28" s="148"/>
      <c r="EC28" s="148"/>
      <c r="ED28" s="148"/>
      <c r="EE28" s="148"/>
      <c r="EF28" s="148"/>
      <c r="EG28" s="148"/>
      <c r="EH28" s="148"/>
      <c r="EI28" s="148"/>
      <c r="EJ28" s="148"/>
      <c r="EK28" s="148"/>
      <c r="EL28" s="148"/>
      <c r="EM28" s="148"/>
      <c r="EN28" s="148"/>
      <c r="EO28" s="148"/>
      <c r="EP28" s="148"/>
      <c r="EQ28" s="148"/>
      <c r="ER28" s="148"/>
      <c r="ES28" s="148"/>
      <c r="ET28" s="148"/>
      <c r="EU28" s="148"/>
      <c r="EV28" s="148"/>
      <c r="EW28" s="148"/>
      <c r="EX28" s="148"/>
      <c r="EY28" s="148"/>
      <c r="EZ28" s="148"/>
      <c r="FA28" s="148"/>
      <c r="FB28" s="148"/>
      <c r="FC28" s="148"/>
      <c r="FD28" s="148"/>
      <c r="FE28" s="148"/>
      <c r="FF28" s="148"/>
      <c r="FG28" s="148"/>
      <c r="FH28" s="148"/>
      <c r="FI28" s="148"/>
      <c r="FJ28" s="148"/>
      <c r="FK28" s="148"/>
      <c r="FL28" s="148"/>
      <c r="FM28" s="148"/>
      <c r="FN28" s="148"/>
      <c r="FO28" s="148"/>
      <c r="FP28" s="148"/>
      <c r="FQ28" s="148"/>
      <c r="FR28" s="148"/>
      <c r="FS28" s="148"/>
      <c r="FT28" s="148"/>
      <c r="FU28" s="148"/>
      <c r="FV28" s="148"/>
      <c r="FW28" s="148"/>
      <c r="FX28" s="148"/>
      <c r="FY28" s="148"/>
      <c r="FZ28" s="148"/>
      <c r="GA28" s="148"/>
      <c r="GB28" s="148"/>
      <c r="GC28" s="148"/>
      <c r="GD28" s="148"/>
      <c r="GE28" s="148"/>
      <c r="GF28" s="148"/>
      <c r="GG28" s="148"/>
      <c r="GH28" s="148"/>
      <c r="GI28" s="148"/>
      <c r="GJ28" s="148"/>
      <c r="GK28" s="148"/>
      <c r="GL28" s="148"/>
      <c r="GM28" s="148"/>
      <c r="GN28" s="148"/>
      <c r="GO28" s="148"/>
      <c r="GP28" s="148"/>
      <c r="GQ28" s="148"/>
      <c r="GR28" s="148"/>
      <c r="GS28" s="148"/>
      <c r="GT28" s="148"/>
      <c r="GU28" s="148"/>
      <c r="GV28" s="148"/>
      <c r="GW28" s="148"/>
      <c r="GX28" s="148"/>
      <c r="GY28" s="148"/>
      <c r="GZ28" s="148"/>
      <c r="HA28" s="148"/>
      <c r="HB28" s="148"/>
      <c r="HC28" s="148"/>
      <c r="HD28" s="148"/>
      <c r="HE28" s="148"/>
      <c r="HF28" s="148"/>
      <c r="HG28" s="148"/>
      <c r="HH28" s="148"/>
      <c r="HI28" s="148"/>
      <c r="HJ28" s="148"/>
      <c r="HK28" s="148"/>
      <c r="HL28" s="148"/>
      <c r="HM28" s="148"/>
      <c r="HN28" s="148"/>
      <c r="HO28" s="148"/>
      <c r="HP28" s="148"/>
      <c r="HQ28" s="148"/>
      <c r="HR28" s="148"/>
      <c r="HS28" s="148"/>
      <c r="HT28" s="148"/>
      <c r="HU28" s="148"/>
      <c r="HV28" s="148"/>
      <c r="HW28" s="148"/>
      <c r="HX28" s="148"/>
      <c r="HY28" s="148"/>
      <c r="HZ28" s="148"/>
      <c r="IA28" s="148"/>
      <c r="IB28" s="148"/>
      <c r="IC28" s="148"/>
      <c r="ID28" s="148"/>
      <c r="IE28" s="148"/>
      <c r="IF28" s="148"/>
      <c r="IG28" s="148"/>
      <c r="IH28" s="148"/>
      <c r="II28" s="148"/>
      <c r="IJ28" s="148"/>
      <c r="IK28" s="148"/>
      <c r="IL28" s="148"/>
      <c r="IM28" s="148"/>
      <c r="IN28" s="148"/>
      <c r="IO28" s="148"/>
      <c r="IP28" s="148"/>
      <c r="IQ28" s="148"/>
      <c r="IR28" s="148"/>
      <c r="IS28" s="148"/>
      <c r="IT28" s="148"/>
      <c r="IU28" s="148"/>
      <c r="IV28" s="148"/>
      <c r="IW28" s="148"/>
      <c r="IX28" s="148"/>
      <c r="IY28" s="148"/>
      <c r="IZ28" s="148"/>
      <c r="JA28" s="148"/>
    </row>
    <row r="29" spans="1:261" s="337" customFormat="1" ht="18" customHeight="1" x14ac:dyDescent="0.35">
      <c r="A29" s="1423">
        <v>18</v>
      </c>
      <c r="B29" s="1568"/>
      <c r="C29" s="1569"/>
      <c r="D29" s="1585" t="s">
        <v>311</v>
      </c>
      <c r="E29" s="1560">
        <f>F29+G29+O32+P29</f>
        <v>1658925</v>
      </c>
      <c r="F29" s="1561">
        <v>7043</v>
      </c>
      <c r="G29" s="1562">
        <f>15189+980</f>
        <v>16169</v>
      </c>
      <c r="H29" s="1642"/>
      <c r="I29" s="1564"/>
      <c r="J29" s="1565"/>
      <c r="K29" s="1565"/>
      <c r="L29" s="1565"/>
      <c r="M29" s="1565">
        <f>78617+738788</f>
        <v>817405</v>
      </c>
      <c r="N29" s="1565"/>
      <c r="O29" s="1566">
        <f>SUM(I29:N29)</f>
        <v>817405</v>
      </c>
      <c r="P29" s="1567">
        <f>818308</f>
        <v>818308</v>
      </c>
      <c r="Q29" s="348"/>
    </row>
    <row r="30" spans="1:261" s="337" customFormat="1" ht="18" customHeight="1" x14ac:dyDescent="0.35">
      <c r="A30" s="1423">
        <v>19</v>
      </c>
      <c r="B30" s="1568"/>
      <c r="C30" s="1569"/>
      <c r="D30" s="1163" t="s">
        <v>1064</v>
      </c>
      <c r="E30" s="1560"/>
      <c r="F30" s="1561"/>
      <c r="G30" s="1562"/>
      <c r="H30" s="1642"/>
      <c r="I30" s="1564"/>
      <c r="J30" s="1565"/>
      <c r="K30" s="1575">
        <v>15710</v>
      </c>
      <c r="L30" s="1565"/>
      <c r="M30" s="1575">
        <f>817405-15710</f>
        <v>801695</v>
      </c>
      <c r="N30" s="1574"/>
      <c r="O30" s="1576">
        <f>SUM(I30:N30)</f>
        <v>817405</v>
      </c>
      <c r="P30" s="1567"/>
      <c r="Q30" s="348"/>
    </row>
    <row r="31" spans="1:261" s="337" customFormat="1" ht="18" customHeight="1" x14ac:dyDescent="0.35">
      <c r="A31" s="1423">
        <v>20</v>
      </c>
      <c r="B31" s="1568"/>
      <c r="C31" s="1569"/>
      <c r="D31" s="1174" t="s">
        <v>1012</v>
      </c>
      <c r="E31" s="1560"/>
      <c r="F31" s="1561"/>
      <c r="G31" s="1562"/>
      <c r="H31" s="1642"/>
      <c r="I31" s="1580"/>
      <c r="J31" s="1574"/>
      <c r="K31" s="1928"/>
      <c r="L31" s="1928"/>
      <c r="M31" s="1928"/>
      <c r="N31" s="1581"/>
      <c r="O31" s="1599">
        <f>SUM(I31:N31)</f>
        <v>0</v>
      </c>
      <c r="P31" s="1567"/>
      <c r="Q31" s="348"/>
    </row>
    <row r="32" spans="1:261" s="337" customFormat="1" ht="18" customHeight="1" x14ac:dyDescent="0.35">
      <c r="A32" s="1423">
        <v>21</v>
      </c>
      <c r="B32" s="1568"/>
      <c r="C32" s="1569"/>
      <c r="D32" s="1163" t="s">
        <v>1116</v>
      </c>
      <c r="E32" s="1560"/>
      <c r="F32" s="1561"/>
      <c r="G32" s="1562"/>
      <c r="H32" s="1642"/>
      <c r="I32" s="1580"/>
      <c r="J32" s="1574"/>
      <c r="K32" s="1575">
        <f>SUM(K30:K31)</f>
        <v>15710</v>
      </c>
      <c r="L32" s="1574"/>
      <c r="M32" s="1575">
        <f>SUM(M30:M31)</f>
        <v>801695</v>
      </c>
      <c r="N32" s="1574"/>
      <c r="O32" s="1576">
        <f>SUM(I32:N32)</f>
        <v>817405</v>
      </c>
      <c r="P32" s="1567"/>
      <c r="Q32" s="348"/>
    </row>
    <row r="33" spans="1:261" s="272" customFormat="1" ht="22.5" customHeight="1" x14ac:dyDescent="0.35">
      <c r="A33" s="1423">
        <v>22</v>
      </c>
      <c r="B33" s="1557"/>
      <c r="C33" s="1558">
        <v>5</v>
      </c>
      <c r="D33" s="1559" t="s">
        <v>712</v>
      </c>
      <c r="E33" s="1560"/>
      <c r="F33" s="1560"/>
      <c r="G33" s="1562"/>
      <c r="H33" s="1563" t="s">
        <v>24</v>
      </c>
      <c r="I33" s="1586"/>
      <c r="J33" s="1587"/>
      <c r="K33" s="1587"/>
      <c r="L33" s="1587"/>
      <c r="M33" s="1587"/>
      <c r="N33" s="1587"/>
      <c r="O33" s="1644"/>
      <c r="P33" s="1567"/>
      <c r="Q33" s="148"/>
      <c r="R33" s="148"/>
      <c r="S33" s="148"/>
      <c r="T33" s="148"/>
      <c r="U33" s="148"/>
      <c r="V33" s="148"/>
      <c r="W33" s="148"/>
      <c r="X33" s="148"/>
      <c r="Y33" s="148"/>
      <c r="Z33" s="148"/>
      <c r="AA33" s="148"/>
      <c r="AB33" s="148"/>
      <c r="AC33" s="148"/>
      <c r="AD33" s="148"/>
      <c r="AE33" s="148"/>
      <c r="AF33" s="148"/>
      <c r="AG33" s="148"/>
      <c r="AH33" s="148"/>
      <c r="AI33" s="148"/>
      <c r="AJ33" s="148"/>
      <c r="AK33" s="148"/>
      <c r="AL33" s="148"/>
      <c r="AM33" s="148"/>
      <c r="AN33" s="148"/>
      <c r="AO33" s="148"/>
      <c r="AP33" s="148"/>
      <c r="AQ33" s="148"/>
      <c r="AR33" s="148"/>
      <c r="AS33" s="148"/>
      <c r="AT33" s="148"/>
      <c r="AU33" s="148"/>
      <c r="AV33" s="148"/>
      <c r="AW33" s="148"/>
      <c r="AX33" s="148"/>
      <c r="AY33" s="148"/>
      <c r="AZ33" s="148"/>
      <c r="BA33" s="148"/>
      <c r="BB33" s="148"/>
      <c r="BC33" s="148"/>
      <c r="BD33" s="148"/>
      <c r="BE33" s="148"/>
      <c r="BF33" s="148"/>
      <c r="BG33" s="148"/>
      <c r="BH33" s="148"/>
      <c r="BI33" s="148"/>
      <c r="BJ33" s="148"/>
      <c r="BK33" s="148"/>
      <c r="BL33" s="148"/>
      <c r="BM33" s="148"/>
      <c r="BN33" s="148"/>
      <c r="BO33" s="148"/>
      <c r="BP33" s="148"/>
      <c r="BQ33" s="148"/>
      <c r="BR33" s="148"/>
      <c r="BS33" s="148"/>
      <c r="BT33" s="148"/>
      <c r="BU33" s="148"/>
      <c r="BV33" s="148"/>
      <c r="BW33" s="148"/>
      <c r="BX33" s="148"/>
      <c r="BY33" s="148"/>
      <c r="BZ33" s="148"/>
      <c r="CA33" s="148"/>
      <c r="CB33" s="148"/>
      <c r="CC33" s="148"/>
      <c r="CD33" s="148"/>
      <c r="CE33" s="148"/>
      <c r="CF33" s="148"/>
      <c r="CG33" s="148"/>
      <c r="CH33" s="148"/>
      <c r="CI33" s="148"/>
      <c r="CJ33" s="148"/>
      <c r="CK33" s="148"/>
      <c r="CL33" s="148"/>
      <c r="CM33" s="148"/>
      <c r="CN33" s="148"/>
      <c r="CO33" s="148"/>
      <c r="CP33" s="148"/>
      <c r="CQ33" s="148"/>
      <c r="CR33" s="148"/>
      <c r="CS33" s="148"/>
      <c r="CT33" s="148"/>
      <c r="CU33" s="148"/>
      <c r="CV33" s="148"/>
      <c r="CW33" s="148"/>
      <c r="CX33" s="148"/>
      <c r="CY33" s="148"/>
      <c r="CZ33" s="148"/>
      <c r="DA33" s="148"/>
      <c r="DB33" s="148"/>
      <c r="DC33" s="148"/>
      <c r="DD33" s="148"/>
      <c r="DE33" s="148"/>
      <c r="DF33" s="148"/>
      <c r="DG33" s="148"/>
      <c r="DH33" s="148"/>
      <c r="DI33" s="148"/>
      <c r="DJ33" s="148"/>
      <c r="DK33" s="148"/>
      <c r="DL33" s="148"/>
      <c r="DM33" s="148"/>
      <c r="DN33" s="148"/>
      <c r="DO33" s="148"/>
      <c r="DP33" s="148"/>
      <c r="DQ33" s="148"/>
      <c r="DR33" s="148"/>
      <c r="DS33" s="148"/>
      <c r="DT33" s="148"/>
      <c r="DU33" s="148"/>
      <c r="DV33" s="148"/>
      <c r="DW33" s="148"/>
      <c r="DX33" s="148"/>
      <c r="DY33" s="148"/>
      <c r="DZ33" s="148"/>
      <c r="EA33" s="148"/>
      <c r="EB33" s="148"/>
      <c r="EC33" s="148"/>
      <c r="ED33" s="148"/>
      <c r="EE33" s="148"/>
      <c r="EF33" s="148"/>
      <c r="EG33" s="148"/>
      <c r="EH33" s="148"/>
      <c r="EI33" s="148"/>
      <c r="EJ33" s="148"/>
      <c r="EK33" s="148"/>
      <c r="EL33" s="148"/>
      <c r="EM33" s="148"/>
      <c r="EN33" s="148"/>
      <c r="EO33" s="148"/>
      <c r="EP33" s="148"/>
      <c r="EQ33" s="148"/>
      <c r="ER33" s="148"/>
      <c r="ES33" s="148"/>
      <c r="ET33" s="148"/>
      <c r="EU33" s="148"/>
      <c r="EV33" s="148"/>
      <c r="EW33" s="148"/>
      <c r="EX33" s="148"/>
      <c r="EY33" s="148"/>
      <c r="EZ33" s="148"/>
      <c r="FA33" s="148"/>
      <c r="FB33" s="148"/>
      <c r="FC33" s="148"/>
      <c r="FD33" s="148"/>
      <c r="FE33" s="148"/>
      <c r="FF33" s="148"/>
      <c r="FG33" s="148"/>
      <c r="FH33" s="148"/>
      <c r="FI33" s="148"/>
      <c r="FJ33" s="148"/>
      <c r="FK33" s="148"/>
      <c r="FL33" s="148"/>
      <c r="FM33" s="148"/>
      <c r="FN33" s="148"/>
      <c r="FO33" s="148"/>
      <c r="FP33" s="148"/>
      <c r="FQ33" s="148"/>
      <c r="FR33" s="148"/>
      <c r="FS33" s="148"/>
      <c r="FT33" s="148"/>
      <c r="FU33" s="148"/>
      <c r="FV33" s="148"/>
      <c r="FW33" s="148"/>
      <c r="FX33" s="148"/>
      <c r="FY33" s="148"/>
      <c r="FZ33" s="148"/>
      <c r="GA33" s="148"/>
      <c r="GB33" s="148"/>
      <c r="GC33" s="148"/>
      <c r="GD33" s="148"/>
      <c r="GE33" s="148"/>
      <c r="GF33" s="148"/>
      <c r="GG33" s="148"/>
      <c r="GH33" s="148"/>
      <c r="GI33" s="148"/>
      <c r="GJ33" s="148"/>
      <c r="GK33" s="148"/>
      <c r="GL33" s="148"/>
      <c r="GM33" s="148"/>
      <c r="GN33" s="148"/>
      <c r="GO33" s="148"/>
      <c r="GP33" s="148"/>
      <c r="GQ33" s="148"/>
      <c r="GR33" s="148"/>
      <c r="GS33" s="148"/>
      <c r="GT33" s="148"/>
      <c r="GU33" s="148"/>
      <c r="GV33" s="148"/>
      <c r="GW33" s="148"/>
      <c r="GX33" s="148"/>
      <c r="GY33" s="148"/>
      <c r="GZ33" s="148"/>
      <c r="HA33" s="148"/>
      <c r="HB33" s="148"/>
      <c r="HC33" s="148"/>
      <c r="HD33" s="148"/>
      <c r="HE33" s="148"/>
      <c r="HF33" s="148"/>
      <c r="HG33" s="148"/>
      <c r="HH33" s="148"/>
      <c r="HI33" s="148"/>
      <c r="HJ33" s="148"/>
      <c r="HK33" s="148"/>
      <c r="HL33" s="148"/>
      <c r="HM33" s="148"/>
      <c r="HN33" s="148"/>
      <c r="HO33" s="148"/>
      <c r="HP33" s="148"/>
      <c r="HQ33" s="148"/>
      <c r="HR33" s="148"/>
      <c r="HS33" s="148"/>
      <c r="HT33" s="148"/>
      <c r="HU33" s="148"/>
      <c r="HV33" s="148"/>
      <c r="HW33" s="148"/>
      <c r="HX33" s="148"/>
      <c r="HY33" s="148"/>
      <c r="HZ33" s="148"/>
      <c r="IA33" s="148"/>
      <c r="IB33" s="148"/>
      <c r="IC33" s="148"/>
      <c r="ID33" s="148"/>
      <c r="IE33" s="148"/>
      <c r="IF33" s="148"/>
      <c r="IG33" s="148"/>
      <c r="IH33" s="148"/>
      <c r="II33" s="148"/>
      <c r="IJ33" s="148"/>
      <c r="IK33" s="148"/>
      <c r="IL33" s="148"/>
      <c r="IM33" s="148"/>
      <c r="IN33" s="148"/>
      <c r="IO33" s="148"/>
      <c r="IP33" s="148"/>
      <c r="IQ33" s="148"/>
      <c r="IR33" s="148"/>
      <c r="IS33" s="148"/>
      <c r="IT33" s="148"/>
      <c r="IU33" s="148"/>
      <c r="IV33" s="148"/>
      <c r="IW33" s="148"/>
      <c r="IX33" s="148"/>
      <c r="IY33" s="148"/>
      <c r="IZ33" s="148"/>
      <c r="JA33" s="148"/>
    </row>
    <row r="34" spans="1:261" ht="18" customHeight="1" x14ac:dyDescent="0.35">
      <c r="A34" s="1423">
        <v>23</v>
      </c>
      <c r="B34" s="1589"/>
      <c r="C34" s="1558"/>
      <c r="D34" s="1585" t="s">
        <v>311</v>
      </c>
      <c r="E34" s="1560">
        <f>F34+G34+O37+P34</f>
        <v>76282</v>
      </c>
      <c r="F34" s="1560">
        <v>10737</v>
      </c>
      <c r="G34" s="1562">
        <v>25052</v>
      </c>
      <c r="H34" s="1563"/>
      <c r="I34" s="1586"/>
      <c r="J34" s="1587"/>
      <c r="K34" s="1587"/>
      <c r="L34" s="1587"/>
      <c r="M34" s="1587"/>
      <c r="N34" s="1587">
        <v>40493</v>
      </c>
      <c r="O34" s="1566">
        <f>SUM(I34:N34)</f>
        <v>40493</v>
      </c>
      <c r="P34" s="1567"/>
    </row>
    <row r="35" spans="1:261" ht="18" customHeight="1" x14ac:dyDescent="0.35">
      <c r="A35" s="1423">
        <v>24</v>
      </c>
      <c r="B35" s="1589"/>
      <c r="C35" s="1558"/>
      <c r="D35" s="1163" t="s">
        <v>1064</v>
      </c>
      <c r="E35" s="1560"/>
      <c r="F35" s="1560"/>
      <c r="G35" s="1562"/>
      <c r="H35" s="1563"/>
      <c r="I35" s="1586"/>
      <c r="J35" s="1587"/>
      <c r="K35" s="1587"/>
      <c r="L35" s="1587"/>
      <c r="M35" s="1587"/>
      <c r="N35" s="1645">
        <v>40493</v>
      </c>
      <c r="O35" s="1576">
        <f>SUM(I35:N35)</f>
        <v>40493</v>
      </c>
      <c r="P35" s="1567"/>
    </row>
    <row r="36" spans="1:261" ht="18" customHeight="1" x14ac:dyDescent="0.35">
      <c r="A36" s="1423">
        <v>25</v>
      </c>
      <c r="B36" s="1589"/>
      <c r="C36" s="1558"/>
      <c r="D36" s="1174" t="s">
        <v>999</v>
      </c>
      <c r="E36" s="1560"/>
      <c r="F36" s="1560"/>
      <c r="G36" s="1562"/>
      <c r="H36" s="1563"/>
      <c r="I36" s="1590"/>
      <c r="J36" s="1560"/>
      <c r="K36" s="1560"/>
      <c r="L36" s="1560"/>
      <c r="M36" s="1560"/>
      <c r="N36" s="1560"/>
      <c r="O36" s="1576">
        <f>SUM(I36:N36)</f>
        <v>0</v>
      </c>
      <c r="P36" s="1567"/>
    </row>
    <row r="37" spans="1:261" ht="18" customHeight="1" x14ac:dyDescent="0.35">
      <c r="A37" s="1423">
        <v>26</v>
      </c>
      <c r="B37" s="1589"/>
      <c r="C37" s="1558"/>
      <c r="D37" s="1163" t="s">
        <v>1116</v>
      </c>
      <c r="E37" s="1560"/>
      <c r="F37" s="1560"/>
      <c r="G37" s="1562"/>
      <c r="H37" s="1563"/>
      <c r="I37" s="1590"/>
      <c r="J37" s="1560"/>
      <c r="K37" s="1560"/>
      <c r="L37" s="1560"/>
      <c r="M37" s="1560"/>
      <c r="N37" s="1645">
        <f>SUM(N35:N36)</f>
        <v>40493</v>
      </c>
      <c r="O37" s="1576">
        <f>SUM(I37:N37)</f>
        <v>40493</v>
      </c>
      <c r="P37" s="1567"/>
    </row>
    <row r="38" spans="1:261" s="272" customFormat="1" ht="22.5" customHeight="1" x14ac:dyDescent="0.35">
      <c r="A38" s="1423">
        <v>27</v>
      </c>
      <c r="B38" s="1557"/>
      <c r="C38" s="1558">
        <v>6</v>
      </c>
      <c r="D38" s="150" t="s">
        <v>1098</v>
      </c>
      <c r="E38" s="1560"/>
      <c r="F38" s="1561"/>
      <c r="G38" s="1562"/>
      <c r="H38" s="1563" t="s">
        <v>24</v>
      </c>
      <c r="I38" s="1564"/>
      <c r="J38" s="1565"/>
      <c r="K38" s="1565"/>
      <c r="L38" s="1565"/>
      <c r="M38" s="1565"/>
      <c r="N38" s="1565"/>
      <c r="O38" s="1576"/>
      <c r="P38" s="1567"/>
      <c r="Q38" s="148"/>
      <c r="R38" s="148"/>
      <c r="S38" s="148"/>
      <c r="T38" s="148"/>
      <c r="U38" s="148"/>
      <c r="V38" s="148"/>
      <c r="W38" s="148"/>
      <c r="X38" s="148"/>
      <c r="Y38" s="148"/>
      <c r="Z38" s="148"/>
      <c r="AA38" s="148"/>
      <c r="AB38" s="148"/>
      <c r="AC38" s="148"/>
      <c r="AD38" s="148"/>
      <c r="AE38" s="148"/>
      <c r="AF38" s="148"/>
      <c r="AG38" s="148"/>
      <c r="AH38" s="148"/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  <c r="BH38" s="148"/>
      <c r="BI38" s="148"/>
      <c r="BJ38" s="148"/>
      <c r="BK38" s="148"/>
      <c r="BL38" s="148"/>
      <c r="BM38" s="148"/>
      <c r="BN38" s="148"/>
      <c r="BO38" s="148"/>
      <c r="BP38" s="148"/>
      <c r="BQ38" s="148"/>
      <c r="BR38" s="148"/>
      <c r="BS38" s="148"/>
      <c r="BT38" s="148"/>
      <c r="BU38" s="148"/>
      <c r="BV38" s="148"/>
      <c r="BW38" s="148"/>
      <c r="BX38" s="148"/>
      <c r="BY38" s="148"/>
      <c r="BZ38" s="148"/>
      <c r="CA38" s="148"/>
      <c r="CB38" s="148"/>
      <c r="CC38" s="148"/>
      <c r="CD38" s="148"/>
      <c r="CE38" s="148"/>
      <c r="CF38" s="148"/>
      <c r="CG38" s="148"/>
      <c r="CH38" s="148"/>
      <c r="CI38" s="148"/>
      <c r="CJ38" s="148"/>
      <c r="CK38" s="148"/>
      <c r="CL38" s="148"/>
      <c r="CM38" s="148"/>
      <c r="CN38" s="148"/>
      <c r="CO38" s="148"/>
      <c r="CP38" s="148"/>
      <c r="CQ38" s="148"/>
      <c r="CR38" s="148"/>
      <c r="CS38" s="148"/>
      <c r="CT38" s="148"/>
      <c r="CU38" s="148"/>
      <c r="CV38" s="148"/>
      <c r="CW38" s="148"/>
      <c r="CX38" s="148"/>
      <c r="CY38" s="148"/>
      <c r="CZ38" s="148"/>
      <c r="DA38" s="148"/>
      <c r="DB38" s="148"/>
      <c r="DC38" s="148"/>
      <c r="DD38" s="148"/>
      <c r="DE38" s="148"/>
      <c r="DF38" s="148"/>
      <c r="DG38" s="148"/>
      <c r="DH38" s="148"/>
      <c r="DI38" s="148"/>
      <c r="DJ38" s="148"/>
      <c r="DK38" s="148"/>
      <c r="DL38" s="148"/>
      <c r="DM38" s="148"/>
      <c r="DN38" s="148"/>
      <c r="DO38" s="148"/>
      <c r="DP38" s="148"/>
      <c r="DQ38" s="148"/>
      <c r="DR38" s="148"/>
      <c r="DS38" s="148"/>
      <c r="DT38" s="148"/>
      <c r="DU38" s="148"/>
      <c r="DV38" s="148"/>
      <c r="DW38" s="148"/>
      <c r="DX38" s="148"/>
      <c r="DY38" s="148"/>
      <c r="DZ38" s="148"/>
      <c r="EA38" s="148"/>
      <c r="EB38" s="148"/>
      <c r="EC38" s="148"/>
      <c r="ED38" s="148"/>
      <c r="EE38" s="148"/>
      <c r="EF38" s="148"/>
      <c r="EG38" s="148"/>
      <c r="EH38" s="148"/>
      <c r="EI38" s="148"/>
      <c r="EJ38" s="148"/>
      <c r="EK38" s="148"/>
      <c r="EL38" s="148"/>
      <c r="EM38" s="148"/>
      <c r="EN38" s="148"/>
      <c r="EO38" s="148"/>
      <c r="EP38" s="148"/>
      <c r="EQ38" s="148"/>
      <c r="ER38" s="148"/>
      <c r="ES38" s="148"/>
      <c r="ET38" s="148"/>
      <c r="EU38" s="148"/>
      <c r="EV38" s="148"/>
      <c r="EW38" s="148"/>
      <c r="EX38" s="148"/>
      <c r="EY38" s="148"/>
      <c r="EZ38" s="148"/>
      <c r="FA38" s="148"/>
      <c r="FB38" s="148"/>
      <c r="FC38" s="148"/>
      <c r="FD38" s="148"/>
      <c r="FE38" s="148"/>
      <c r="FF38" s="148"/>
      <c r="FG38" s="148"/>
      <c r="FH38" s="148"/>
      <c r="FI38" s="148"/>
      <c r="FJ38" s="148"/>
      <c r="FK38" s="148"/>
      <c r="FL38" s="148"/>
      <c r="FM38" s="148"/>
      <c r="FN38" s="148"/>
      <c r="FO38" s="148"/>
      <c r="FP38" s="148"/>
      <c r="FQ38" s="148"/>
      <c r="FR38" s="148"/>
      <c r="FS38" s="148"/>
      <c r="FT38" s="148"/>
      <c r="FU38" s="148"/>
      <c r="FV38" s="148"/>
      <c r="FW38" s="148"/>
      <c r="FX38" s="148"/>
      <c r="FY38" s="148"/>
      <c r="FZ38" s="148"/>
      <c r="GA38" s="148"/>
      <c r="GB38" s="148"/>
      <c r="GC38" s="148"/>
      <c r="GD38" s="148"/>
      <c r="GE38" s="148"/>
      <c r="GF38" s="148"/>
      <c r="GG38" s="148"/>
      <c r="GH38" s="148"/>
      <c r="GI38" s="148"/>
      <c r="GJ38" s="148"/>
      <c r="GK38" s="148"/>
      <c r="GL38" s="148"/>
      <c r="GM38" s="148"/>
      <c r="GN38" s="148"/>
      <c r="GO38" s="148"/>
      <c r="GP38" s="148"/>
      <c r="GQ38" s="148"/>
      <c r="GR38" s="148"/>
      <c r="GS38" s="148"/>
      <c r="GT38" s="148"/>
      <c r="GU38" s="148"/>
      <c r="GV38" s="148"/>
      <c r="GW38" s="148"/>
      <c r="GX38" s="148"/>
      <c r="GY38" s="148"/>
      <c r="GZ38" s="148"/>
      <c r="HA38" s="148"/>
      <c r="HB38" s="148"/>
      <c r="HC38" s="148"/>
      <c r="HD38" s="148"/>
      <c r="HE38" s="148"/>
      <c r="HF38" s="148"/>
      <c r="HG38" s="148"/>
      <c r="HH38" s="148"/>
      <c r="HI38" s="148"/>
      <c r="HJ38" s="148"/>
      <c r="HK38" s="148"/>
      <c r="HL38" s="148"/>
      <c r="HM38" s="148"/>
      <c r="HN38" s="148"/>
      <c r="HO38" s="148"/>
      <c r="HP38" s="148"/>
      <c r="HQ38" s="148"/>
      <c r="HR38" s="148"/>
      <c r="HS38" s="148"/>
      <c r="HT38" s="148"/>
      <c r="HU38" s="148"/>
      <c r="HV38" s="148"/>
      <c r="HW38" s="148"/>
      <c r="HX38" s="148"/>
      <c r="HY38" s="148"/>
      <c r="HZ38" s="148"/>
      <c r="IA38" s="148"/>
      <c r="IB38" s="148"/>
      <c r="IC38" s="148"/>
      <c r="ID38" s="148"/>
      <c r="IE38" s="148"/>
      <c r="IF38" s="148"/>
      <c r="IG38" s="148"/>
      <c r="IH38" s="148"/>
      <c r="II38" s="148"/>
      <c r="IJ38" s="148"/>
      <c r="IK38" s="148"/>
      <c r="IL38" s="148"/>
      <c r="IM38" s="148"/>
      <c r="IN38" s="148"/>
      <c r="IO38" s="148"/>
      <c r="IP38" s="148"/>
      <c r="IQ38" s="148"/>
      <c r="IR38" s="148"/>
      <c r="IS38" s="148"/>
      <c r="IT38" s="148"/>
      <c r="IU38" s="148"/>
      <c r="IV38" s="148"/>
      <c r="IW38" s="148"/>
      <c r="IX38" s="148"/>
      <c r="IY38" s="148"/>
      <c r="IZ38" s="148"/>
      <c r="JA38" s="148"/>
    </row>
    <row r="39" spans="1:261" ht="18" customHeight="1" x14ac:dyDescent="0.35">
      <c r="A39" s="1423">
        <v>28</v>
      </c>
      <c r="B39" s="1589"/>
      <c r="C39" s="1558"/>
      <c r="D39" s="1585" t="s">
        <v>311</v>
      </c>
      <c r="E39" s="1560">
        <f>F39+G39+O42+P39</f>
        <v>250000</v>
      </c>
      <c r="F39" s="1561"/>
      <c r="G39" s="1562"/>
      <c r="H39" s="1563"/>
      <c r="I39" s="1564"/>
      <c r="J39" s="1565"/>
      <c r="K39" s="1565">
        <v>500</v>
      </c>
      <c r="L39" s="1565"/>
      <c r="M39" s="1565">
        <v>249500</v>
      </c>
      <c r="N39" s="1565"/>
      <c r="O39" s="1566">
        <f>SUM(I39:N39)</f>
        <v>250000</v>
      </c>
      <c r="P39" s="1567"/>
    </row>
    <row r="40" spans="1:261" ht="18" customHeight="1" x14ac:dyDescent="0.35">
      <c r="A40" s="1423">
        <v>29</v>
      </c>
      <c r="B40" s="1589"/>
      <c r="C40" s="1558"/>
      <c r="D40" s="1163" t="s">
        <v>1064</v>
      </c>
      <c r="E40" s="1560"/>
      <c r="F40" s="1561"/>
      <c r="G40" s="1562"/>
      <c r="H40" s="1563"/>
      <c r="I40" s="1564"/>
      <c r="J40" s="1565"/>
      <c r="K40" s="1575">
        <v>500</v>
      </c>
      <c r="L40" s="1575"/>
      <c r="M40" s="1575">
        <v>249500</v>
      </c>
      <c r="N40" s="1575"/>
      <c r="O40" s="1576">
        <f>SUM(I40:N40)</f>
        <v>250000</v>
      </c>
      <c r="P40" s="1567"/>
    </row>
    <row r="41" spans="1:261" ht="18" customHeight="1" x14ac:dyDescent="0.35">
      <c r="A41" s="1423">
        <v>30</v>
      </c>
      <c r="B41" s="1589"/>
      <c r="C41" s="1558"/>
      <c r="D41" s="1174" t="s">
        <v>999</v>
      </c>
      <c r="E41" s="1560"/>
      <c r="F41" s="1561"/>
      <c r="G41" s="1562"/>
      <c r="H41" s="1563"/>
      <c r="I41" s="1580"/>
      <c r="J41" s="1574"/>
      <c r="K41" s="1574"/>
      <c r="L41" s="1574"/>
      <c r="M41" s="1574"/>
      <c r="N41" s="1574"/>
      <c r="O41" s="1576">
        <f>SUM(I41:N41)</f>
        <v>0</v>
      </c>
      <c r="P41" s="1567"/>
    </row>
    <row r="42" spans="1:261" ht="18" customHeight="1" x14ac:dyDescent="0.35">
      <c r="A42" s="1423">
        <v>31</v>
      </c>
      <c r="B42" s="1589"/>
      <c r="C42" s="1558"/>
      <c r="D42" s="1163" t="s">
        <v>1116</v>
      </c>
      <c r="E42" s="1560"/>
      <c r="F42" s="1561"/>
      <c r="G42" s="1562"/>
      <c r="H42" s="1563"/>
      <c r="I42" s="1580"/>
      <c r="J42" s="1574"/>
      <c r="K42" s="1575">
        <f>SUM(K40:K41)</f>
        <v>500</v>
      </c>
      <c r="L42" s="1575"/>
      <c r="M42" s="1575">
        <f>SUM(M40:M41)</f>
        <v>249500</v>
      </c>
      <c r="N42" s="1574"/>
      <c r="O42" s="1576">
        <f>SUM(I42:N42)</f>
        <v>250000</v>
      </c>
      <c r="P42" s="1567"/>
    </row>
    <row r="43" spans="1:261" ht="22.5" customHeight="1" x14ac:dyDescent="0.35">
      <c r="A43" s="1423">
        <v>32</v>
      </c>
      <c r="B43" s="1589"/>
      <c r="C43" s="1558">
        <v>7</v>
      </c>
      <c r="D43" s="1646" t="s">
        <v>1221</v>
      </c>
      <c r="E43" s="1560"/>
      <c r="F43" s="1561"/>
      <c r="G43" s="1562"/>
      <c r="H43" s="1563" t="s">
        <v>24</v>
      </c>
      <c r="I43" s="1564"/>
      <c r="J43" s="1565"/>
      <c r="K43" s="1565"/>
      <c r="L43" s="1565"/>
      <c r="M43" s="1565"/>
      <c r="N43" s="1565"/>
      <c r="O43" s="1576"/>
      <c r="P43" s="1567"/>
    </row>
    <row r="44" spans="1:261" s="272" customFormat="1" ht="18" customHeight="1" x14ac:dyDescent="0.35">
      <c r="A44" s="1423">
        <v>33</v>
      </c>
      <c r="B44" s="1557"/>
      <c r="C44" s="1582"/>
      <c r="D44" s="1585" t="s">
        <v>311</v>
      </c>
      <c r="E44" s="1560">
        <f>F44+G44+O47+P44</f>
        <v>957296</v>
      </c>
      <c r="F44" s="1561"/>
      <c r="G44" s="1562">
        <v>820</v>
      </c>
      <c r="H44" s="1563"/>
      <c r="I44" s="1564"/>
      <c r="J44" s="1565"/>
      <c r="K44" s="1565"/>
      <c r="L44" s="1565"/>
      <c r="M44" s="1565">
        <v>360738</v>
      </c>
      <c r="N44" s="1565"/>
      <c r="O44" s="1566">
        <f>SUM(I44:N44)</f>
        <v>360738</v>
      </c>
      <c r="P44" s="1567">
        <f>611414-7838-603576</f>
        <v>0</v>
      </c>
      <c r="Q44" s="148"/>
      <c r="R44" s="148"/>
      <c r="S44" s="148"/>
      <c r="T44" s="148"/>
      <c r="U44" s="148"/>
      <c r="V44" s="148"/>
      <c r="W44" s="148"/>
      <c r="X44" s="148"/>
      <c r="Y44" s="148"/>
      <c r="Z44" s="148"/>
      <c r="AA44" s="148"/>
      <c r="AB44" s="148"/>
      <c r="AC44" s="148"/>
      <c r="AD44" s="148"/>
      <c r="AE44" s="148"/>
      <c r="AF44" s="148"/>
      <c r="AG44" s="148"/>
      <c r="AH44" s="148"/>
      <c r="AI44" s="148"/>
      <c r="AJ44" s="148"/>
      <c r="AK44" s="148"/>
      <c r="AL44" s="148"/>
      <c r="AM44" s="148"/>
      <c r="AN44" s="148"/>
      <c r="AO44" s="148"/>
      <c r="AP44" s="148"/>
      <c r="AQ44" s="148"/>
      <c r="AR44" s="148"/>
      <c r="AS44" s="148"/>
      <c r="AT44" s="148"/>
      <c r="AU44" s="148"/>
      <c r="AV44" s="148"/>
      <c r="AW44" s="148"/>
      <c r="AX44" s="148"/>
      <c r="AY44" s="148"/>
      <c r="AZ44" s="148"/>
      <c r="BA44" s="148"/>
      <c r="BB44" s="148"/>
      <c r="BC44" s="148"/>
      <c r="BD44" s="148"/>
      <c r="BE44" s="148"/>
      <c r="BF44" s="148"/>
      <c r="BG44" s="148"/>
      <c r="BH44" s="148"/>
      <c r="BI44" s="148"/>
      <c r="BJ44" s="148"/>
      <c r="BK44" s="148"/>
      <c r="BL44" s="148"/>
      <c r="BM44" s="148"/>
      <c r="BN44" s="148"/>
      <c r="BO44" s="148"/>
      <c r="BP44" s="148"/>
      <c r="BQ44" s="148"/>
      <c r="BR44" s="148"/>
      <c r="BS44" s="148"/>
      <c r="BT44" s="148"/>
      <c r="BU44" s="148"/>
      <c r="BV44" s="148"/>
      <c r="BW44" s="148"/>
      <c r="BX44" s="148"/>
      <c r="BY44" s="148"/>
      <c r="BZ44" s="148"/>
      <c r="CA44" s="148"/>
      <c r="CB44" s="148"/>
      <c r="CC44" s="148"/>
      <c r="CD44" s="148"/>
      <c r="CE44" s="148"/>
      <c r="CF44" s="148"/>
      <c r="CG44" s="148"/>
      <c r="CH44" s="148"/>
      <c r="CI44" s="148"/>
      <c r="CJ44" s="148"/>
      <c r="CK44" s="148"/>
      <c r="CL44" s="148"/>
      <c r="CM44" s="148"/>
      <c r="CN44" s="148"/>
      <c r="CO44" s="148"/>
      <c r="CP44" s="148"/>
      <c r="CQ44" s="148"/>
      <c r="CR44" s="148"/>
      <c r="CS44" s="148"/>
      <c r="CT44" s="148"/>
      <c r="CU44" s="148"/>
      <c r="CV44" s="148"/>
      <c r="CW44" s="148"/>
      <c r="CX44" s="148"/>
      <c r="CY44" s="148"/>
      <c r="CZ44" s="148"/>
      <c r="DA44" s="148"/>
      <c r="DB44" s="148"/>
      <c r="DC44" s="148"/>
      <c r="DD44" s="148"/>
      <c r="DE44" s="148"/>
      <c r="DF44" s="148"/>
      <c r="DG44" s="148"/>
      <c r="DH44" s="148"/>
      <c r="DI44" s="148"/>
      <c r="DJ44" s="148"/>
      <c r="DK44" s="148"/>
      <c r="DL44" s="148"/>
      <c r="DM44" s="148"/>
      <c r="DN44" s="148"/>
      <c r="DO44" s="148"/>
      <c r="DP44" s="148"/>
      <c r="DQ44" s="148"/>
      <c r="DR44" s="148"/>
      <c r="DS44" s="148"/>
      <c r="DT44" s="148"/>
      <c r="DU44" s="148"/>
      <c r="DV44" s="148"/>
      <c r="DW44" s="148"/>
      <c r="DX44" s="148"/>
      <c r="DY44" s="148"/>
      <c r="DZ44" s="148"/>
      <c r="EA44" s="148"/>
      <c r="EB44" s="148"/>
      <c r="EC44" s="148"/>
      <c r="ED44" s="148"/>
      <c r="EE44" s="148"/>
      <c r="EF44" s="148"/>
      <c r="EG44" s="148"/>
      <c r="EH44" s="148"/>
      <c r="EI44" s="148"/>
      <c r="EJ44" s="148"/>
      <c r="EK44" s="148"/>
      <c r="EL44" s="148"/>
      <c r="EM44" s="148"/>
      <c r="EN44" s="148"/>
      <c r="EO44" s="148"/>
      <c r="EP44" s="148"/>
      <c r="EQ44" s="148"/>
      <c r="ER44" s="148"/>
      <c r="ES44" s="148"/>
      <c r="ET44" s="148"/>
      <c r="EU44" s="148"/>
      <c r="EV44" s="148"/>
      <c r="EW44" s="148"/>
      <c r="EX44" s="148"/>
      <c r="EY44" s="148"/>
      <c r="EZ44" s="148"/>
      <c r="FA44" s="148"/>
      <c r="FB44" s="148"/>
      <c r="FC44" s="148"/>
      <c r="FD44" s="148"/>
      <c r="FE44" s="148"/>
      <c r="FF44" s="148"/>
      <c r="FG44" s="148"/>
      <c r="FH44" s="148"/>
      <c r="FI44" s="148"/>
      <c r="FJ44" s="148"/>
      <c r="FK44" s="148"/>
      <c r="FL44" s="148"/>
      <c r="FM44" s="148"/>
      <c r="FN44" s="148"/>
      <c r="FO44" s="148"/>
      <c r="FP44" s="148"/>
      <c r="FQ44" s="148"/>
      <c r="FR44" s="148"/>
      <c r="FS44" s="148"/>
      <c r="FT44" s="148"/>
      <c r="FU44" s="148"/>
      <c r="FV44" s="148"/>
      <c r="FW44" s="148"/>
      <c r="FX44" s="148"/>
      <c r="FY44" s="148"/>
      <c r="FZ44" s="148"/>
      <c r="GA44" s="148"/>
      <c r="GB44" s="148"/>
      <c r="GC44" s="148"/>
      <c r="GD44" s="148"/>
      <c r="GE44" s="148"/>
      <c r="GF44" s="148"/>
      <c r="GG44" s="148"/>
      <c r="GH44" s="148"/>
      <c r="GI44" s="148"/>
      <c r="GJ44" s="148"/>
      <c r="GK44" s="148"/>
      <c r="GL44" s="148"/>
      <c r="GM44" s="148"/>
      <c r="GN44" s="148"/>
      <c r="GO44" s="148"/>
      <c r="GP44" s="148"/>
      <c r="GQ44" s="148"/>
      <c r="GR44" s="148"/>
      <c r="GS44" s="148"/>
      <c r="GT44" s="148"/>
      <c r="GU44" s="148"/>
      <c r="GV44" s="148"/>
      <c r="GW44" s="148"/>
      <c r="GX44" s="148"/>
      <c r="GY44" s="148"/>
      <c r="GZ44" s="148"/>
      <c r="HA44" s="148"/>
      <c r="HB44" s="148"/>
      <c r="HC44" s="148"/>
      <c r="HD44" s="148"/>
      <c r="HE44" s="148"/>
      <c r="HF44" s="148"/>
      <c r="HG44" s="148"/>
      <c r="HH44" s="148"/>
      <c r="HI44" s="148"/>
      <c r="HJ44" s="148"/>
      <c r="HK44" s="148"/>
      <c r="HL44" s="148"/>
      <c r="HM44" s="148"/>
      <c r="HN44" s="148"/>
      <c r="HO44" s="148"/>
      <c r="HP44" s="148"/>
      <c r="HQ44" s="148"/>
      <c r="HR44" s="148"/>
      <c r="HS44" s="148"/>
      <c r="HT44" s="148"/>
      <c r="HU44" s="148"/>
      <c r="HV44" s="148"/>
      <c r="HW44" s="148"/>
      <c r="HX44" s="148"/>
      <c r="HY44" s="148"/>
      <c r="HZ44" s="148"/>
      <c r="IA44" s="148"/>
      <c r="IB44" s="148"/>
      <c r="IC44" s="148"/>
      <c r="ID44" s="148"/>
      <c r="IE44" s="148"/>
      <c r="IF44" s="148"/>
      <c r="IG44" s="148"/>
      <c r="IH44" s="148"/>
      <c r="II44" s="148"/>
      <c r="IJ44" s="148"/>
      <c r="IK44" s="148"/>
      <c r="IL44" s="148"/>
      <c r="IM44" s="148"/>
      <c r="IN44" s="148"/>
      <c r="IO44" s="148"/>
      <c r="IP44" s="148"/>
      <c r="IQ44" s="148"/>
      <c r="IR44" s="148"/>
      <c r="IS44" s="148"/>
      <c r="IT44" s="148"/>
      <c r="IU44" s="148"/>
      <c r="IV44" s="148"/>
      <c r="IW44" s="148"/>
      <c r="IX44" s="148"/>
      <c r="IY44" s="148"/>
      <c r="IZ44" s="148"/>
      <c r="JA44" s="148"/>
    </row>
    <row r="45" spans="1:261" s="272" customFormat="1" ht="18" customHeight="1" x14ac:dyDescent="0.35">
      <c r="A45" s="1423">
        <v>34</v>
      </c>
      <c r="B45" s="1557"/>
      <c r="C45" s="1582"/>
      <c r="D45" s="1163" t="s">
        <v>1064</v>
      </c>
      <c r="E45" s="1560"/>
      <c r="F45" s="1561"/>
      <c r="G45" s="1562"/>
      <c r="H45" s="1563"/>
      <c r="I45" s="1564"/>
      <c r="J45" s="1565"/>
      <c r="K45" s="1565"/>
      <c r="L45" s="1565"/>
      <c r="M45" s="1575">
        <v>352900</v>
      </c>
      <c r="N45" s="1574"/>
      <c r="O45" s="1576">
        <f>SUM(I45:N45)</f>
        <v>352900</v>
      </c>
      <c r="P45" s="1567"/>
      <c r="Q45" s="148"/>
      <c r="R45" s="148"/>
      <c r="S45" s="148"/>
      <c r="T45" s="148"/>
      <c r="U45" s="148"/>
      <c r="V45" s="148"/>
      <c r="W45" s="148"/>
      <c r="X45" s="148"/>
      <c r="Y45" s="148"/>
      <c r="Z45" s="148"/>
      <c r="AA45" s="148"/>
      <c r="AB45" s="148"/>
      <c r="AC45" s="148"/>
      <c r="AD45" s="148"/>
      <c r="AE45" s="148"/>
      <c r="AF45" s="148"/>
      <c r="AG45" s="148"/>
      <c r="AH45" s="148"/>
      <c r="AI45" s="148"/>
      <c r="AJ45" s="148"/>
      <c r="AK45" s="148"/>
      <c r="AL45" s="148"/>
      <c r="AM45" s="148"/>
      <c r="AN45" s="148"/>
      <c r="AO45" s="148"/>
      <c r="AP45" s="148"/>
      <c r="AQ45" s="148"/>
      <c r="AR45" s="148"/>
      <c r="AS45" s="148"/>
      <c r="AT45" s="148"/>
      <c r="AU45" s="148"/>
      <c r="AV45" s="148"/>
      <c r="AW45" s="148"/>
      <c r="AX45" s="148"/>
      <c r="AY45" s="148"/>
      <c r="AZ45" s="148"/>
      <c r="BA45" s="148"/>
      <c r="BB45" s="148"/>
      <c r="BC45" s="148"/>
      <c r="BD45" s="148"/>
      <c r="BE45" s="148"/>
      <c r="BF45" s="148"/>
      <c r="BG45" s="148"/>
      <c r="BH45" s="148"/>
      <c r="BI45" s="148"/>
      <c r="BJ45" s="148"/>
      <c r="BK45" s="148"/>
      <c r="BL45" s="148"/>
      <c r="BM45" s="148"/>
      <c r="BN45" s="148"/>
      <c r="BO45" s="148"/>
      <c r="BP45" s="148"/>
      <c r="BQ45" s="148"/>
      <c r="BR45" s="148"/>
      <c r="BS45" s="148"/>
      <c r="BT45" s="148"/>
      <c r="BU45" s="148"/>
      <c r="BV45" s="148"/>
      <c r="BW45" s="148"/>
      <c r="BX45" s="148"/>
      <c r="BY45" s="148"/>
      <c r="BZ45" s="148"/>
      <c r="CA45" s="148"/>
      <c r="CB45" s="148"/>
      <c r="CC45" s="148"/>
      <c r="CD45" s="148"/>
      <c r="CE45" s="148"/>
      <c r="CF45" s="148"/>
      <c r="CG45" s="148"/>
      <c r="CH45" s="148"/>
      <c r="CI45" s="148"/>
      <c r="CJ45" s="148"/>
      <c r="CK45" s="148"/>
      <c r="CL45" s="148"/>
      <c r="CM45" s="148"/>
      <c r="CN45" s="148"/>
      <c r="CO45" s="148"/>
      <c r="CP45" s="148"/>
      <c r="CQ45" s="148"/>
      <c r="CR45" s="148"/>
      <c r="CS45" s="148"/>
      <c r="CT45" s="148"/>
      <c r="CU45" s="148"/>
      <c r="CV45" s="148"/>
      <c r="CW45" s="148"/>
      <c r="CX45" s="148"/>
      <c r="CY45" s="148"/>
      <c r="CZ45" s="148"/>
      <c r="DA45" s="148"/>
      <c r="DB45" s="148"/>
      <c r="DC45" s="148"/>
      <c r="DD45" s="148"/>
      <c r="DE45" s="148"/>
      <c r="DF45" s="148"/>
      <c r="DG45" s="148"/>
      <c r="DH45" s="148"/>
      <c r="DI45" s="148"/>
      <c r="DJ45" s="148"/>
      <c r="DK45" s="148"/>
      <c r="DL45" s="148"/>
      <c r="DM45" s="148"/>
      <c r="DN45" s="148"/>
      <c r="DO45" s="148"/>
      <c r="DP45" s="148"/>
      <c r="DQ45" s="148"/>
      <c r="DR45" s="148"/>
      <c r="DS45" s="148"/>
      <c r="DT45" s="148"/>
      <c r="DU45" s="148"/>
      <c r="DV45" s="148"/>
      <c r="DW45" s="148"/>
      <c r="DX45" s="148"/>
      <c r="DY45" s="148"/>
      <c r="DZ45" s="148"/>
      <c r="EA45" s="148"/>
      <c r="EB45" s="148"/>
      <c r="EC45" s="148"/>
      <c r="ED45" s="148"/>
      <c r="EE45" s="148"/>
      <c r="EF45" s="148"/>
      <c r="EG45" s="148"/>
      <c r="EH45" s="148"/>
      <c r="EI45" s="148"/>
      <c r="EJ45" s="148"/>
      <c r="EK45" s="148"/>
      <c r="EL45" s="148"/>
      <c r="EM45" s="148"/>
      <c r="EN45" s="148"/>
      <c r="EO45" s="148"/>
      <c r="EP45" s="148"/>
      <c r="EQ45" s="148"/>
      <c r="ER45" s="148"/>
      <c r="ES45" s="148"/>
      <c r="ET45" s="148"/>
      <c r="EU45" s="148"/>
      <c r="EV45" s="148"/>
      <c r="EW45" s="148"/>
      <c r="EX45" s="148"/>
      <c r="EY45" s="148"/>
      <c r="EZ45" s="148"/>
      <c r="FA45" s="148"/>
      <c r="FB45" s="148"/>
      <c r="FC45" s="148"/>
      <c r="FD45" s="148"/>
      <c r="FE45" s="148"/>
      <c r="FF45" s="148"/>
      <c r="FG45" s="148"/>
      <c r="FH45" s="148"/>
      <c r="FI45" s="148"/>
      <c r="FJ45" s="148"/>
      <c r="FK45" s="148"/>
      <c r="FL45" s="148"/>
      <c r="FM45" s="148"/>
      <c r="FN45" s="148"/>
      <c r="FO45" s="148"/>
      <c r="FP45" s="148"/>
      <c r="FQ45" s="148"/>
      <c r="FR45" s="148"/>
      <c r="FS45" s="148"/>
      <c r="FT45" s="148"/>
      <c r="FU45" s="148"/>
      <c r="FV45" s="148"/>
      <c r="FW45" s="148"/>
      <c r="FX45" s="148"/>
      <c r="FY45" s="148"/>
      <c r="FZ45" s="148"/>
      <c r="GA45" s="148"/>
      <c r="GB45" s="148"/>
      <c r="GC45" s="148"/>
      <c r="GD45" s="148"/>
      <c r="GE45" s="148"/>
      <c r="GF45" s="148"/>
      <c r="GG45" s="148"/>
      <c r="GH45" s="148"/>
      <c r="GI45" s="148"/>
      <c r="GJ45" s="148"/>
      <c r="GK45" s="148"/>
      <c r="GL45" s="148"/>
      <c r="GM45" s="148"/>
      <c r="GN45" s="148"/>
      <c r="GO45" s="148"/>
      <c r="GP45" s="148"/>
      <c r="GQ45" s="148"/>
      <c r="GR45" s="148"/>
      <c r="GS45" s="148"/>
      <c r="GT45" s="148"/>
      <c r="GU45" s="148"/>
      <c r="GV45" s="148"/>
      <c r="GW45" s="148"/>
      <c r="GX45" s="148"/>
      <c r="GY45" s="148"/>
      <c r="GZ45" s="148"/>
      <c r="HA45" s="148"/>
      <c r="HB45" s="148"/>
      <c r="HC45" s="148"/>
      <c r="HD45" s="148"/>
      <c r="HE45" s="148"/>
      <c r="HF45" s="148"/>
      <c r="HG45" s="148"/>
      <c r="HH45" s="148"/>
      <c r="HI45" s="148"/>
      <c r="HJ45" s="148"/>
      <c r="HK45" s="148"/>
      <c r="HL45" s="148"/>
      <c r="HM45" s="148"/>
      <c r="HN45" s="148"/>
      <c r="HO45" s="148"/>
      <c r="HP45" s="148"/>
      <c r="HQ45" s="148"/>
      <c r="HR45" s="148"/>
      <c r="HS45" s="148"/>
      <c r="HT45" s="148"/>
      <c r="HU45" s="148"/>
      <c r="HV45" s="148"/>
      <c r="HW45" s="148"/>
      <c r="HX45" s="148"/>
      <c r="HY45" s="148"/>
      <c r="HZ45" s="148"/>
      <c r="IA45" s="148"/>
      <c r="IB45" s="148"/>
      <c r="IC45" s="148"/>
      <c r="ID45" s="148"/>
      <c r="IE45" s="148"/>
      <c r="IF45" s="148"/>
      <c r="IG45" s="148"/>
      <c r="IH45" s="148"/>
      <c r="II45" s="148"/>
      <c r="IJ45" s="148"/>
      <c r="IK45" s="148"/>
      <c r="IL45" s="148"/>
      <c r="IM45" s="148"/>
      <c r="IN45" s="148"/>
      <c r="IO45" s="148"/>
      <c r="IP45" s="148"/>
      <c r="IQ45" s="148"/>
      <c r="IR45" s="148"/>
      <c r="IS45" s="148"/>
      <c r="IT45" s="148"/>
      <c r="IU45" s="148"/>
      <c r="IV45" s="148"/>
      <c r="IW45" s="148"/>
      <c r="IX45" s="148"/>
      <c r="IY45" s="148"/>
      <c r="IZ45" s="148"/>
      <c r="JA45" s="148"/>
    </row>
    <row r="46" spans="1:261" s="272" customFormat="1" ht="18" customHeight="1" x14ac:dyDescent="0.35">
      <c r="A46" s="1423">
        <v>35</v>
      </c>
      <c r="B46" s="1557"/>
      <c r="C46" s="1582"/>
      <c r="D46" s="1174" t="s">
        <v>1222</v>
      </c>
      <c r="E46" s="1560"/>
      <c r="F46" s="1561"/>
      <c r="G46" s="1562"/>
      <c r="H46" s="1563"/>
      <c r="I46" s="1580"/>
      <c r="J46" s="1574"/>
      <c r="K46" s="1581">
        <f>978-302</f>
        <v>676</v>
      </c>
      <c r="L46" s="1581"/>
      <c r="M46" s="1581">
        <f>602598+302</f>
        <v>602900</v>
      </c>
      <c r="N46" s="1574"/>
      <c r="O46" s="1576">
        <f>SUM(I46:N46)</f>
        <v>603576</v>
      </c>
      <c r="P46" s="1567"/>
      <c r="Q46" s="148"/>
      <c r="R46" s="148"/>
      <c r="S46" s="148"/>
      <c r="T46" s="148"/>
      <c r="U46" s="148"/>
      <c r="V46" s="148"/>
      <c r="W46" s="148"/>
      <c r="X46" s="148"/>
      <c r="Y46" s="148"/>
      <c r="Z46" s="148"/>
      <c r="AA46" s="148"/>
      <c r="AB46" s="148"/>
      <c r="AC46" s="148"/>
      <c r="AD46" s="148"/>
      <c r="AE46" s="148"/>
      <c r="AF46" s="148"/>
      <c r="AG46" s="148"/>
      <c r="AH46" s="148"/>
      <c r="AI46" s="148"/>
      <c r="AJ46" s="148"/>
      <c r="AK46" s="148"/>
      <c r="AL46" s="148"/>
      <c r="AM46" s="148"/>
      <c r="AN46" s="148"/>
      <c r="AO46" s="148"/>
      <c r="AP46" s="148"/>
      <c r="AQ46" s="148"/>
      <c r="AR46" s="148"/>
      <c r="AS46" s="148"/>
      <c r="AT46" s="148"/>
      <c r="AU46" s="148"/>
      <c r="AV46" s="148"/>
      <c r="AW46" s="148"/>
      <c r="AX46" s="148"/>
      <c r="AY46" s="148"/>
      <c r="AZ46" s="148"/>
      <c r="BA46" s="148"/>
      <c r="BB46" s="148"/>
      <c r="BC46" s="148"/>
      <c r="BD46" s="148"/>
      <c r="BE46" s="148"/>
      <c r="BF46" s="148"/>
      <c r="BG46" s="148"/>
      <c r="BH46" s="148"/>
      <c r="BI46" s="148"/>
      <c r="BJ46" s="148"/>
      <c r="BK46" s="148"/>
      <c r="BL46" s="148"/>
      <c r="BM46" s="148"/>
      <c r="BN46" s="148"/>
      <c r="BO46" s="148"/>
      <c r="BP46" s="148"/>
      <c r="BQ46" s="148"/>
      <c r="BR46" s="148"/>
      <c r="BS46" s="148"/>
      <c r="BT46" s="148"/>
      <c r="BU46" s="148"/>
      <c r="BV46" s="148"/>
      <c r="BW46" s="148"/>
      <c r="BX46" s="148"/>
      <c r="BY46" s="148"/>
      <c r="BZ46" s="148"/>
      <c r="CA46" s="148"/>
      <c r="CB46" s="148"/>
      <c r="CC46" s="148"/>
      <c r="CD46" s="148"/>
      <c r="CE46" s="148"/>
      <c r="CF46" s="148"/>
      <c r="CG46" s="148"/>
      <c r="CH46" s="148"/>
      <c r="CI46" s="148"/>
      <c r="CJ46" s="148"/>
      <c r="CK46" s="148"/>
      <c r="CL46" s="148"/>
      <c r="CM46" s="148"/>
      <c r="CN46" s="148"/>
      <c r="CO46" s="148"/>
      <c r="CP46" s="148"/>
      <c r="CQ46" s="148"/>
      <c r="CR46" s="148"/>
      <c r="CS46" s="148"/>
      <c r="CT46" s="148"/>
      <c r="CU46" s="148"/>
      <c r="CV46" s="148"/>
      <c r="CW46" s="148"/>
      <c r="CX46" s="148"/>
      <c r="CY46" s="148"/>
      <c r="CZ46" s="148"/>
      <c r="DA46" s="148"/>
      <c r="DB46" s="148"/>
      <c r="DC46" s="148"/>
      <c r="DD46" s="148"/>
      <c r="DE46" s="148"/>
      <c r="DF46" s="148"/>
      <c r="DG46" s="148"/>
      <c r="DH46" s="148"/>
      <c r="DI46" s="148"/>
      <c r="DJ46" s="148"/>
      <c r="DK46" s="148"/>
      <c r="DL46" s="148"/>
      <c r="DM46" s="148"/>
      <c r="DN46" s="148"/>
      <c r="DO46" s="148"/>
      <c r="DP46" s="148"/>
      <c r="DQ46" s="148"/>
      <c r="DR46" s="148"/>
      <c r="DS46" s="148"/>
      <c r="DT46" s="148"/>
      <c r="DU46" s="148"/>
      <c r="DV46" s="148"/>
      <c r="DW46" s="148"/>
      <c r="DX46" s="148"/>
      <c r="DY46" s="148"/>
      <c r="DZ46" s="148"/>
      <c r="EA46" s="148"/>
      <c r="EB46" s="148"/>
      <c r="EC46" s="148"/>
      <c r="ED46" s="148"/>
      <c r="EE46" s="148"/>
      <c r="EF46" s="148"/>
      <c r="EG46" s="148"/>
      <c r="EH46" s="148"/>
      <c r="EI46" s="148"/>
      <c r="EJ46" s="148"/>
      <c r="EK46" s="148"/>
      <c r="EL46" s="148"/>
      <c r="EM46" s="148"/>
      <c r="EN46" s="148"/>
      <c r="EO46" s="148"/>
      <c r="EP46" s="148"/>
      <c r="EQ46" s="148"/>
      <c r="ER46" s="148"/>
      <c r="ES46" s="148"/>
      <c r="ET46" s="148"/>
      <c r="EU46" s="148"/>
      <c r="EV46" s="148"/>
      <c r="EW46" s="148"/>
      <c r="EX46" s="148"/>
      <c r="EY46" s="148"/>
      <c r="EZ46" s="148"/>
      <c r="FA46" s="148"/>
      <c r="FB46" s="148"/>
      <c r="FC46" s="148"/>
      <c r="FD46" s="148"/>
      <c r="FE46" s="148"/>
      <c r="FF46" s="148"/>
      <c r="FG46" s="148"/>
      <c r="FH46" s="148"/>
      <c r="FI46" s="148"/>
      <c r="FJ46" s="148"/>
      <c r="FK46" s="148"/>
      <c r="FL46" s="148"/>
      <c r="FM46" s="148"/>
      <c r="FN46" s="148"/>
      <c r="FO46" s="148"/>
      <c r="FP46" s="148"/>
      <c r="FQ46" s="148"/>
      <c r="FR46" s="148"/>
      <c r="FS46" s="148"/>
      <c r="FT46" s="148"/>
      <c r="FU46" s="148"/>
      <c r="FV46" s="148"/>
      <c r="FW46" s="148"/>
      <c r="FX46" s="148"/>
      <c r="FY46" s="148"/>
      <c r="FZ46" s="148"/>
      <c r="GA46" s="148"/>
      <c r="GB46" s="148"/>
      <c r="GC46" s="148"/>
      <c r="GD46" s="148"/>
      <c r="GE46" s="148"/>
      <c r="GF46" s="148"/>
      <c r="GG46" s="148"/>
      <c r="GH46" s="148"/>
      <c r="GI46" s="148"/>
      <c r="GJ46" s="148"/>
      <c r="GK46" s="148"/>
      <c r="GL46" s="148"/>
      <c r="GM46" s="148"/>
      <c r="GN46" s="148"/>
      <c r="GO46" s="148"/>
      <c r="GP46" s="148"/>
      <c r="GQ46" s="148"/>
      <c r="GR46" s="148"/>
      <c r="GS46" s="148"/>
      <c r="GT46" s="148"/>
      <c r="GU46" s="148"/>
      <c r="GV46" s="148"/>
      <c r="GW46" s="148"/>
      <c r="GX46" s="148"/>
      <c r="GY46" s="148"/>
      <c r="GZ46" s="148"/>
      <c r="HA46" s="148"/>
      <c r="HB46" s="148"/>
      <c r="HC46" s="148"/>
      <c r="HD46" s="148"/>
      <c r="HE46" s="148"/>
      <c r="HF46" s="148"/>
      <c r="HG46" s="148"/>
      <c r="HH46" s="148"/>
      <c r="HI46" s="148"/>
      <c r="HJ46" s="148"/>
      <c r="HK46" s="148"/>
      <c r="HL46" s="148"/>
      <c r="HM46" s="148"/>
      <c r="HN46" s="148"/>
      <c r="HO46" s="148"/>
      <c r="HP46" s="148"/>
      <c r="HQ46" s="148"/>
      <c r="HR46" s="148"/>
      <c r="HS46" s="148"/>
      <c r="HT46" s="148"/>
      <c r="HU46" s="148"/>
      <c r="HV46" s="148"/>
      <c r="HW46" s="148"/>
      <c r="HX46" s="148"/>
      <c r="HY46" s="148"/>
      <c r="HZ46" s="148"/>
      <c r="IA46" s="148"/>
      <c r="IB46" s="148"/>
      <c r="IC46" s="148"/>
      <c r="ID46" s="148"/>
      <c r="IE46" s="148"/>
      <c r="IF46" s="148"/>
      <c r="IG46" s="148"/>
      <c r="IH46" s="148"/>
      <c r="II46" s="148"/>
      <c r="IJ46" s="148"/>
      <c r="IK46" s="148"/>
      <c r="IL46" s="148"/>
      <c r="IM46" s="148"/>
      <c r="IN46" s="148"/>
      <c r="IO46" s="148"/>
      <c r="IP46" s="148"/>
      <c r="IQ46" s="148"/>
      <c r="IR46" s="148"/>
      <c r="IS46" s="148"/>
      <c r="IT46" s="148"/>
      <c r="IU46" s="148"/>
      <c r="IV46" s="148"/>
      <c r="IW46" s="148"/>
      <c r="IX46" s="148"/>
      <c r="IY46" s="148"/>
      <c r="IZ46" s="148"/>
      <c r="JA46" s="148"/>
    </row>
    <row r="47" spans="1:261" s="272" customFormat="1" ht="18" customHeight="1" x14ac:dyDescent="0.35">
      <c r="A47" s="1423">
        <v>36</v>
      </c>
      <c r="B47" s="1557"/>
      <c r="C47" s="1582"/>
      <c r="D47" s="1163" t="s">
        <v>1116</v>
      </c>
      <c r="E47" s="1560"/>
      <c r="F47" s="1561"/>
      <c r="G47" s="1562"/>
      <c r="H47" s="1563"/>
      <c r="I47" s="1580"/>
      <c r="J47" s="1574"/>
      <c r="K47" s="1575">
        <f>SUM(K46)</f>
        <v>676</v>
      </c>
      <c r="L47" s="1574"/>
      <c r="M47" s="1575">
        <f>SUM(M45:M46)</f>
        <v>955800</v>
      </c>
      <c r="N47" s="1574"/>
      <c r="O47" s="1576">
        <f>SUM(I47:N47)</f>
        <v>956476</v>
      </c>
      <c r="P47" s="1567"/>
      <c r="Q47" s="148"/>
      <c r="R47" s="148"/>
      <c r="S47" s="148"/>
      <c r="T47" s="148"/>
      <c r="U47" s="148"/>
      <c r="V47" s="148"/>
      <c r="W47" s="148"/>
      <c r="X47" s="148"/>
      <c r="Y47" s="148"/>
      <c r="Z47" s="148"/>
      <c r="AA47" s="148"/>
      <c r="AB47" s="148"/>
      <c r="AC47" s="148"/>
      <c r="AD47" s="148"/>
      <c r="AE47" s="148"/>
      <c r="AF47" s="148"/>
      <c r="AG47" s="148"/>
      <c r="AH47" s="148"/>
      <c r="AI47" s="148"/>
      <c r="AJ47" s="148"/>
      <c r="AK47" s="148"/>
      <c r="AL47" s="148"/>
      <c r="AM47" s="148"/>
      <c r="AN47" s="148"/>
      <c r="AO47" s="148"/>
      <c r="AP47" s="148"/>
      <c r="AQ47" s="148"/>
      <c r="AR47" s="148"/>
      <c r="AS47" s="148"/>
      <c r="AT47" s="148"/>
      <c r="AU47" s="148"/>
      <c r="AV47" s="148"/>
      <c r="AW47" s="148"/>
      <c r="AX47" s="148"/>
      <c r="AY47" s="148"/>
      <c r="AZ47" s="148"/>
      <c r="BA47" s="148"/>
      <c r="BB47" s="148"/>
      <c r="BC47" s="148"/>
      <c r="BD47" s="148"/>
      <c r="BE47" s="148"/>
      <c r="BF47" s="148"/>
      <c r="BG47" s="148"/>
      <c r="BH47" s="148"/>
      <c r="BI47" s="148"/>
      <c r="BJ47" s="148"/>
      <c r="BK47" s="148"/>
      <c r="BL47" s="148"/>
      <c r="BM47" s="148"/>
      <c r="BN47" s="148"/>
      <c r="BO47" s="148"/>
      <c r="BP47" s="148"/>
      <c r="BQ47" s="148"/>
      <c r="BR47" s="148"/>
      <c r="BS47" s="148"/>
      <c r="BT47" s="148"/>
      <c r="BU47" s="148"/>
      <c r="BV47" s="148"/>
      <c r="BW47" s="148"/>
      <c r="BX47" s="148"/>
      <c r="BY47" s="148"/>
      <c r="BZ47" s="148"/>
      <c r="CA47" s="148"/>
      <c r="CB47" s="148"/>
      <c r="CC47" s="148"/>
      <c r="CD47" s="148"/>
      <c r="CE47" s="148"/>
      <c r="CF47" s="148"/>
      <c r="CG47" s="148"/>
      <c r="CH47" s="148"/>
      <c r="CI47" s="148"/>
      <c r="CJ47" s="148"/>
      <c r="CK47" s="148"/>
      <c r="CL47" s="148"/>
      <c r="CM47" s="148"/>
      <c r="CN47" s="148"/>
      <c r="CO47" s="148"/>
      <c r="CP47" s="148"/>
      <c r="CQ47" s="148"/>
      <c r="CR47" s="148"/>
      <c r="CS47" s="148"/>
      <c r="CT47" s="148"/>
      <c r="CU47" s="148"/>
      <c r="CV47" s="148"/>
      <c r="CW47" s="148"/>
      <c r="CX47" s="148"/>
      <c r="CY47" s="148"/>
      <c r="CZ47" s="148"/>
      <c r="DA47" s="148"/>
      <c r="DB47" s="148"/>
      <c r="DC47" s="148"/>
      <c r="DD47" s="148"/>
      <c r="DE47" s="148"/>
      <c r="DF47" s="148"/>
      <c r="DG47" s="148"/>
      <c r="DH47" s="148"/>
      <c r="DI47" s="148"/>
      <c r="DJ47" s="148"/>
      <c r="DK47" s="148"/>
      <c r="DL47" s="148"/>
      <c r="DM47" s="148"/>
      <c r="DN47" s="148"/>
      <c r="DO47" s="148"/>
      <c r="DP47" s="148"/>
      <c r="DQ47" s="148"/>
      <c r="DR47" s="148"/>
      <c r="DS47" s="148"/>
      <c r="DT47" s="148"/>
      <c r="DU47" s="148"/>
      <c r="DV47" s="148"/>
      <c r="DW47" s="148"/>
      <c r="DX47" s="148"/>
      <c r="DY47" s="148"/>
      <c r="DZ47" s="148"/>
      <c r="EA47" s="148"/>
      <c r="EB47" s="148"/>
      <c r="EC47" s="148"/>
      <c r="ED47" s="148"/>
      <c r="EE47" s="148"/>
      <c r="EF47" s="148"/>
      <c r="EG47" s="148"/>
      <c r="EH47" s="148"/>
      <c r="EI47" s="148"/>
      <c r="EJ47" s="148"/>
      <c r="EK47" s="148"/>
      <c r="EL47" s="148"/>
      <c r="EM47" s="148"/>
      <c r="EN47" s="148"/>
      <c r="EO47" s="148"/>
      <c r="EP47" s="148"/>
      <c r="EQ47" s="148"/>
      <c r="ER47" s="148"/>
      <c r="ES47" s="148"/>
      <c r="ET47" s="148"/>
      <c r="EU47" s="148"/>
      <c r="EV47" s="148"/>
      <c r="EW47" s="148"/>
      <c r="EX47" s="148"/>
      <c r="EY47" s="148"/>
      <c r="EZ47" s="148"/>
      <c r="FA47" s="148"/>
      <c r="FB47" s="148"/>
      <c r="FC47" s="148"/>
      <c r="FD47" s="148"/>
      <c r="FE47" s="148"/>
      <c r="FF47" s="148"/>
      <c r="FG47" s="148"/>
      <c r="FH47" s="148"/>
      <c r="FI47" s="148"/>
      <c r="FJ47" s="148"/>
      <c r="FK47" s="148"/>
      <c r="FL47" s="148"/>
      <c r="FM47" s="148"/>
      <c r="FN47" s="148"/>
      <c r="FO47" s="148"/>
      <c r="FP47" s="148"/>
      <c r="FQ47" s="148"/>
      <c r="FR47" s="148"/>
      <c r="FS47" s="148"/>
      <c r="FT47" s="148"/>
      <c r="FU47" s="148"/>
      <c r="FV47" s="148"/>
      <c r="FW47" s="148"/>
      <c r="FX47" s="148"/>
      <c r="FY47" s="148"/>
      <c r="FZ47" s="148"/>
      <c r="GA47" s="148"/>
      <c r="GB47" s="148"/>
      <c r="GC47" s="148"/>
      <c r="GD47" s="148"/>
      <c r="GE47" s="148"/>
      <c r="GF47" s="148"/>
      <c r="GG47" s="148"/>
      <c r="GH47" s="148"/>
      <c r="GI47" s="148"/>
      <c r="GJ47" s="148"/>
      <c r="GK47" s="148"/>
      <c r="GL47" s="148"/>
      <c r="GM47" s="148"/>
      <c r="GN47" s="148"/>
      <c r="GO47" s="148"/>
      <c r="GP47" s="148"/>
      <c r="GQ47" s="148"/>
      <c r="GR47" s="148"/>
      <c r="GS47" s="148"/>
      <c r="GT47" s="148"/>
      <c r="GU47" s="148"/>
      <c r="GV47" s="148"/>
      <c r="GW47" s="148"/>
      <c r="GX47" s="148"/>
      <c r="GY47" s="148"/>
      <c r="GZ47" s="148"/>
      <c r="HA47" s="148"/>
      <c r="HB47" s="148"/>
      <c r="HC47" s="148"/>
      <c r="HD47" s="148"/>
      <c r="HE47" s="148"/>
      <c r="HF47" s="148"/>
      <c r="HG47" s="148"/>
      <c r="HH47" s="148"/>
      <c r="HI47" s="148"/>
      <c r="HJ47" s="148"/>
      <c r="HK47" s="148"/>
      <c r="HL47" s="148"/>
      <c r="HM47" s="148"/>
      <c r="HN47" s="148"/>
      <c r="HO47" s="148"/>
      <c r="HP47" s="148"/>
      <c r="HQ47" s="148"/>
      <c r="HR47" s="148"/>
      <c r="HS47" s="148"/>
      <c r="HT47" s="148"/>
      <c r="HU47" s="148"/>
      <c r="HV47" s="148"/>
      <c r="HW47" s="148"/>
      <c r="HX47" s="148"/>
      <c r="HY47" s="148"/>
      <c r="HZ47" s="148"/>
      <c r="IA47" s="148"/>
      <c r="IB47" s="148"/>
      <c r="IC47" s="148"/>
      <c r="ID47" s="148"/>
      <c r="IE47" s="148"/>
      <c r="IF47" s="148"/>
      <c r="IG47" s="148"/>
      <c r="IH47" s="148"/>
      <c r="II47" s="148"/>
      <c r="IJ47" s="148"/>
      <c r="IK47" s="148"/>
      <c r="IL47" s="148"/>
      <c r="IM47" s="148"/>
      <c r="IN47" s="148"/>
      <c r="IO47" s="148"/>
      <c r="IP47" s="148"/>
      <c r="IQ47" s="148"/>
      <c r="IR47" s="148"/>
      <c r="IS47" s="148"/>
      <c r="IT47" s="148"/>
      <c r="IU47" s="148"/>
      <c r="IV47" s="148"/>
      <c r="IW47" s="148"/>
      <c r="IX47" s="148"/>
      <c r="IY47" s="148"/>
      <c r="IZ47" s="148"/>
      <c r="JA47" s="148"/>
    </row>
    <row r="48" spans="1:261" ht="22.5" customHeight="1" x14ac:dyDescent="0.35">
      <c r="A48" s="1423">
        <v>37</v>
      </c>
      <c r="B48" s="1589"/>
      <c r="C48" s="1558">
        <v>8</v>
      </c>
      <c r="D48" s="1647" t="s">
        <v>953</v>
      </c>
      <c r="E48" s="1560"/>
      <c r="F48" s="1561"/>
      <c r="G48" s="1562"/>
      <c r="H48" s="1563" t="s">
        <v>24</v>
      </c>
      <c r="I48" s="1564"/>
      <c r="J48" s="1565"/>
      <c r="K48" s="1565"/>
      <c r="L48" s="1565"/>
      <c r="M48" s="1565"/>
      <c r="N48" s="1565"/>
      <c r="O48" s="1576"/>
      <c r="P48" s="1567"/>
    </row>
    <row r="49" spans="1:261" s="272" customFormat="1" ht="18" customHeight="1" x14ac:dyDescent="0.35">
      <c r="A49" s="1423">
        <v>38</v>
      </c>
      <c r="B49" s="1557"/>
      <c r="C49" s="1558"/>
      <c r="D49" s="1585" t="s">
        <v>311</v>
      </c>
      <c r="E49" s="1560">
        <f>F49+G49+O52+P49</f>
        <v>3901162</v>
      </c>
      <c r="F49" s="1561"/>
      <c r="G49" s="1562"/>
      <c r="H49" s="1563"/>
      <c r="I49" s="1564"/>
      <c r="J49" s="1565"/>
      <c r="K49" s="1565"/>
      <c r="L49" s="1565"/>
      <c r="M49" s="1565">
        <v>981338</v>
      </c>
      <c r="N49" s="1565"/>
      <c r="O49" s="1566">
        <f>SUM(I49:N49)</f>
        <v>981338</v>
      </c>
      <c r="P49" s="1567">
        <v>2919824</v>
      </c>
      <c r="Q49" s="148"/>
      <c r="R49" s="148"/>
      <c r="S49" s="148"/>
      <c r="T49" s="148"/>
      <c r="U49" s="148"/>
      <c r="V49" s="148"/>
      <c r="W49" s="148"/>
      <c r="X49" s="148"/>
      <c r="Y49" s="148"/>
      <c r="Z49" s="148"/>
      <c r="AA49" s="148"/>
      <c r="AB49" s="148"/>
      <c r="AC49" s="148"/>
      <c r="AD49" s="148"/>
      <c r="AE49" s="148"/>
      <c r="AF49" s="148"/>
      <c r="AG49" s="148"/>
      <c r="AH49" s="148"/>
      <c r="AI49" s="148"/>
      <c r="AJ49" s="148"/>
      <c r="AK49" s="148"/>
      <c r="AL49" s="148"/>
      <c r="AM49" s="148"/>
      <c r="AN49" s="148"/>
      <c r="AO49" s="148"/>
      <c r="AP49" s="148"/>
      <c r="AQ49" s="148"/>
      <c r="AR49" s="148"/>
      <c r="AS49" s="148"/>
      <c r="AT49" s="148"/>
      <c r="AU49" s="148"/>
      <c r="AV49" s="148"/>
      <c r="AW49" s="148"/>
      <c r="AX49" s="148"/>
      <c r="AY49" s="148"/>
      <c r="AZ49" s="148"/>
      <c r="BA49" s="148"/>
      <c r="BB49" s="148"/>
      <c r="BC49" s="148"/>
      <c r="BD49" s="148"/>
      <c r="BE49" s="148"/>
      <c r="BF49" s="148"/>
      <c r="BG49" s="148"/>
      <c r="BH49" s="148"/>
      <c r="BI49" s="148"/>
      <c r="BJ49" s="148"/>
      <c r="BK49" s="148"/>
      <c r="BL49" s="148"/>
      <c r="BM49" s="148"/>
      <c r="BN49" s="148"/>
      <c r="BO49" s="148"/>
      <c r="BP49" s="148"/>
      <c r="BQ49" s="148"/>
      <c r="BR49" s="148"/>
      <c r="BS49" s="148"/>
      <c r="BT49" s="148"/>
      <c r="BU49" s="148"/>
      <c r="BV49" s="148"/>
      <c r="BW49" s="148"/>
      <c r="BX49" s="148"/>
      <c r="BY49" s="148"/>
      <c r="BZ49" s="148"/>
      <c r="CA49" s="148"/>
      <c r="CB49" s="148"/>
      <c r="CC49" s="148"/>
      <c r="CD49" s="148"/>
      <c r="CE49" s="148"/>
      <c r="CF49" s="148"/>
      <c r="CG49" s="148"/>
      <c r="CH49" s="148"/>
      <c r="CI49" s="148"/>
      <c r="CJ49" s="148"/>
      <c r="CK49" s="148"/>
      <c r="CL49" s="148"/>
      <c r="CM49" s="148"/>
      <c r="CN49" s="148"/>
      <c r="CO49" s="148"/>
      <c r="CP49" s="148"/>
      <c r="CQ49" s="148"/>
      <c r="CR49" s="148"/>
      <c r="CS49" s="148"/>
      <c r="CT49" s="148"/>
      <c r="CU49" s="148"/>
      <c r="CV49" s="148"/>
      <c r="CW49" s="148"/>
      <c r="CX49" s="148"/>
      <c r="CY49" s="148"/>
      <c r="CZ49" s="148"/>
      <c r="DA49" s="148"/>
      <c r="DB49" s="148"/>
      <c r="DC49" s="148"/>
      <c r="DD49" s="148"/>
      <c r="DE49" s="148"/>
      <c r="DF49" s="148"/>
      <c r="DG49" s="148"/>
      <c r="DH49" s="148"/>
      <c r="DI49" s="148"/>
      <c r="DJ49" s="148"/>
      <c r="DK49" s="148"/>
      <c r="DL49" s="148"/>
      <c r="DM49" s="148"/>
      <c r="DN49" s="148"/>
      <c r="DO49" s="148"/>
      <c r="DP49" s="148"/>
      <c r="DQ49" s="148"/>
      <c r="DR49" s="148"/>
      <c r="DS49" s="148"/>
      <c r="DT49" s="148"/>
      <c r="DU49" s="148"/>
      <c r="DV49" s="148"/>
      <c r="DW49" s="148"/>
      <c r="DX49" s="148"/>
      <c r="DY49" s="148"/>
      <c r="DZ49" s="148"/>
      <c r="EA49" s="148"/>
      <c r="EB49" s="148"/>
      <c r="EC49" s="148"/>
      <c r="ED49" s="148"/>
      <c r="EE49" s="148"/>
      <c r="EF49" s="148"/>
      <c r="EG49" s="148"/>
      <c r="EH49" s="148"/>
      <c r="EI49" s="148"/>
      <c r="EJ49" s="148"/>
      <c r="EK49" s="148"/>
      <c r="EL49" s="148"/>
      <c r="EM49" s="148"/>
      <c r="EN49" s="148"/>
      <c r="EO49" s="148"/>
      <c r="EP49" s="148"/>
      <c r="EQ49" s="148"/>
      <c r="ER49" s="148"/>
      <c r="ES49" s="148"/>
      <c r="ET49" s="148"/>
      <c r="EU49" s="148"/>
      <c r="EV49" s="148"/>
      <c r="EW49" s="148"/>
      <c r="EX49" s="148"/>
      <c r="EY49" s="148"/>
      <c r="EZ49" s="148"/>
      <c r="FA49" s="148"/>
      <c r="FB49" s="148"/>
      <c r="FC49" s="148"/>
      <c r="FD49" s="148"/>
      <c r="FE49" s="148"/>
      <c r="FF49" s="148"/>
      <c r="FG49" s="148"/>
      <c r="FH49" s="148"/>
      <c r="FI49" s="148"/>
      <c r="FJ49" s="148"/>
      <c r="FK49" s="148"/>
      <c r="FL49" s="148"/>
      <c r="FM49" s="148"/>
      <c r="FN49" s="148"/>
      <c r="FO49" s="148"/>
      <c r="FP49" s="148"/>
      <c r="FQ49" s="148"/>
      <c r="FR49" s="148"/>
      <c r="FS49" s="148"/>
      <c r="FT49" s="148"/>
      <c r="FU49" s="148"/>
      <c r="FV49" s="148"/>
      <c r="FW49" s="148"/>
      <c r="FX49" s="148"/>
      <c r="FY49" s="148"/>
      <c r="FZ49" s="148"/>
      <c r="GA49" s="148"/>
      <c r="GB49" s="148"/>
      <c r="GC49" s="148"/>
      <c r="GD49" s="148"/>
      <c r="GE49" s="148"/>
      <c r="GF49" s="148"/>
      <c r="GG49" s="148"/>
      <c r="GH49" s="148"/>
      <c r="GI49" s="148"/>
      <c r="GJ49" s="148"/>
      <c r="GK49" s="148"/>
      <c r="GL49" s="148"/>
      <c r="GM49" s="148"/>
      <c r="GN49" s="148"/>
      <c r="GO49" s="148"/>
      <c r="GP49" s="148"/>
      <c r="GQ49" s="148"/>
      <c r="GR49" s="148"/>
      <c r="GS49" s="148"/>
      <c r="GT49" s="148"/>
      <c r="GU49" s="148"/>
      <c r="GV49" s="148"/>
      <c r="GW49" s="148"/>
      <c r="GX49" s="148"/>
      <c r="GY49" s="148"/>
      <c r="GZ49" s="148"/>
      <c r="HA49" s="148"/>
      <c r="HB49" s="148"/>
      <c r="HC49" s="148"/>
      <c r="HD49" s="148"/>
      <c r="HE49" s="148"/>
      <c r="HF49" s="148"/>
      <c r="HG49" s="148"/>
      <c r="HH49" s="148"/>
      <c r="HI49" s="148"/>
      <c r="HJ49" s="148"/>
      <c r="HK49" s="148"/>
      <c r="HL49" s="148"/>
      <c r="HM49" s="148"/>
      <c r="HN49" s="148"/>
      <c r="HO49" s="148"/>
      <c r="HP49" s="148"/>
      <c r="HQ49" s="148"/>
      <c r="HR49" s="148"/>
      <c r="HS49" s="148"/>
      <c r="HT49" s="148"/>
      <c r="HU49" s="148"/>
      <c r="HV49" s="148"/>
      <c r="HW49" s="148"/>
      <c r="HX49" s="148"/>
      <c r="HY49" s="148"/>
      <c r="HZ49" s="148"/>
      <c r="IA49" s="148"/>
      <c r="IB49" s="148"/>
      <c r="IC49" s="148"/>
      <c r="ID49" s="148"/>
      <c r="IE49" s="148"/>
      <c r="IF49" s="148"/>
      <c r="IG49" s="148"/>
      <c r="IH49" s="148"/>
      <c r="II49" s="148"/>
      <c r="IJ49" s="148"/>
      <c r="IK49" s="148"/>
      <c r="IL49" s="148"/>
      <c r="IM49" s="148"/>
      <c r="IN49" s="148"/>
      <c r="IO49" s="148"/>
      <c r="IP49" s="148"/>
      <c r="IQ49" s="148"/>
      <c r="IR49" s="148"/>
      <c r="IS49" s="148"/>
      <c r="IT49" s="148"/>
      <c r="IU49" s="148"/>
      <c r="IV49" s="148"/>
      <c r="IW49" s="148"/>
      <c r="IX49" s="148"/>
      <c r="IY49" s="148"/>
      <c r="IZ49" s="148"/>
      <c r="JA49" s="148"/>
    </row>
    <row r="50" spans="1:261" s="272" customFormat="1" ht="18" customHeight="1" x14ac:dyDescent="0.35">
      <c r="A50" s="1423">
        <v>39</v>
      </c>
      <c r="B50" s="1557"/>
      <c r="C50" s="1558"/>
      <c r="D50" s="1163" t="s">
        <v>1064</v>
      </c>
      <c r="E50" s="1560"/>
      <c r="F50" s="1561"/>
      <c r="G50" s="1562"/>
      <c r="H50" s="1563"/>
      <c r="I50" s="1564"/>
      <c r="J50" s="1565"/>
      <c r="K50" s="1565"/>
      <c r="L50" s="1565"/>
      <c r="M50" s="1575">
        <v>981338</v>
      </c>
      <c r="N50" s="1574"/>
      <c r="O50" s="1576">
        <f>SUM(I50:N50)</f>
        <v>981338</v>
      </c>
      <c r="P50" s="1567"/>
      <c r="Q50" s="148"/>
      <c r="R50" s="148"/>
      <c r="S50" s="148"/>
      <c r="T50" s="148"/>
      <c r="U50" s="148"/>
      <c r="V50" s="148"/>
      <c r="W50" s="148"/>
      <c r="X50" s="148"/>
      <c r="Y50" s="148"/>
      <c r="Z50" s="148"/>
      <c r="AA50" s="148"/>
      <c r="AB50" s="148"/>
      <c r="AC50" s="148"/>
      <c r="AD50" s="148"/>
      <c r="AE50" s="148"/>
      <c r="AF50" s="148"/>
      <c r="AG50" s="148"/>
      <c r="AH50" s="148"/>
      <c r="AI50" s="148"/>
      <c r="AJ50" s="148"/>
      <c r="AK50" s="148"/>
      <c r="AL50" s="148"/>
      <c r="AM50" s="148"/>
      <c r="AN50" s="148"/>
      <c r="AO50" s="148"/>
      <c r="AP50" s="148"/>
      <c r="AQ50" s="148"/>
      <c r="AR50" s="148"/>
      <c r="AS50" s="148"/>
      <c r="AT50" s="148"/>
      <c r="AU50" s="148"/>
      <c r="AV50" s="148"/>
      <c r="AW50" s="148"/>
      <c r="AX50" s="148"/>
      <c r="AY50" s="148"/>
      <c r="AZ50" s="148"/>
      <c r="BA50" s="148"/>
      <c r="BB50" s="148"/>
      <c r="BC50" s="148"/>
      <c r="BD50" s="148"/>
      <c r="BE50" s="148"/>
      <c r="BF50" s="148"/>
      <c r="BG50" s="148"/>
      <c r="BH50" s="148"/>
      <c r="BI50" s="148"/>
      <c r="BJ50" s="148"/>
      <c r="BK50" s="148"/>
      <c r="BL50" s="148"/>
      <c r="BM50" s="148"/>
      <c r="BN50" s="148"/>
      <c r="BO50" s="148"/>
      <c r="BP50" s="148"/>
      <c r="BQ50" s="148"/>
      <c r="BR50" s="148"/>
      <c r="BS50" s="148"/>
      <c r="BT50" s="148"/>
      <c r="BU50" s="148"/>
      <c r="BV50" s="148"/>
      <c r="BW50" s="148"/>
      <c r="BX50" s="148"/>
      <c r="BY50" s="148"/>
      <c r="BZ50" s="148"/>
      <c r="CA50" s="148"/>
      <c r="CB50" s="148"/>
      <c r="CC50" s="148"/>
      <c r="CD50" s="148"/>
      <c r="CE50" s="148"/>
      <c r="CF50" s="148"/>
      <c r="CG50" s="148"/>
      <c r="CH50" s="148"/>
      <c r="CI50" s="148"/>
      <c r="CJ50" s="148"/>
      <c r="CK50" s="148"/>
      <c r="CL50" s="148"/>
      <c r="CM50" s="148"/>
      <c r="CN50" s="148"/>
      <c r="CO50" s="148"/>
      <c r="CP50" s="148"/>
      <c r="CQ50" s="148"/>
      <c r="CR50" s="148"/>
      <c r="CS50" s="148"/>
      <c r="CT50" s="148"/>
      <c r="CU50" s="148"/>
      <c r="CV50" s="148"/>
      <c r="CW50" s="148"/>
      <c r="CX50" s="148"/>
      <c r="CY50" s="148"/>
      <c r="CZ50" s="148"/>
      <c r="DA50" s="148"/>
      <c r="DB50" s="148"/>
      <c r="DC50" s="148"/>
      <c r="DD50" s="148"/>
      <c r="DE50" s="148"/>
      <c r="DF50" s="148"/>
      <c r="DG50" s="148"/>
      <c r="DH50" s="148"/>
      <c r="DI50" s="148"/>
      <c r="DJ50" s="148"/>
      <c r="DK50" s="148"/>
      <c r="DL50" s="148"/>
      <c r="DM50" s="148"/>
      <c r="DN50" s="148"/>
      <c r="DO50" s="148"/>
      <c r="DP50" s="148"/>
      <c r="DQ50" s="148"/>
      <c r="DR50" s="148"/>
      <c r="DS50" s="148"/>
      <c r="DT50" s="148"/>
      <c r="DU50" s="148"/>
      <c r="DV50" s="148"/>
      <c r="DW50" s="148"/>
      <c r="DX50" s="148"/>
      <c r="DY50" s="148"/>
      <c r="DZ50" s="148"/>
      <c r="EA50" s="148"/>
      <c r="EB50" s="148"/>
      <c r="EC50" s="148"/>
      <c r="ED50" s="148"/>
      <c r="EE50" s="148"/>
      <c r="EF50" s="148"/>
      <c r="EG50" s="148"/>
      <c r="EH50" s="148"/>
      <c r="EI50" s="148"/>
      <c r="EJ50" s="148"/>
      <c r="EK50" s="148"/>
      <c r="EL50" s="148"/>
      <c r="EM50" s="148"/>
      <c r="EN50" s="148"/>
      <c r="EO50" s="148"/>
      <c r="EP50" s="148"/>
      <c r="EQ50" s="148"/>
      <c r="ER50" s="148"/>
      <c r="ES50" s="148"/>
      <c r="ET50" s="148"/>
      <c r="EU50" s="148"/>
      <c r="EV50" s="148"/>
      <c r="EW50" s="148"/>
      <c r="EX50" s="148"/>
      <c r="EY50" s="148"/>
      <c r="EZ50" s="148"/>
      <c r="FA50" s="148"/>
      <c r="FB50" s="148"/>
      <c r="FC50" s="148"/>
      <c r="FD50" s="148"/>
      <c r="FE50" s="148"/>
      <c r="FF50" s="148"/>
      <c r="FG50" s="148"/>
      <c r="FH50" s="148"/>
      <c r="FI50" s="148"/>
      <c r="FJ50" s="148"/>
      <c r="FK50" s="148"/>
      <c r="FL50" s="148"/>
      <c r="FM50" s="148"/>
      <c r="FN50" s="148"/>
      <c r="FO50" s="148"/>
      <c r="FP50" s="148"/>
      <c r="FQ50" s="148"/>
      <c r="FR50" s="148"/>
      <c r="FS50" s="148"/>
      <c r="FT50" s="148"/>
      <c r="FU50" s="148"/>
      <c r="FV50" s="148"/>
      <c r="FW50" s="148"/>
      <c r="FX50" s="148"/>
      <c r="FY50" s="148"/>
      <c r="FZ50" s="148"/>
      <c r="GA50" s="148"/>
      <c r="GB50" s="148"/>
      <c r="GC50" s="148"/>
      <c r="GD50" s="148"/>
      <c r="GE50" s="148"/>
      <c r="GF50" s="148"/>
      <c r="GG50" s="148"/>
      <c r="GH50" s="148"/>
      <c r="GI50" s="148"/>
      <c r="GJ50" s="148"/>
      <c r="GK50" s="148"/>
      <c r="GL50" s="148"/>
      <c r="GM50" s="148"/>
      <c r="GN50" s="148"/>
      <c r="GO50" s="148"/>
      <c r="GP50" s="148"/>
      <c r="GQ50" s="148"/>
      <c r="GR50" s="148"/>
      <c r="GS50" s="148"/>
      <c r="GT50" s="148"/>
      <c r="GU50" s="148"/>
      <c r="GV50" s="148"/>
      <c r="GW50" s="148"/>
      <c r="GX50" s="148"/>
      <c r="GY50" s="148"/>
      <c r="GZ50" s="148"/>
      <c r="HA50" s="148"/>
      <c r="HB50" s="148"/>
      <c r="HC50" s="148"/>
      <c r="HD50" s="148"/>
      <c r="HE50" s="148"/>
      <c r="HF50" s="148"/>
      <c r="HG50" s="148"/>
      <c r="HH50" s="148"/>
      <c r="HI50" s="148"/>
      <c r="HJ50" s="148"/>
      <c r="HK50" s="148"/>
      <c r="HL50" s="148"/>
      <c r="HM50" s="148"/>
      <c r="HN50" s="148"/>
      <c r="HO50" s="148"/>
      <c r="HP50" s="148"/>
      <c r="HQ50" s="148"/>
      <c r="HR50" s="148"/>
      <c r="HS50" s="148"/>
      <c r="HT50" s="148"/>
      <c r="HU50" s="148"/>
      <c r="HV50" s="148"/>
      <c r="HW50" s="148"/>
      <c r="HX50" s="148"/>
      <c r="HY50" s="148"/>
      <c r="HZ50" s="148"/>
      <c r="IA50" s="148"/>
      <c r="IB50" s="148"/>
      <c r="IC50" s="148"/>
      <c r="ID50" s="148"/>
      <c r="IE50" s="148"/>
      <c r="IF50" s="148"/>
      <c r="IG50" s="148"/>
      <c r="IH50" s="148"/>
      <c r="II50" s="148"/>
      <c r="IJ50" s="148"/>
      <c r="IK50" s="148"/>
      <c r="IL50" s="148"/>
      <c r="IM50" s="148"/>
      <c r="IN50" s="148"/>
      <c r="IO50" s="148"/>
      <c r="IP50" s="148"/>
      <c r="IQ50" s="148"/>
      <c r="IR50" s="148"/>
      <c r="IS50" s="148"/>
      <c r="IT50" s="148"/>
      <c r="IU50" s="148"/>
      <c r="IV50" s="148"/>
      <c r="IW50" s="148"/>
      <c r="IX50" s="148"/>
      <c r="IY50" s="148"/>
      <c r="IZ50" s="148"/>
      <c r="JA50" s="148"/>
    </row>
    <row r="51" spans="1:261" s="272" customFormat="1" ht="18" customHeight="1" x14ac:dyDescent="0.35">
      <c r="A51" s="1423">
        <v>40</v>
      </c>
      <c r="B51" s="1557"/>
      <c r="C51" s="1558"/>
      <c r="D51" s="1174" t="s">
        <v>999</v>
      </c>
      <c r="E51" s="1560"/>
      <c r="F51" s="1561"/>
      <c r="G51" s="1562"/>
      <c r="H51" s="1563"/>
      <c r="I51" s="1580"/>
      <c r="J51" s="1574"/>
      <c r="K51" s="1574"/>
      <c r="L51" s="1574"/>
      <c r="M51" s="1574"/>
      <c r="N51" s="1574"/>
      <c r="O51" s="1576">
        <f>SUM(I51:N51)</f>
        <v>0</v>
      </c>
      <c r="P51" s="1567"/>
      <c r="Q51" s="148"/>
      <c r="R51" s="148"/>
      <c r="S51" s="148"/>
      <c r="T51" s="148"/>
      <c r="U51" s="148"/>
      <c r="V51" s="148"/>
      <c r="W51" s="148"/>
      <c r="X51" s="148"/>
      <c r="Y51" s="148"/>
      <c r="Z51" s="148"/>
      <c r="AA51" s="148"/>
      <c r="AB51" s="148"/>
      <c r="AC51" s="148"/>
      <c r="AD51" s="148"/>
      <c r="AE51" s="148"/>
      <c r="AF51" s="148"/>
      <c r="AG51" s="148"/>
      <c r="AH51" s="148"/>
      <c r="AI51" s="148"/>
      <c r="AJ51" s="148"/>
      <c r="AK51" s="148"/>
      <c r="AL51" s="148"/>
      <c r="AM51" s="148"/>
      <c r="AN51" s="148"/>
      <c r="AO51" s="148"/>
      <c r="AP51" s="148"/>
      <c r="AQ51" s="148"/>
      <c r="AR51" s="148"/>
      <c r="AS51" s="148"/>
      <c r="AT51" s="148"/>
      <c r="AU51" s="148"/>
      <c r="AV51" s="148"/>
      <c r="AW51" s="148"/>
      <c r="AX51" s="148"/>
      <c r="AY51" s="148"/>
      <c r="AZ51" s="148"/>
      <c r="BA51" s="148"/>
      <c r="BB51" s="148"/>
      <c r="BC51" s="148"/>
      <c r="BD51" s="148"/>
      <c r="BE51" s="148"/>
      <c r="BF51" s="148"/>
      <c r="BG51" s="148"/>
      <c r="BH51" s="148"/>
      <c r="BI51" s="148"/>
      <c r="BJ51" s="148"/>
      <c r="BK51" s="148"/>
      <c r="BL51" s="148"/>
      <c r="BM51" s="148"/>
      <c r="BN51" s="148"/>
      <c r="BO51" s="148"/>
      <c r="BP51" s="148"/>
      <c r="BQ51" s="148"/>
      <c r="BR51" s="148"/>
      <c r="BS51" s="148"/>
      <c r="BT51" s="148"/>
      <c r="BU51" s="148"/>
      <c r="BV51" s="148"/>
      <c r="BW51" s="148"/>
      <c r="BX51" s="148"/>
      <c r="BY51" s="148"/>
      <c r="BZ51" s="148"/>
      <c r="CA51" s="148"/>
      <c r="CB51" s="148"/>
      <c r="CC51" s="148"/>
      <c r="CD51" s="148"/>
      <c r="CE51" s="148"/>
      <c r="CF51" s="148"/>
      <c r="CG51" s="148"/>
      <c r="CH51" s="148"/>
      <c r="CI51" s="148"/>
      <c r="CJ51" s="148"/>
      <c r="CK51" s="148"/>
      <c r="CL51" s="148"/>
      <c r="CM51" s="148"/>
      <c r="CN51" s="148"/>
      <c r="CO51" s="148"/>
      <c r="CP51" s="148"/>
      <c r="CQ51" s="148"/>
      <c r="CR51" s="148"/>
      <c r="CS51" s="148"/>
      <c r="CT51" s="148"/>
      <c r="CU51" s="148"/>
      <c r="CV51" s="148"/>
      <c r="CW51" s="148"/>
      <c r="CX51" s="148"/>
      <c r="CY51" s="148"/>
      <c r="CZ51" s="148"/>
      <c r="DA51" s="148"/>
      <c r="DB51" s="148"/>
      <c r="DC51" s="148"/>
      <c r="DD51" s="148"/>
      <c r="DE51" s="148"/>
      <c r="DF51" s="148"/>
      <c r="DG51" s="148"/>
      <c r="DH51" s="148"/>
      <c r="DI51" s="148"/>
      <c r="DJ51" s="148"/>
      <c r="DK51" s="148"/>
      <c r="DL51" s="148"/>
      <c r="DM51" s="148"/>
      <c r="DN51" s="148"/>
      <c r="DO51" s="148"/>
      <c r="DP51" s="148"/>
      <c r="DQ51" s="148"/>
      <c r="DR51" s="148"/>
      <c r="DS51" s="148"/>
      <c r="DT51" s="148"/>
      <c r="DU51" s="148"/>
      <c r="DV51" s="148"/>
      <c r="DW51" s="148"/>
      <c r="DX51" s="148"/>
      <c r="DY51" s="148"/>
      <c r="DZ51" s="148"/>
      <c r="EA51" s="148"/>
      <c r="EB51" s="148"/>
      <c r="EC51" s="148"/>
      <c r="ED51" s="148"/>
      <c r="EE51" s="148"/>
      <c r="EF51" s="148"/>
      <c r="EG51" s="148"/>
      <c r="EH51" s="148"/>
      <c r="EI51" s="148"/>
      <c r="EJ51" s="148"/>
      <c r="EK51" s="148"/>
      <c r="EL51" s="148"/>
      <c r="EM51" s="148"/>
      <c r="EN51" s="148"/>
      <c r="EO51" s="148"/>
      <c r="EP51" s="148"/>
      <c r="EQ51" s="148"/>
      <c r="ER51" s="148"/>
      <c r="ES51" s="148"/>
      <c r="ET51" s="148"/>
      <c r="EU51" s="148"/>
      <c r="EV51" s="148"/>
      <c r="EW51" s="148"/>
      <c r="EX51" s="148"/>
      <c r="EY51" s="148"/>
      <c r="EZ51" s="148"/>
      <c r="FA51" s="148"/>
      <c r="FB51" s="148"/>
      <c r="FC51" s="148"/>
      <c r="FD51" s="148"/>
      <c r="FE51" s="148"/>
      <c r="FF51" s="148"/>
      <c r="FG51" s="148"/>
      <c r="FH51" s="148"/>
      <c r="FI51" s="148"/>
      <c r="FJ51" s="148"/>
      <c r="FK51" s="148"/>
      <c r="FL51" s="148"/>
      <c r="FM51" s="148"/>
      <c r="FN51" s="148"/>
      <c r="FO51" s="148"/>
      <c r="FP51" s="148"/>
      <c r="FQ51" s="148"/>
      <c r="FR51" s="148"/>
      <c r="FS51" s="148"/>
      <c r="FT51" s="148"/>
      <c r="FU51" s="148"/>
      <c r="FV51" s="148"/>
      <c r="FW51" s="148"/>
      <c r="FX51" s="148"/>
      <c r="FY51" s="148"/>
      <c r="FZ51" s="148"/>
      <c r="GA51" s="148"/>
      <c r="GB51" s="148"/>
      <c r="GC51" s="148"/>
      <c r="GD51" s="148"/>
      <c r="GE51" s="148"/>
      <c r="GF51" s="148"/>
      <c r="GG51" s="148"/>
      <c r="GH51" s="148"/>
      <c r="GI51" s="148"/>
      <c r="GJ51" s="148"/>
      <c r="GK51" s="148"/>
      <c r="GL51" s="148"/>
      <c r="GM51" s="148"/>
      <c r="GN51" s="148"/>
      <c r="GO51" s="148"/>
      <c r="GP51" s="148"/>
      <c r="GQ51" s="148"/>
      <c r="GR51" s="148"/>
      <c r="GS51" s="148"/>
      <c r="GT51" s="148"/>
      <c r="GU51" s="148"/>
      <c r="GV51" s="148"/>
      <c r="GW51" s="148"/>
      <c r="GX51" s="148"/>
      <c r="GY51" s="148"/>
      <c r="GZ51" s="148"/>
      <c r="HA51" s="148"/>
      <c r="HB51" s="148"/>
      <c r="HC51" s="148"/>
      <c r="HD51" s="148"/>
      <c r="HE51" s="148"/>
      <c r="HF51" s="148"/>
      <c r="HG51" s="148"/>
      <c r="HH51" s="148"/>
      <c r="HI51" s="148"/>
      <c r="HJ51" s="148"/>
      <c r="HK51" s="148"/>
      <c r="HL51" s="148"/>
      <c r="HM51" s="148"/>
      <c r="HN51" s="148"/>
      <c r="HO51" s="148"/>
      <c r="HP51" s="148"/>
      <c r="HQ51" s="148"/>
      <c r="HR51" s="148"/>
      <c r="HS51" s="148"/>
      <c r="HT51" s="148"/>
      <c r="HU51" s="148"/>
      <c r="HV51" s="148"/>
      <c r="HW51" s="148"/>
      <c r="HX51" s="148"/>
      <c r="HY51" s="148"/>
      <c r="HZ51" s="148"/>
      <c r="IA51" s="148"/>
      <c r="IB51" s="148"/>
      <c r="IC51" s="148"/>
      <c r="ID51" s="148"/>
      <c r="IE51" s="148"/>
      <c r="IF51" s="148"/>
      <c r="IG51" s="148"/>
      <c r="IH51" s="148"/>
      <c r="II51" s="148"/>
      <c r="IJ51" s="148"/>
      <c r="IK51" s="148"/>
      <c r="IL51" s="148"/>
      <c r="IM51" s="148"/>
      <c r="IN51" s="148"/>
      <c r="IO51" s="148"/>
      <c r="IP51" s="148"/>
      <c r="IQ51" s="148"/>
      <c r="IR51" s="148"/>
      <c r="IS51" s="148"/>
      <c r="IT51" s="148"/>
      <c r="IU51" s="148"/>
      <c r="IV51" s="148"/>
      <c r="IW51" s="148"/>
      <c r="IX51" s="148"/>
      <c r="IY51" s="148"/>
      <c r="IZ51" s="148"/>
      <c r="JA51" s="148"/>
    </row>
    <row r="52" spans="1:261" s="272" customFormat="1" ht="18" customHeight="1" x14ac:dyDescent="0.35">
      <c r="A52" s="1423">
        <v>41</v>
      </c>
      <c r="B52" s="1557"/>
      <c r="C52" s="1558"/>
      <c r="D52" s="1163" t="s">
        <v>1116</v>
      </c>
      <c r="E52" s="1560"/>
      <c r="F52" s="1561"/>
      <c r="G52" s="1562"/>
      <c r="H52" s="1563"/>
      <c r="I52" s="1580"/>
      <c r="J52" s="1574"/>
      <c r="K52" s="1574"/>
      <c r="L52" s="1574"/>
      <c r="M52" s="1575">
        <f>SUM(M50:M51)</f>
        <v>981338</v>
      </c>
      <c r="N52" s="1574"/>
      <c r="O52" s="1576">
        <f>SUM(I52:N52)</f>
        <v>981338</v>
      </c>
      <c r="P52" s="1567"/>
      <c r="Q52" s="148"/>
      <c r="R52" s="148"/>
      <c r="S52" s="148"/>
      <c r="T52" s="148"/>
      <c r="U52" s="148"/>
      <c r="V52" s="148"/>
      <c r="W52" s="148"/>
      <c r="X52" s="148"/>
      <c r="Y52" s="148"/>
      <c r="Z52" s="148"/>
      <c r="AA52" s="148"/>
      <c r="AB52" s="148"/>
      <c r="AC52" s="148"/>
      <c r="AD52" s="148"/>
      <c r="AE52" s="148"/>
      <c r="AF52" s="148"/>
      <c r="AG52" s="148"/>
      <c r="AH52" s="148"/>
      <c r="AI52" s="148"/>
      <c r="AJ52" s="148"/>
      <c r="AK52" s="148"/>
      <c r="AL52" s="148"/>
      <c r="AM52" s="148"/>
      <c r="AN52" s="148"/>
      <c r="AO52" s="148"/>
      <c r="AP52" s="148"/>
      <c r="AQ52" s="148"/>
      <c r="AR52" s="148"/>
      <c r="AS52" s="148"/>
      <c r="AT52" s="148"/>
      <c r="AU52" s="148"/>
      <c r="AV52" s="148"/>
      <c r="AW52" s="148"/>
      <c r="AX52" s="148"/>
      <c r="AY52" s="148"/>
      <c r="AZ52" s="148"/>
      <c r="BA52" s="148"/>
      <c r="BB52" s="148"/>
      <c r="BC52" s="148"/>
      <c r="BD52" s="148"/>
      <c r="BE52" s="148"/>
      <c r="BF52" s="148"/>
      <c r="BG52" s="148"/>
      <c r="BH52" s="148"/>
      <c r="BI52" s="148"/>
      <c r="BJ52" s="148"/>
      <c r="BK52" s="148"/>
      <c r="BL52" s="148"/>
      <c r="BM52" s="148"/>
      <c r="BN52" s="148"/>
      <c r="BO52" s="148"/>
      <c r="BP52" s="148"/>
      <c r="BQ52" s="148"/>
      <c r="BR52" s="148"/>
      <c r="BS52" s="148"/>
      <c r="BT52" s="148"/>
      <c r="BU52" s="148"/>
      <c r="BV52" s="148"/>
      <c r="BW52" s="148"/>
      <c r="BX52" s="148"/>
      <c r="BY52" s="148"/>
      <c r="BZ52" s="148"/>
      <c r="CA52" s="148"/>
      <c r="CB52" s="148"/>
      <c r="CC52" s="148"/>
      <c r="CD52" s="148"/>
      <c r="CE52" s="148"/>
      <c r="CF52" s="148"/>
      <c r="CG52" s="148"/>
      <c r="CH52" s="148"/>
      <c r="CI52" s="148"/>
      <c r="CJ52" s="148"/>
      <c r="CK52" s="148"/>
      <c r="CL52" s="148"/>
      <c r="CM52" s="148"/>
      <c r="CN52" s="148"/>
      <c r="CO52" s="148"/>
      <c r="CP52" s="148"/>
      <c r="CQ52" s="148"/>
      <c r="CR52" s="148"/>
      <c r="CS52" s="148"/>
      <c r="CT52" s="148"/>
      <c r="CU52" s="148"/>
      <c r="CV52" s="148"/>
      <c r="CW52" s="148"/>
      <c r="CX52" s="148"/>
      <c r="CY52" s="148"/>
      <c r="CZ52" s="148"/>
      <c r="DA52" s="148"/>
      <c r="DB52" s="148"/>
      <c r="DC52" s="148"/>
      <c r="DD52" s="148"/>
      <c r="DE52" s="148"/>
      <c r="DF52" s="148"/>
      <c r="DG52" s="148"/>
      <c r="DH52" s="148"/>
      <c r="DI52" s="148"/>
      <c r="DJ52" s="148"/>
      <c r="DK52" s="148"/>
      <c r="DL52" s="148"/>
      <c r="DM52" s="148"/>
      <c r="DN52" s="148"/>
      <c r="DO52" s="148"/>
      <c r="DP52" s="148"/>
      <c r="DQ52" s="148"/>
      <c r="DR52" s="148"/>
      <c r="DS52" s="148"/>
      <c r="DT52" s="148"/>
      <c r="DU52" s="148"/>
      <c r="DV52" s="148"/>
      <c r="DW52" s="148"/>
      <c r="DX52" s="148"/>
      <c r="DY52" s="148"/>
      <c r="DZ52" s="148"/>
      <c r="EA52" s="148"/>
      <c r="EB52" s="148"/>
      <c r="EC52" s="148"/>
      <c r="ED52" s="148"/>
      <c r="EE52" s="148"/>
      <c r="EF52" s="148"/>
      <c r="EG52" s="148"/>
      <c r="EH52" s="148"/>
      <c r="EI52" s="148"/>
      <c r="EJ52" s="148"/>
      <c r="EK52" s="148"/>
      <c r="EL52" s="148"/>
      <c r="EM52" s="148"/>
      <c r="EN52" s="148"/>
      <c r="EO52" s="148"/>
      <c r="EP52" s="148"/>
      <c r="EQ52" s="148"/>
      <c r="ER52" s="148"/>
      <c r="ES52" s="148"/>
      <c r="ET52" s="148"/>
      <c r="EU52" s="148"/>
      <c r="EV52" s="148"/>
      <c r="EW52" s="148"/>
      <c r="EX52" s="148"/>
      <c r="EY52" s="148"/>
      <c r="EZ52" s="148"/>
      <c r="FA52" s="148"/>
      <c r="FB52" s="148"/>
      <c r="FC52" s="148"/>
      <c r="FD52" s="148"/>
      <c r="FE52" s="148"/>
      <c r="FF52" s="148"/>
      <c r="FG52" s="148"/>
      <c r="FH52" s="148"/>
      <c r="FI52" s="148"/>
      <c r="FJ52" s="148"/>
      <c r="FK52" s="148"/>
      <c r="FL52" s="148"/>
      <c r="FM52" s="148"/>
      <c r="FN52" s="148"/>
      <c r="FO52" s="148"/>
      <c r="FP52" s="148"/>
      <c r="FQ52" s="148"/>
      <c r="FR52" s="148"/>
      <c r="FS52" s="148"/>
      <c r="FT52" s="148"/>
      <c r="FU52" s="148"/>
      <c r="FV52" s="148"/>
      <c r="FW52" s="148"/>
      <c r="FX52" s="148"/>
      <c r="FY52" s="148"/>
      <c r="FZ52" s="148"/>
      <c r="GA52" s="148"/>
      <c r="GB52" s="148"/>
      <c r="GC52" s="148"/>
      <c r="GD52" s="148"/>
      <c r="GE52" s="148"/>
      <c r="GF52" s="148"/>
      <c r="GG52" s="148"/>
      <c r="GH52" s="148"/>
      <c r="GI52" s="148"/>
      <c r="GJ52" s="148"/>
      <c r="GK52" s="148"/>
      <c r="GL52" s="148"/>
      <c r="GM52" s="148"/>
      <c r="GN52" s="148"/>
      <c r="GO52" s="148"/>
      <c r="GP52" s="148"/>
      <c r="GQ52" s="148"/>
      <c r="GR52" s="148"/>
      <c r="GS52" s="148"/>
      <c r="GT52" s="148"/>
      <c r="GU52" s="148"/>
      <c r="GV52" s="148"/>
      <c r="GW52" s="148"/>
      <c r="GX52" s="148"/>
      <c r="GY52" s="148"/>
      <c r="GZ52" s="148"/>
      <c r="HA52" s="148"/>
      <c r="HB52" s="148"/>
      <c r="HC52" s="148"/>
      <c r="HD52" s="148"/>
      <c r="HE52" s="148"/>
      <c r="HF52" s="148"/>
      <c r="HG52" s="148"/>
      <c r="HH52" s="148"/>
      <c r="HI52" s="148"/>
      <c r="HJ52" s="148"/>
      <c r="HK52" s="148"/>
      <c r="HL52" s="148"/>
      <c r="HM52" s="148"/>
      <c r="HN52" s="148"/>
      <c r="HO52" s="148"/>
      <c r="HP52" s="148"/>
      <c r="HQ52" s="148"/>
      <c r="HR52" s="148"/>
      <c r="HS52" s="148"/>
      <c r="HT52" s="148"/>
      <c r="HU52" s="148"/>
      <c r="HV52" s="148"/>
      <c r="HW52" s="148"/>
      <c r="HX52" s="148"/>
      <c r="HY52" s="148"/>
      <c r="HZ52" s="148"/>
      <c r="IA52" s="148"/>
      <c r="IB52" s="148"/>
      <c r="IC52" s="148"/>
      <c r="ID52" s="148"/>
      <c r="IE52" s="148"/>
      <c r="IF52" s="148"/>
      <c r="IG52" s="148"/>
      <c r="IH52" s="148"/>
      <c r="II52" s="148"/>
      <c r="IJ52" s="148"/>
      <c r="IK52" s="148"/>
      <c r="IL52" s="148"/>
      <c r="IM52" s="148"/>
      <c r="IN52" s="148"/>
      <c r="IO52" s="148"/>
      <c r="IP52" s="148"/>
      <c r="IQ52" s="148"/>
      <c r="IR52" s="148"/>
      <c r="IS52" s="148"/>
      <c r="IT52" s="148"/>
      <c r="IU52" s="148"/>
      <c r="IV52" s="148"/>
      <c r="IW52" s="148"/>
      <c r="IX52" s="148"/>
      <c r="IY52" s="148"/>
      <c r="IZ52" s="148"/>
      <c r="JA52" s="148"/>
    </row>
    <row r="53" spans="1:261" ht="22.5" customHeight="1" x14ac:dyDescent="0.35">
      <c r="A53" s="1423">
        <v>42</v>
      </c>
      <c r="B53" s="1589"/>
      <c r="C53" s="1558">
        <v>9</v>
      </c>
      <c r="D53" s="1646" t="s">
        <v>713</v>
      </c>
      <c r="E53" s="1560"/>
      <c r="F53" s="1561"/>
      <c r="G53" s="1562"/>
      <c r="H53" s="1563" t="s">
        <v>24</v>
      </c>
      <c r="I53" s="1564"/>
      <c r="J53" s="1565"/>
      <c r="K53" s="1565"/>
      <c r="L53" s="1565"/>
      <c r="M53" s="1565"/>
      <c r="N53" s="1565"/>
      <c r="O53" s="1576"/>
      <c r="P53" s="1567"/>
    </row>
    <row r="54" spans="1:261" s="272" customFormat="1" ht="18" customHeight="1" x14ac:dyDescent="0.35">
      <c r="A54" s="1423">
        <v>43</v>
      </c>
      <c r="B54" s="1557"/>
      <c r="C54" s="1582"/>
      <c r="D54" s="1585" t="s">
        <v>311</v>
      </c>
      <c r="E54" s="1560">
        <f>F54+G54+O57+P54</f>
        <v>3095</v>
      </c>
      <c r="F54" s="1561"/>
      <c r="G54" s="1562"/>
      <c r="H54" s="1563"/>
      <c r="I54" s="1564"/>
      <c r="J54" s="1565"/>
      <c r="K54" s="1565">
        <f>5000-1905</f>
        <v>3095</v>
      </c>
      <c r="L54" s="1565"/>
      <c r="M54" s="1565"/>
      <c r="N54" s="1565"/>
      <c r="O54" s="1566">
        <f>SUM(I54:N54)</f>
        <v>3095</v>
      </c>
      <c r="P54" s="1567"/>
      <c r="Q54" s="148"/>
      <c r="R54" s="148"/>
      <c r="S54" s="148"/>
      <c r="T54" s="148"/>
      <c r="U54" s="148"/>
      <c r="V54" s="148"/>
      <c r="W54" s="148"/>
      <c r="X54" s="148"/>
      <c r="Y54" s="148"/>
      <c r="Z54" s="148"/>
      <c r="AA54" s="148"/>
      <c r="AB54" s="148"/>
      <c r="AC54" s="148"/>
      <c r="AD54" s="148"/>
      <c r="AE54" s="148"/>
      <c r="AF54" s="148"/>
      <c r="AG54" s="148"/>
      <c r="AH54" s="148"/>
      <c r="AI54" s="148"/>
      <c r="AJ54" s="148"/>
      <c r="AK54" s="148"/>
      <c r="AL54" s="148"/>
      <c r="AM54" s="148"/>
      <c r="AN54" s="148"/>
      <c r="AO54" s="148"/>
      <c r="AP54" s="148"/>
      <c r="AQ54" s="148"/>
      <c r="AR54" s="148"/>
      <c r="AS54" s="148"/>
      <c r="AT54" s="148"/>
      <c r="AU54" s="148"/>
      <c r="AV54" s="148"/>
      <c r="AW54" s="148"/>
      <c r="AX54" s="148"/>
      <c r="AY54" s="148"/>
      <c r="AZ54" s="148"/>
      <c r="BA54" s="148"/>
      <c r="BB54" s="148"/>
      <c r="BC54" s="148"/>
      <c r="BD54" s="148"/>
      <c r="BE54" s="148"/>
      <c r="BF54" s="148"/>
      <c r="BG54" s="148"/>
      <c r="BH54" s="148"/>
      <c r="BI54" s="148"/>
      <c r="BJ54" s="148"/>
      <c r="BK54" s="148"/>
      <c r="BL54" s="148"/>
      <c r="BM54" s="148"/>
      <c r="BN54" s="148"/>
      <c r="BO54" s="148"/>
      <c r="BP54" s="148"/>
      <c r="BQ54" s="148"/>
      <c r="BR54" s="148"/>
      <c r="BS54" s="148"/>
      <c r="BT54" s="148"/>
      <c r="BU54" s="148"/>
      <c r="BV54" s="148"/>
      <c r="BW54" s="148"/>
      <c r="BX54" s="148"/>
      <c r="BY54" s="148"/>
      <c r="BZ54" s="148"/>
      <c r="CA54" s="148"/>
      <c r="CB54" s="148"/>
      <c r="CC54" s="148"/>
      <c r="CD54" s="148"/>
      <c r="CE54" s="148"/>
      <c r="CF54" s="148"/>
      <c r="CG54" s="148"/>
      <c r="CH54" s="148"/>
      <c r="CI54" s="148"/>
      <c r="CJ54" s="148"/>
      <c r="CK54" s="148"/>
      <c r="CL54" s="148"/>
      <c r="CM54" s="148"/>
      <c r="CN54" s="148"/>
      <c r="CO54" s="148"/>
      <c r="CP54" s="148"/>
      <c r="CQ54" s="148"/>
      <c r="CR54" s="148"/>
      <c r="CS54" s="148"/>
      <c r="CT54" s="148"/>
      <c r="CU54" s="148"/>
      <c r="CV54" s="148"/>
      <c r="CW54" s="148"/>
      <c r="CX54" s="148"/>
      <c r="CY54" s="148"/>
      <c r="CZ54" s="148"/>
      <c r="DA54" s="148"/>
      <c r="DB54" s="148"/>
      <c r="DC54" s="148"/>
      <c r="DD54" s="148"/>
      <c r="DE54" s="148"/>
      <c r="DF54" s="148"/>
      <c r="DG54" s="148"/>
      <c r="DH54" s="148"/>
      <c r="DI54" s="148"/>
      <c r="DJ54" s="148"/>
      <c r="DK54" s="148"/>
      <c r="DL54" s="148"/>
      <c r="DM54" s="148"/>
      <c r="DN54" s="148"/>
      <c r="DO54" s="148"/>
      <c r="DP54" s="148"/>
      <c r="DQ54" s="148"/>
      <c r="DR54" s="148"/>
      <c r="DS54" s="148"/>
      <c r="DT54" s="148"/>
      <c r="DU54" s="148"/>
      <c r="DV54" s="148"/>
      <c r="DW54" s="148"/>
      <c r="DX54" s="148"/>
      <c r="DY54" s="148"/>
      <c r="DZ54" s="148"/>
      <c r="EA54" s="148"/>
      <c r="EB54" s="148"/>
      <c r="EC54" s="148"/>
      <c r="ED54" s="148"/>
      <c r="EE54" s="148"/>
      <c r="EF54" s="148"/>
      <c r="EG54" s="148"/>
      <c r="EH54" s="148"/>
      <c r="EI54" s="148"/>
      <c r="EJ54" s="148"/>
      <c r="EK54" s="148"/>
      <c r="EL54" s="148"/>
      <c r="EM54" s="148"/>
      <c r="EN54" s="148"/>
      <c r="EO54" s="148"/>
      <c r="EP54" s="148"/>
      <c r="EQ54" s="148"/>
      <c r="ER54" s="148"/>
      <c r="ES54" s="148"/>
      <c r="ET54" s="148"/>
      <c r="EU54" s="148"/>
      <c r="EV54" s="148"/>
      <c r="EW54" s="148"/>
      <c r="EX54" s="148"/>
      <c r="EY54" s="148"/>
      <c r="EZ54" s="148"/>
      <c r="FA54" s="148"/>
      <c r="FB54" s="148"/>
      <c r="FC54" s="148"/>
      <c r="FD54" s="148"/>
      <c r="FE54" s="148"/>
      <c r="FF54" s="148"/>
      <c r="FG54" s="148"/>
      <c r="FH54" s="148"/>
      <c r="FI54" s="148"/>
      <c r="FJ54" s="148"/>
      <c r="FK54" s="148"/>
      <c r="FL54" s="148"/>
      <c r="FM54" s="148"/>
      <c r="FN54" s="148"/>
      <c r="FO54" s="148"/>
      <c r="FP54" s="148"/>
      <c r="FQ54" s="148"/>
      <c r="FR54" s="148"/>
      <c r="FS54" s="148"/>
      <c r="FT54" s="148"/>
      <c r="FU54" s="148"/>
      <c r="FV54" s="148"/>
      <c r="FW54" s="148"/>
      <c r="FX54" s="148"/>
      <c r="FY54" s="148"/>
      <c r="FZ54" s="148"/>
      <c r="GA54" s="148"/>
      <c r="GB54" s="148"/>
      <c r="GC54" s="148"/>
      <c r="GD54" s="148"/>
      <c r="GE54" s="148"/>
      <c r="GF54" s="148"/>
      <c r="GG54" s="148"/>
      <c r="GH54" s="148"/>
      <c r="GI54" s="148"/>
      <c r="GJ54" s="148"/>
      <c r="GK54" s="148"/>
      <c r="GL54" s="148"/>
      <c r="GM54" s="148"/>
      <c r="GN54" s="148"/>
      <c r="GO54" s="148"/>
      <c r="GP54" s="148"/>
      <c r="GQ54" s="148"/>
      <c r="GR54" s="148"/>
      <c r="GS54" s="148"/>
      <c r="GT54" s="148"/>
      <c r="GU54" s="148"/>
      <c r="GV54" s="148"/>
      <c r="GW54" s="148"/>
      <c r="GX54" s="148"/>
      <c r="GY54" s="148"/>
      <c r="GZ54" s="148"/>
      <c r="HA54" s="148"/>
      <c r="HB54" s="148"/>
      <c r="HC54" s="148"/>
      <c r="HD54" s="148"/>
      <c r="HE54" s="148"/>
      <c r="HF54" s="148"/>
      <c r="HG54" s="148"/>
      <c r="HH54" s="148"/>
      <c r="HI54" s="148"/>
      <c r="HJ54" s="148"/>
      <c r="HK54" s="148"/>
      <c r="HL54" s="148"/>
      <c r="HM54" s="148"/>
      <c r="HN54" s="148"/>
      <c r="HO54" s="148"/>
      <c r="HP54" s="148"/>
      <c r="HQ54" s="148"/>
      <c r="HR54" s="148"/>
      <c r="HS54" s="148"/>
      <c r="HT54" s="148"/>
      <c r="HU54" s="148"/>
      <c r="HV54" s="148"/>
      <c r="HW54" s="148"/>
      <c r="HX54" s="148"/>
      <c r="HY54" s="148"/>
      <c r="HZ54" s="148"/>
      <c r="IA54" s="148"/>
      <c r="IB54" s="148"/>
      <c r="IC54" s="148"/>
      <c r="ID54" s="148"/>
      <c r="IE54" s="148"/>
      <c r="IF54" s="148"/>
      <c r="IG54" s="148"/>
      <c r="IH54" s="148"/>
      <c r="II54" s="148"/>
      <c r="IJ54" s="148"/>
      <c r="IK54" s="148"/>
      <c r="IL54" s="148"/>
      <c r="IM54" s="148"/>
      <c r="IN54" s="148"/>
      <c r="IO54" s="148"/>
      <c r="IP54" s="148"/>
      <c r="IQ54" s="148"/>
      <c r="IR54" s="148"/>
      <c r="IS54" s="148"/>
      <c r="IT54" s="148"/>
      <c r="IU54" s="148"/>
      <c r="IV54" s="148"/>
      <c r="IW54" s="148"/>
      <c r="IX54" s="148"/>
      <c r="IY54" s="148"/>
      <c r="IZ54" s="148"/>
      <c r="JA54" s="148"/>
    </row>
    <row r="55" spans="1:261" s="272" customFormat="1" ht="18" customHeight="1" x14ac:dyDescent="0.35">
      <c r="A55" s="1423">
        <v>44</v>
      </c>
      <c r="B55" s="1557"/>
      <c r="C55" s="1582"/>
      <c r="D55" s="1163" t="s">
        <v>1064</v>
      </c>
      <c r="E55" s="1560"/>
      <c r="F55" s="1561"/>
      <c r="G55" s="1562"/>
      <c r="H55" s="1563"/>
      <c r="I55" s="1564"/>
      <c r="J55" s="1565"/>
      <c r="K55" s="1575">
        <v>3095</v>
      </c>
      <c r="L55" s="1575"/>
      <c r="M55" s="1575"/>
      <c r="N55" s="1575"/>
      <c r="O55" s="1576">
        <f>SUM(I55:N55)</f>
        <v>3095</v>
      </c>
      <c r="P55" s="1567"/>
      <c r="Q55" s="148"/>
      <c r="R55" s="148"/>
      <c r="S55" s="148"/>
      <c r="T55" s="148"/>
      <c r="U55" s="148"/>
      <c r="V55" s="148"/>
      <c r="W55" s="148"/>
      <c r="X55" s="148"/>
      <c r="Y55" s="148"/>
      <c r="Z55" s="148"/>
      <c r="AA55" s="148"/>
      <c r="AB55" s="148"/>
      <c r="AC55" s="148"/>
      <c r="AD55" s="148"/>
      <c r="AE55" s="148"/>
      <c r="AF55" s="148"/>
      <c r="AG55" s="148"/>
      <c r="AH55" s="148"/>
      <c r="AI55" s="148"/>
      <c r="AJ55" s="148"/>
      <c r="AK55" s="148"/>
      <c r="AL55" s="148"/>
      <c r="AM55" s="148"/>
      <c r="AN55" s="148"/>
      <c r="AO55" s="148"/>
      <c r="AP55" s="148"/>
      <c r="AQ55" s="148"/>
      <c r="AR55" s="148"/>
      <c r="AS55" s="148"/>
      <c r="AT55" s="148"/>
      <c r="AU55" s="148"/>
      <c r="AV55" s="148"/>
      <c r="AW55" s="148"/>
      <c r="AX55" s="148"/>
      <c r="AY55" s="148"/>
      <c r="AZ55" s="148"/>
      <c r="BA55" s="148"/>
      <c r="BB55" s="148"/>
      <c r="BC55" s="148"/>
      <c r="BD55" s="148"/>
      <c r="BE55" s="148"/>
      <c r="BF55" s="148"/>
      <c r="BG55" s="148"/>
      <c r="BH55" s="148"/>
      <c r="BI55" s="148"/>
      <c r="BJ55" s="148"/>
      <c r="BK55" s="148"/>
      <c r="BL55" s="148"/>
      <c r="BM55" s="148"/>
      <c r="BN55" s="148"/>
      <c r="BO55" s="148"/>
      <c r="BP55" s="148"/>
      <c r="BQ55" s="148"/>
      <c r="BR55" s="148"/>
      <c r="BS55" s="148"/>
      <c r="BT55" s="148"/>
      <c r="BU55" s="148"/>
      <c r="BV55" s="148"/>
      <c r="BW55" s="148"/>
      <c r="BX55" s="148"/>
      <c r="BY55" s="148"/>
      <c r="BZ55" s="148"/>
      <c r="CA55" s="148"/>
      <c r="CB55" s="148"/>
      <c r="CC55" s="148"/>
      <c r="CD55" s="148"/>
      <c r="CE55" s="148"/>
      <c r="CF55" s="148"/>
      <c r="CG55" s="148"/>
      <c r="CH55" s="148"/>
      <c r="CI55" s="148"/>
      <c r="CJ55" s="148"/>
      <c r="CK55" s="148"/>
      <c r="CL55" s="148"/>
      <c r="CM55" s="148"/>
      <c r="CN55" s="148"/>
      <c r="CO55" s="148"/>
      <c r="CP55" s="148"/>
      <c r="CQ55" s="148"/>
      <c r="CR55" s="148"/>
      <c r="CS55" s="148"/>
      <c r="CT55" s="148"/>
      <c r="CU55" s="148"/>
      <c r="CV55" s="148"/>
      <c r="CW55" s="148"/>
      <c r="CX55" s="148"/>
      <c r="CY55" s="148"/>
      <c r="CZ55" s="148"/>
      <c r="DA55" s="148"/>
      <c r="DB55" s="148"/>
      <c r="DC55" s="148"/>
      <c r="DD55" s="148"/>
      <c r="DE55" s="148"/>
      <c r="DF55" s="148"/>
      <c r="DG55" s="148"/>
      <c r="DH55" s="148"/>
      <c r="DI55" s="148"/>
      <c r="DJ55" s="148"/>
      <c r="DK55" s="148"/>
      <c r="DL55" s="148"/>
      <c r="DM55" s="148"/>
      <c r="DN55" s="148"/>
      <c r="DO55" s="148"/>
      <c r="DP55" s="148"/>
      <c r="DQ55" s="148"/>
      <c r="DR55" s="148"/>
      <c r="DS55" s="148"/>
      <c r="DT55" s="148"/>
      <c r="DU55" s="148"/>
      <c r="DV55" s="148"/>
      <c r="DW55" s="148"/>
      <c r="DX55" s="148"/>
      <c r="DY55" s="148"/>
      <c r="DZ55" s="148"/>
      <c r="EA55" s="148"/>
      <c r="EB55" s="148"/>
      <c r="EC55" s="148"/>
      <c r="ED55" s="148"/>
      <c r="EE55" s="148"/>
      <c r="EF55" s="148"/>
      <c r="EG55" s="148"/>
      <c r="EH55" s="148"/>
      <c r="EI55" s="148"/>
      <c r="EJ55" s="148"/>
      <c r="EK55" s="148"/>
      <c r="EL55" s="148"/>
      <c r="EM55" s="148"/>
      <c r="EN55" s="148"/>
      <c r="EO55" s="148"/>
      <c r="EP55" s="148"/>
      <c r="EQ55" s="148"/>
      <c r="ER55" s="148"/>
      <c r="ES55" s="148"/>
      <c r="ET55" s="148"/>
      <c r="EU55" s="148"/>
      <c r="EV55" s="148"/>
      <c r="EW55" s="148"/>
      <c r="EX55" s="148"/>
      <c r="EY55" s="148"/>
      <c r="EZ55" s="148"/>
      <c r="FA55" s="148"/>
      <c r="FB55" s="148"/>
      <c r="FC55" s="148"/>
      <c r="FD55" s="148"/>
      <c r="FE55" s="148"/>
      <c r="FF55" s="148"/>
      <c r="FG55" s="148"/>
      <c r="FH55" s="148"/>
      <c r="FI55" s="148"/>
      <c r="FJ55" s="148"/>
      <c r="FK55" s="148"/>
      <c r="FL55" s="148"/>
      <c r="FM55" s="148"/>
      <c r="FN55" s="148"/>
      <c r="FO55" s="148"/>
      <c r="FP55" s="148"/>
      <c r="FQ55" s="148"/>
      <c r="FR55" s="148"/>
      <c r="FS55" s="148"/>
      <c r="FT55" s="148"/>
      <c r="FU55" s="148"/>
      <c r="FV55" s="148"/>
      <c r="FW55" s="148"/>
      <c r="FX55" s="148"/>
      <c r="FY55" s="148"/>
      <c r="FZ55" s="148"/>
      <c r="GA55" s="148"/>
      <c r="GB55" s="148"/>
      <c r="GC55" s="148"/>
      <c r="GD55" s="148"/>
      <c r="GE55" s="148"/>
      <c r="GF55" s="148"/>
      <c r="GG55" s="148"/>
      <c r="GH55" s="148"/>
      <c r="GI55" s="148"/>
      <c r="GJ55" s="148"/>
      <c r="GK55" s="148"/>
      <c r="GL55" s="148"/>
      <c r="GM55" s="148"/>
      <c r="GN55" s="148"/>
      <c r="GO55" s="148"/>
      <c r="GP55" s="148"/>
      <c r="GQ55" s="148"/>
      <c r="GR55" s="148"/>
      <c r="GS55" s="148"/>
      <c r="GT55" s="148"/>
      <c r="GU55" s="148"/>
      <c r="GV55" s="148"/>
      <c r="GW55" s="148"/>
      <c r="GX55" s="148"/>
      <c r="GY55" s="148"/>
      <c r="GZ55" s="148"/>
      <c r="HA55" s="148"/>
      <c r="HB55" s="148"/>
      <c r="HC55" s="148"/>
      <c r="HD55" s="148"/>
      <c r="HE55" s="148"/>
      <c r="HF55" s="148"/>
      <c r="HG55" s="148"/>
      <c r="HH55" s="148"/>
      <c r="HI55" s="148"/>
      <c r="HJ55" s="148"/>
      <c r="HK55" s="148"/>
      <c r="HL55" s="148"/>
      <c r="HM55" s="148"/>
      <c r="HN55" s="148"/>
      <c r="HO55" s="148"/>
      <c r="HP55" s="148"/>
      <c r="HQ55" s="148"/>
      <c r="HR55" s="148"/>
      <c r="HS55" s="148"/>
      <c r="HT55" s="148"/>
      <c r="HU55" s="148"/>
      <c r="HV55" s="148"/>
      <c r="HW55" s="148"/>
      <c r="HX55" s="148"/>
      <c r="HY55" s="148"/>
      <c r="HZ55" s="148"/>
      <c r="IA55" s="148"/>
      <c r="IB55" s="148"/>
      <c r="IC55" s="148"/>
      <c r="ID55" s="148"/>
      <c r="IE55" s="148"/>
      <c r="IF55" s="148"/>
      <c r="IG55" s="148"/>
      <c r="IH55" s="148"/>
      <c r="II55" s="148"/>
      <c r="IJ55" s="148"/>
      <c r="IK55" s="148"/>
      <c r="IL55" s="148"/>
      <c r="IM55" s="148"/>
      <c r="IN55" s="148"/>
      <c r="IO55" s="148"/>
      <c r="IP55" s="148"/>
      <c r="IQ55" s="148"/>
      <c r="IR55" s="148"/>
      <c r="IS55" s="148"/>
      <c r="IT55" s="148"/>
      <c r="IU55" s="148"/>
      <c r="IV55" s="148"/>
      <c r="IW55" s="148"/>
      <c r="IX55" s="148"/>
      <c r="IY55" s="148"/>
      <c r="IZ55" s="148"/>
      <c r="JA55" s="148"/>
    </row>
    <row r="56" spans="1:261" s="272" customFormat="1" ht="18" customHeight="1" x14ac:dyDescent="0.35">
      <c r="A56" s="1423">
        <v>45</v>
      </c>
      <c r="B56" s="1557"/>
      <c r="C56" s="1582"/>
      <c r="D56" s="1174" t="s">
        <v>999</v>
      </c>
      <c r="E56" s="1560"/>
      <c r="F56" s="1561"/>
      <c r="G56" s="1562"/>
      <c r="H56" s="1563"/>
      <c r="I56" s="1580"/>
      <c r="J56" s="1574"/>
      <c r="K56" s="1574"/>
      <c r="L56" s="1574"/>
      <c r="M56" s="1574"/>
      <c r="N56" s="1574"/>
      <c r="O56" s="1576">
        <f>SUM(I56:N56)</f>
        <v>0</v>
      </c>
      <c r="P56" s="1567"/>
      <c r="Q56" s="148"/>
      <c r="R56" s="148"/>
      <c r="S56" s="148"/>
      <c r="T56" s="148"/>
      <c r="U56" s="148"/>
      <c r="V56" s="148"/>
      <c r="W56" s="148"/>
      <c r="X56" s="148"/>
      <c r="Y56" s="148"/>
      <c r="Z56" s="148"/>
      <c r="AA56" s="148"/>
      <c r="AB56" s="148"/>
      <c r="AC56" s="148"/>
      <c r="AD56" s="148"/>
      <c r="AE56" s="148"/>
      <c r="AF56" s="148"/>
      <c r="AG56" s="148"/>
      <c r="AH56" s="148"/>
      <c r="AI56" s="148"/>
      <c r="AJ56" s="148"/>
      <c r="AK56" s="148"/>
      <c r="AL56" s="148"/>
      <c r="AM56" s="148"/>
      <c r="AN56" s="148"/>
      <c r="AO56" s="148"/>
      <c r="AP56" s="148"/>
      <c r="AQ56" s="148"/>
      <c r="AR56" s="148"/>
      <c r="AS56" s="148"/>
      <c r="AT56" s="148"/>
      <c r="AU56" s="148"/>
      <c r="AV56" s="148"/>
      <c r="AW56" s="148"/>
      <c r="AX56" s="148"/>
      <c r="AY56" s="148"/>
      <c r="AZ56" s="148"/>
      <c r="BA56" s="148"/>
      <c r="BB56" s="148"/>
      <c r="BC56" s="148"/>
      <c r="BD56" s="148"/>
      <c r="BE56" s="148"/>
      <c r="BF56" s="148"/>
      <c r="BG56" s="148"/>
      <c r="BH56" s="148"/>
      <c r="BI56" s="148"/>
      <c r="BJ56" s="148"/>
      <c r="BK56" s="148"/>
      <c r="BL56" s="148"/>
      <c r="BM56" s="148"/>
      <c r="BN56" s="148"/>
      <c r="BO56" s="148"/>
      <c r="BP56" s="148"/>
      <c r="BQ56" s="148"/>
      <c r="BR56" s="148"/>
      <c r="BS56" s="148"/>
      <c r="BT56" s="148"/>
      <c r="BU56" s="148"/>
      <c r="BV56" s="148"/>
      <c r="BW56" s="148"/>
      <c r="BX56" s="148"/>
      <c r="BY56" s="148"/>
      <c r="BZ56" s="148"/>
      <c r="CA56" s="148"/>
      <c r="CB56" s="148"/>
      <c r="CC56" s="148"/>
      <c r="CD56" s="148"/>
      <c r="CE56" s="148"/>
      <c r="CF56" s="148"/>
      <c r="CG56" s="148"/>
      <c r="CH56" s="148"/>
      <c r="CI56" s="148"/>
      <c r="CJ56" s="148"/>
      <c r="CK56" s="148"/>
      <c r="CL56" s="148"/>
      <c r="CM56" s="148"/>
      <c r="CN56" s="148"/>
      <c r="CO56" s="148"/>
      <c r="CP56" s="148"/>
      <c r="CQ56" s="148"/>
      <c r="CR56" s="148"/>
      <c r="CS56" s="148"/>
      <c r="CT56" s="148"/>
      <c r="CU56" s="148"/>
      <c r="CV56" s="148"/>
      <c r="CW56" s="148"/>
      <c r="CX56" s="148"/>
      <c r="CY56" s="148"/>
      <c r="CZ56" s="148"/>
      <c r="DA56" s="148"/>
      <c r="DB56" s="148"/>
      <c r="DC56" s="148"/>
      <c r="DD56" s="148"/>
      <c r="DE56" s="148"/>
      <c r="DF56" s="148"/>
      <c r="DG56" s="148"/>
      <c r="DH56" s="148"/>
      <c r="DI56" s="148"/>
      <c r="DJ56" s="148"/>
      <c r="DK56" s="148"/>
      <c r="DL56" s="148"/>
      <c r="DM56" s="148"/>
      <c r="DN56" s="148"/>
      <c r="DO56" s="148"/>
      <c r="DP56" s="148"/>
      <c r="DQ56" s="148"/>
      <c r="DR56" s="148"/>
      <c r="DS56" s="148"/>
      <c r="DT56" s="148"/>
      <c r="DU56" s="148"/>
      <c r="DV56" s="148"/>
      <c r="DW56" s="148"/>
      <c r="DX56" s="148"/>
      <c r="DY56" s="148"/>
      <c r="DZ56" s="148"/>
      <c r="EA56" s="148"/>
      <c r="EB56" s="148"/>
      <c r="EC56" s="148"/>
      <c r="ED56" s="148"/>
      <c r="EE56" s="148"/>
      <c r="EF56" s="148"/>
      <c r="EG56" s="148"/>
      <c r="EH56" s="148"/>
      <c r="EI56" s="148"/>
      <c r="EJ56" s="148"/>
      <c r="EK56" s="148"/>
      <c r="EL56" s="148"/>
      <c r="EM56" s="148"/>
      <c r="EN56" s="148"/>
      <c r="EO56" s="148"/>
      <c r="EP56" s="148"/>
      <c r="EQ56" s="148"/>
      <c r="ER56" s="148"/>
      <c r="ES56" s="148"/>
      <c r="ET56" s="148"/>
      <c r="EU56" s="148"/>
      <c r="EV56" s="148"/>
      <c r="EW56" s="148"/>
      <c r="EX56" s="148"/>
      <c r="EY56" s="148"/>
      <c r="EZ56" s="148"/>
      <c r="FA56" s="148"/>
      <c r="FB56" s="148"/>
      <c r="FC56" s="148"/>
      <c r="FD56" s="148"/>
      <c r="FE56" s="148"/>
      <c r="FF56" s="148"/>
      <c r="FG56" s="148"/>
      <c r="FH56" s="148"/>
      <c r="FI56" s="148"/>
      <c r="FJ56" s="148"/>
      <c r="FK56" s="148"/>
      <c r="FL56" s="148"/>
      <c r="FM56" s="148"/>
      <c r="FN56" s="148"/>
      <c r="FO56" s="148"/>
      <c r="FP56" s="148"/>
      <c r="FQ56" s="148"/>
      <c r="FR56" s="148"/>
      <c r="FS56" s="148"/>
      <c r="FT56" s="148"/>
      <c r="FU56" s="148"/>
      <c r="FV56" s="148"/>
      <c r="FW56" s="148"/>
      <c r="FX56" s="148"/>
      <c r="FY56" s="148"/>
      <c r="FZ56" s="148"/>
      <c r="GA56" s="148"/>
      <c r="GB56" s="148"/>
      <c r="GC56" s="148"/>
      <c r="GD56" s="148"/>
      <c r="GE56" s="148"/>
      <c r="GF56" s="148"/>
      <c r="GG56" s="148"/>
      <c r="GH56" s="148"/>
      <c r="GI56" s="148"/>
      <c r="GJ56" s="148"/>
      <c r="GK56" s="148"/>
      <c r="GL56" s="148"/>
      <c r="GM56" s="148"/>
      <c r="GN56" s="148"/>
      <c r="GO56" s="148"/>
      <c r="GP56" s="148"/>
      <c r="GQ56" s="148"/>
      <c r="GR56" s="148"/>
      <c r="GS56" s="148"/>
      <c r="GT56" s="148"/>
      <c r="GU56" s="148"/>
      <c r="GV56" s="148"/>
      <c r="GW56" s="148"/>
      <c r="GX56" s="148"/>
      <c r="GY56" s="148"/>
      <c r="GZ56" s="148"/>
      <c r="HA56" s="148"/>
      <c r="HB56" s="148"/>
      <c r="HC56" s="148"/>
      <c r="HD56" s="148"/>
      <c r="HE56" s="148"/>
      <c r="HF56" s="148"/>
      <c r="HG56" s="148"/>
      <c r="HH56" s="148"/>
      <c r="HI56" s="148"/>
      <c r="HJ56" s="148"/>
      <c r="HK56" s="148"/>
      <c r="HL56" s="148"/>
      <c r="HM56" s="148"/>
      <c r="HN56" s="148"/>
      <c r="HO56" s="148"/>
      <c r="HP56" s="148"/>
      <c r="HQ56" s="148"/>
      <c r="HR56" s="148"/>
      <c r="HS56" s="148"/>
      <c r="HT56" s="148"/>
      <c r="HU56" s="148"/>
      <c r="HV56" s="148"/>
      <c r="HW56" s="148"/>
      <c r="HX56" s="148"/>
      <c r="HY56" s="148"/>
      <c r="HZ56" s="148"/>
      <c r="IA56" s="148"/>
      <c r="IB56" s="148"/>
      <c r="IC56" s="148"/>
      <c r="ID56" s="148"/>
      <c r="IE56" s="148"/>
      <c r="IF56" s="148"/>
      <c r="IG56" s="148"/>
      <c r="IH56" s="148"/>
      <c r="II56" s="148"/>
      <c r="IJ56" s="148"/>
      <c r="IK56" s="148"/>
      <c r="IL56" s="148"/>
      <c r="IM56" s="148"/>
      <c r="IN56" s="148"/>
      <c r="IO56" s="148"/>
      <c r="IP56" s="148"/>
      <c r="IQ56" s="148"/>
      <c r="IR56" s="148"/>
      <c r="IS56" s="148"/>
      <c r="IT56" s="148"/>
      <c r="IU56" s="148"/>
      <c r="IV56" s="148"/>
      <c r="IW56" s="148"/>
      <c r="IX56" s="148"/>
      <c r="IY56" s="148"/>
      <c r="IZ56" s="148"/>
      <c r="JA56" s="148"/>
    </row>
    <row r="57" spans="1:261" s="272" customFormat="1" ht="18" customHeight="1" x14ac:dyDescent="0.35">
      <c r="A57" s="1423">
        <v>46</v>
      </c>
      <c r="B57" s="1557"/>
      <c r="C57" s="1582"/>
      <c r="D57" s="1163" t="s">
        <v>1116</v>
      </c>
      <c r="E57" s="1560"/>
      <c r="F57" s="1561"/>
      <c r="G57" s="1562"/>
      <c r="H57" s="1563"/>
      <c r="I57" s="1580"/>
      <c r="J57" s="1574"/>
      <c r="K57" s="1575">
        <f>SUM(K55:K56)</f>
        <v>3095</v>
      </c>
      <c r="L57" s="1574"/>
      <c r="M57" s="1574"/>
      <c r="N57" s="1574"/>
      <c r="O57" s="1576">
        <f>SUM(I57:N57)</f>
        <v>3095</v>
      </c>
      <c r="P57" s="1567"/>
      <c r="Q57" s="148"/>
      <c r="R57" s="148"/>
      <c r="S57" s="148"/>
      <c r="T57" s="148"/>
      <c r="U57" s="148"/>
      <c r="V57" s="148"/>
      <c r="W57" s="148"/>
      <c r="X57" s="148"/>
      <c r="Y57" s="148"/>
      <c r="Z57" s="148"/>
      <c r="AA57" s="148"/>
      <c r="AB57" s="148"/>
      <c r="AC57" s="148"/>
      <c r="AD57" s="148"/>
      <c r="AE57" s="148"/>
      <c r="AF57" s="148"/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148"/>
      <c r="AR57" s="148"/>
      <c r="AS57" s="148"/>
      <c r="AT57" s="148"/>
      <c r="AU57" s="148"/>
      <c r="AV57" s="148"/>
      <c r="AW57" s="148"/>
      <c r="AX57" s="148"/>
      <c r="AY57" s="148"/>
      <c r="AZ57" s="148"/>
      <c r="BA57" s="148"/>
      <c r="BB57" s="148"/>
      <c r="BC57" s="148"/>
      <c r="BD57" s="148"/>
      <c r="BE57" s="148"/>
      <c r="BF57" s="148"/>
      <c r="BG57" s="148"/>
      <c r="BH57" s="148"/>
      <c r="BI57" s="148"/>
      <c r="BJ57" s="148"/>
      <c r="BK57" s="148"/>
      <c r="BL57" s="148"/>
      <c r="BM57" s="148"/>
      <c r="BN57" s="148"/>
      <c r="BO57" s="148"/>
      <c r="BP57" s="148"/>
      <c r="BQ57" s="148"/>
      <c r="BR57" s="148"/>
      <c r="BS57" s="148"/>
      <c r="BT57" s="148"/>
      <c r="BU57" s="148"/>
      <c r="BV57" s="148"/>
      <c r="BW57" s="148"/>
      <c r="BX57" s="148"/>
      <c r="BY57" s="148"/>
      <c r="BZ57" s="148"/>
      <c r="CA57" s="148"/>
      <c r="CB57" s="148"/>
      <c r="CC57" s="148"/>
      <c r="CD57" s="148"/>
      <c r="CE57" s="148"/>
      <c r="CF57" s="148"/>
      <c r="CG57" s="148"/>
      <c r="CH57" s="148"/>
      <c r="CI57" s="148"/>
      <c r="CJ57" s="148"/>
      <c r="CK57" s="148"/>
      <c r="CL57" s="148"/>
      <c r="CM57" s="148"/>
      <c r="CN57" s="148"/>
      <c r="CO57" s="148"/>
      <c r="CP57" s="148"/>
      <c r="CQ57" s="148"/>
      <c r="CR57" s="148"/>
      <c r="CS57" s="148"/>
      <c r="CT57" s="148"/>
      <c r="CU57" s="148"/>
      <c r="CV57" s="148"/>
      <c r="CW57" s="148"/>
      <c r="CX57" s="148"/>
      <c r="CY57" s="148"/>
      <c r="CZ57" s="148"/>
      <c r="DA57" s="148"/>
      <c r="DB57" s="148"/>
      <c r="DC57" s="148"/>
      <c r="DD57" s="148"/>
      <c r="DE57" s="148"/>
      <c r="DF57" s="148"/>
      <c r="DG57" s="148"/>
      <c r="DH57" s="148"/>
      <c r="DI57" s="148"/>
      <c r="DJ57" s="148"/>
      <c r="DK57" s="148"/>
      <c r="DL57" s="148"/>
      <c r="DM57" s="148"/>
      <c r="DN57" s="148"/>
      <c r="DO57" s="148"/>
      <c r="DP57" s="148"/>
      <c r="DQ57" s="148"/>
      <c r="DR57" s="148"/>
      <c r="DS57" s="148"/>
      <c r="DT57" s="148"/>
      <c r="DU57" s="148"/>
      <c r="DV57" s="148"/>
      <c r="DW57" s="148"/>
      <c r="DX57" s="148"/>
      <c r="DY57" s="148"/>
      <c r="DZ57" s="148"/>
      <c r="EA57" s="148"/>
      <c r="EB57" s="148"/>
      <c r="EC57" s="148"/>
      <c r="ED57" s="148"/>
      <c r="EE57" s="148"/>
      <c r="EF57" s="148"/>
      <c r="EG57" s="148"/>
      <c r="EH57" s="148"/>
      <c r="EI57" s="148"/>
      <c r="EJ57" s="148"/>
      <c r="EK57" s="148"/>
      <c r="EL57" s="148"/>
      <c r="EM57" s="148"/>
      <c r="EN57" s="148"/>
      <c r="EO57" s="148"/>
      <c r="EP57" s="148"/>
      <c r="EQ57" s="148"/>
      <c r="ER57" s="148"/>
      <c r="ES57" s="148"/>
      <c r="ET57" s="148"/>
      <c r="EU57" s="148"/>
      <c r="EV57" s="148"/>
      <c r="EW57" s="148"/>
      <c r="EX57" s="148"/>
      <c r="EY57" s="148"/>
      <c r="EZ57" s="148"/>
      <c r="FA57" s="148"/>
      <c r="FB57" s="148"/>
      <c r="FC57" s="148"/>
      <c r="FD57" s="148"/>
      <c r="FE57" s="148"/>
      <c r="FF57" s="148"/>
      <c r="FG57" s="148"/>
      <c r="FH57" s="148"/>
      <c r="FI57" s="148"/>
      <c r="FJ57" s="148"/>
      <c r="FK57" s="148"/>
      <c r="FL57" s="148"/>
      <c r="FM57" s="148"/>
      <c r="FN57" s="148"/>
      <c r="FO57" s="148"/>
      <c r="FP57" s="148"/>
      <c r="FQ57" s="148"/>
      <c r="FR57" s="148"/>
      <c r="FS57" s="148"/>
      <c r="FT57" s="148"/>
      <c r="FU57" s="148"/>
      <c r="FV57" s="148"/>
      <c r="FW57" s="148"/>
      <c r="FX57" s="148"/>
      <c r="FY57" s="148"/>
      <c r="FZ57" s="148"/>
      <c r="GA57" s="148"/>
      <c r="GB57" s="148"/>
      <c r="GC57" s="148"/>
      <c r="GD57" s="148"/>
      <c r="GE57" s="148"/>
      <c r="GF57" s="148"/>
      <c r="GG57" s="148"/>
      <c r="GH57" s="148"/>
      <c r="GI57" s="148"/>
      <c r="GJ57" s="148"/>
      <c r="GK57" s="148"/>
      <c r="GL57" s="148"/>
      <c r="GM57" s="148"/>
      <c r="GN57" s="148"/>
      <c r="GO57" s="148"/>
      <c r="GP57" s="148"/>
      <c r="GQ57" s="148"/>
      <c r="GR57" s="148"/>
      <c r="GS57" s="148"/>
      <c r="GT57" s="148"/>
      <c r="GU57" s="148"/>
      <c r="GV57" s="148"/>
      <c r="GW57" s="148"/>
      <c r="GX57" s="148"/>
      <c r="GY57" s="148"/>
      <c r="GZ57" s="148"/>
      <c r="HA57" s="148"/>
      <c r="HB57" s="148"/>
      <c r="HC57" s="148"/>
      <c r="HD57" s="148"/>
      <c r="HE57" s="148"/>
      <c r="HF57" s="148"/>
      <c r="HG57" s="148"/>
      <c r="HH57" s="148"/>
      <c r="HI57" s="148"/>
      <c r="HJ57" s="148"/>
      <c r="HK57" s="148"/>
      <c r="HL57" s="148"/>
      <c r="HM57" s="148"/>
      <c r="HN57" s="148"/>
      <c r="HO57" s="148"/>
      <c r="HP57" s="148"/>
      <c r="HQ57" s="148"/>
      <c r="HR57" s="148"/>
      <c r="HS57" s="148"/>
      <c r="HT57" s="148"/>
      <c r="HU57" s="148"/>
      <c r="HV57" s="148"/>
      <c r="HW57" s="148"/>
      <c r="HX57" s="148"/>
      <c r="HY57" s="148"/>
      <c r="HZ57" s="148"/>
      <c r="IA57" s="148"/>
      <c r="IB57" s="148"/>
      <c r="IC57" s="148"/>
      <c r="ID57" s="148"/>
      <c r="IE57" s="148"/>
      <c r="IF57" s="148"/>
      <c r="IG57" s="148"/>
      <c r="IH57" s="148"/>
      <c r="II57" s="148"/>
      <c r="IJ57" s="148"/>
      <c r="IK57" s="148"/>
      <c r="IL57" s="148"/>
      <c r="IM57" s="148"/>
      <c r="IN57" s="148"/>
      <c r="IO57" s="148"/>
      <c r="IP57" s="148"/>
      <c r="IQ57" s="148"/>
      <c r="IR57" s="148"/>
      <c r="IS57" s="148"/>
      <c r="IT57" s="148"/>
      <c r="IU57" s="148"/>
      <c r="IV57" s="148"/>
      <c r="IW57" s="148"/>
      <c r="IX57" s="148"/>
      <c r="IY57" s="148"/>
      <c r="IZ57" s="148"/>
      <c r="JA57" s="148"/>
    </row>
    <row r="58" spans="1:261" s="272" customFormat="1" ht="22.5" customHeight="1" x14ac:dyDescent="0.35">
      <c r="A58" s="1423">
        <v>47</v>
      </c>
      <c r="B58" s="1557"/>
      <c r="C58" s="1558">
        <v>10</v>
      </c>
      <c r="D58" s="1646" t="s">
        <v>850</v>
      </c>
      <c r="E58" s="1560"/>
      <c r="F58" s="1561"/>
      <c r="G58" s="1562"/>
      <c r="H58" s="1563" t="s">
        <v>24</v>
      </c>
      <c r="I58" s="1564"/>
      <c r="J58" s="1565"/>
      <c r="K58" s="1565"/>
      <c r="L58" s="1565"/>
      <c r="M58" s="1565"/>
      <c r="N58" s="1565"/>
      <c r="O58" s="1566"/>
      <c r="P58" s="1567"/>
      <c r="Q58" s="148"/>
      <c r="R58" s="148"/>
      <c r="S58" s="148"/>
      <c r="T58" s="148"/>
      <c r="U58" s="148"/>
      <c r="V58" s="148"/>
      <c r="W58" s="148"/>
      <c r="X58" s="148"/>
      <c r="Y58" s="148"/>
      <c r="Z58" s="148"/>
      <c r="AA58" s="148"/>
      <c r="AB58" s="148"/>
      <c r="AC58" s="148"/>
      <c r="AD58" s="148"/>
      <c r="AE58" s="148"/>
      <c r="AF58" s="148"/>
      <c r="AG58" s="148"/>
      <c r="AH58" s="148"/>
      <c r="AI58" s="148"/>
      <c r="AJ58" s="148"/>
      <c r="AK58" s="148"/>
      <c r="AL58" s="148"/>
      <c r="AM58" s="148"/>
      <c r="AN58" s="148"/>
      <c r="AO58" s="148"/>
      <c r="AP58" s="148"/>
      <c r="AQ58" s="148"/>
      <c r="AR58" s="148"/>
      <c r="AS58" s="148"/>
      <c r="AT58" s="148"/>
      <c r="AU58" s="148"/>
      <c r="AV58" s="148"/>
      <c r="AW58" s="148"/>
      <c r="AX58" s="148"/>
      <c r="AY58" s="148"/>
      <c r="AZ58" s="148"/>
      <c r="BA58" s="148"/>
      <c r="BB58" s="148"/>
      <c r="BC58" s="148"/>
      <c r="BD58" s="148"/>
      <c r="BE58" s="148"/>
      <c r="BF58" s="148"/>
      <c r="BG58" s="148"/>
      <c r="BH58" s="148"/>
      <c r="BI58" s="148"/>
      <c r="BJ58" s="148"/>
      <c r="BK58" s="148"/>
      <c r="BL58" s="148"/>
      <c r="BM58" s="148"/>
      <c r="BN58" s="148"/>
      <c r="BO58" s="148"/>
      <c r="BP58" s="148"/>
      <c r="BQ58" s="148"/>
      <c r="BR58" s="148"/>
      <c r="BS58" s="148"/>
      <c r="BT58" s="148"/>
      <c r="BU58" s="148"/>
      <c r="BV58" s="148"/>
      <c r="BW58" s="148"/>
      <c r="BX58" s="148"/>
      <c r="BY58" s="148"/>
      <c r="BZ58" s="148"/>
      <c r="CA58" s="148"/>
      <c r="CB58" s="148"/>
      <c r="CC58" s="148"/>
      <c r="CD58" s="148"/>
      <c r="CE58" s="148"/>
      <c r="CF58" s="148"/>
      <c r="CG58" s="148"/>
      <c r="CH58" s="148"/>
      <c r="CI58" s="148"/>
      <c r="CJ58" s="148"/>
      <c r="CK58" s="148"/>
      <c r="CL58" s="148"/>
      <c r="CM58" s="148"/>
      <c r="CN58" s="148"/>
      <c r="CO58" s="148"/>
      <c r="CP58" s="148"/>
      <c r="CQ58" s="148"/>
      <c r="CR58" s="148"/>
      <c r="CS58" s="148"/>
      <c r="CT58" s="148"/>
      <c r="CU58" s="148"/>
      <c r="CV58" s="148"/>
      <c r="CW58" s="148"/>
      <c r="CX58" s="148"/>
      <c r="CY58" s="148"/>
      <c r="CZ58" s="148"/>
      <c r="DA58" s="148"/>
      <c r="DB58" s="148"/>
      <c r="DC58" s="148"/>
      <c r="DD58" s="148"/>
      <c r="DE58" s="148"/>
      <c r="DF58" s="148"/>
      <c r="DG58" s="148"/>
      <c r="DH58" s="148"/>
      <c r="DI58" s="148"/>
      <c r="DJ58" s="148"/>
      <c r="DK58" s="148"/>
      <c r="DL58" s="148"/>
      <c r="DM58" s="148"/>
      <c r="DN58" s="148"/>
      <c r="DO58" s="148"/>
      <c r="DP58" s="148"/>
      <c r="DQ58" s="148"/>
      <c r="DR58" s="148"/>
      <c r="DS58" s="148"/>
      <c r="DT58" s="148"/>
      <c r="DU58" s="148"/>
      <c r="DV58" s="148"/>
      <c r="DW58" s="148"/>
      <c r="DX58" s="148"/>
      <c r="DY58" s="148"/>
      <c r="DZ58" s="148"/>
      <c r="EA58" s="148"/>
      <c r="EB58" s="148"/>
      <c r="EC58" s="148"/>
      <c r="ED58" s="148"/>
      <c r="EE58" s="148"/>
      <c r="EF58" s="148"/>
      <c r="EG58" s="148"/>
      <c r="EH58" s="148"/>
      <c r="EI58" s="148"/>
      <c r="EJ58" s="148"/>
      <c r="EK58" s="148"/>
      <c r="EL58" s="148"/>
      <c r="EM58" s="148"/>
      <c r="EN58" s="148"/>
      <c r="EO58" s="148"/>
      <c r="EP58" s="148"/>
      <c r="EQ58" s="148"/>
      <c r="ER58" s="148"/>
      <c r="ES58" s="148"/>
      <c r="ET58" s="148"/>
      <c r="EU58" s="148"/>
      <c r="EV58" s="148"/>
      <c r="EW58" s="148"/>
      <c r="EX58" s="148"/>
      <c r="EY58" s="148"/>
      <c r="EZ58" s="148"/>
      <c r="FA58" s="148"/>
      <c r="FB58" s="148"/>
      <c r="FC58" s="148"/>
      <c r="FD58" s="148"/>
      <c r="FE58" s="148"/>
      <c r="FF58" s="148"/>
      <c r="FG58" s="148"/>
      <c r="FH58" s="148"/>
      <c r="FI58" s="148"/>
      <c r="FJ58" s="148"/>
      <c r="FK58" s="148"/>
      <c r="FL58" s="148"/>
      <c r="FM58" s="148"/>
      <c r="FN58" s="148"/>
      <c r="FO58" s="148"/>
      <c r="FP58" s="148"/>
      <c r="FQ58" s="148"/>
      <c r="FR58" s="148"/>
      <c r="FS58" s="148"/>
      <c r="FT58" s="148"/>
      <c r="FU58" s="148"/>
      <c r="FV58" s="148"/>
      <c r="FW58" s="148"/>
      <c r="FX58" s="148"/>
      <c r="FY58" s="148"/>
      <c r="FZ58" s="148"/>
      <c r="GA58" s="148"/>
      <c r="GB58" s="148"/>
      <c r="GC58" s="148"/>
      <c r="GD58" s="148"/>
      <c r="GE58" s="148"/>
      <c r="GF58" s="148"/>
      <c r="GG58" s="148"/>
      <c r="GH58" s="148"/>
      <c r="GI58" s="148"/>
      <c r="GJ58" s="148"/>
      <c r="GK58" s="148"/>
      <c r="GL58" s="148"/>
      <c r="GM58" s="148"/>
      <c r="GN58" s="148"/>
      <c r="GO58" s="148"/>
      <c r="GP58" s="148"/>
      <c r="GQ58" s="148"/>
      <c r="GR58" s="148"/>
      <c r="GS58" s="148"/>
      <c r="GT58" s="148"/>
      <c r="GU58" s="148"/>
      <c r="GV58" s="148"/>
      <c r="GW58" s="148"/>
      <c r="GX58" s="148"/>
      <c r="GY58" s="148"/>
      <c r="GZ58" s="148"/>
      <c r="HA58" s="148"/>
      <c r="HB58" s="148"/>
      <c r="HC58" s="148"/>
      <c r="HD58" s="148"/>
      <c r="HE58" s="148"/>
      <c r="HF58" s="148"/>
      <c r="HG58" s="148"/>
      <c r="HH58" s="148"/>
      <c r="HI58" s="148"/>
      <c r="HJ58" s="148"/>
      <c r="HK58" s="148"/>
      <c r="HL58" s="148"/>
      <c r="HM58" s="148"/>
      <c r="HN58" s="148"/>
      <c r="HO58" s="148"/>
      <c r="HP58" s="148"/>
      <c r="HQ58" s="148"/>
      <c r="HR58" s="148"/>
      <c r="HS58" s="148"/>
      <c r="HT58" s="148"/>
      <c r="HU58" s="148"/>
      <c r="HV58" s="148"/>
      <c r="HW58" s="148"/>
      <c r="HX58" s="148"/>
      <c r="HY58" s="148"/>
      <c r="HZ58" s="148"/>
      <c r="IA58" s="148"/>
      <c r="IB58" s="148"/>
      <c r="IC58" s="148"/>
      <c r="ID58" s="148"/>
      <c r="IE58" s="148"/>
      <c r="IF58" s="148"/>
      <c r="IG58" s="148"/>
      <c r="IH58" s="148"/>
      <c r="II58" s="148"/>
      <c r="IJ58" s="148"/>
      <c r="IK58" s="148"/>
      <c r="IL58" s="148"/>
      <c r="IM58" s="148"/>
      <c r="IN58" s="148"/>
      <c r="IO58" s="148"/>
      <c r="IP58" s="148"/>
      <c r="IQ58" s="148"/>
      <c r="IR58" s="148"/>
      <c r="IS58" s="148"/>
      <c r="IT58" s="148"/>
      <c r="IU58" s="148"/>
      <c r="IV58" s="148"/>
      <c r="IW58" s="148"/>
      <c r="IX58" s="148"/>
      <c r="IY58" s="148"/>
      <c r="IZ58" s="148"/>
      <c r="JA58" s="148"/>
    </row>
    <row r="59" spans="1:261" s="272" customFormat="1" ht="18" customHeight="1" x14ac:dyDescent="0.35">
      <c r="A59" s="1423">
        <v>48</v>
      </c>
      <c r="B59" s="1557"/>
      <c r="C59" s="1582"/>
      <c r="D59" s="1585" t="s">
        <v>311</v>
      </c>
      <c r="E59" s="1560">
        <f>F59+G59+O62+P59</f>
        <v>1905</v>
      </c>
      <c r="F59" s="1561"/>
      <c r="G59" s="1562"/>
      <c r="H59" s="1563"/>
      <c r="I59" s="1564"/>
      <c r="J59" s="1565"/>
      <c r="K59" s="1565"/>
      <c r="L59" s="1565"/>
      <c r="M59" s="1565">
        <v>1905</v>
      </c>
      <c r="N59" s="1565"/>
      <c r="O59" s="1566">
        <f>SUM(I59:N59)</f>
        <v>1905</v>
      </c>
      <c r="P59" s="1567"/>
      <c r="Q59" s="148"/>
      <c r="R59" s="148"/>
      <c r="S59" s="148"/>
      <c r="T59" s="148"/>
      <c r="U59" s="148"/>
      <c r="V59" s="148"/>
      <c r="W59" s="148"/>
      <c r="X59" s="148"/>
      <c r="Y59" s="148"/>
      <c r="Z59" s="148"/>
      <c r="AA59" s="148"/>
      <c r="AB59" s="148"/>
      <c r="AC59" s="148"/>
      <c r="AD59" s="148"/>
      <c r="AE59" s="148"/>
      <c r="AF59" s="148"/>
      <c r="AG59" s="148"/>
      <c r="AH59" s="148"/>
      <c r="AI59" s="148"/>
      <c r="AJ59" s="148"/>
      <c r="AK59" s="148"/>
      <c r="AL59" s="148"/>
      <c r="AM59" s="148"/>
      <c r="AN59" s="148"/>
      <c r="AO59" s="148"/>
      <c r="AP59" s="148"/>
      <c r="AQ59" s="148"/>
      <c r="AR59" s="148"/>
      <c r="AS59" s="148"/>
      <c r="AT59" s="148"/>
      <c r="AU59" s="148"/>
      <c r="AV59" s="148"/>
      <c r="AW59" s="148"/>
      <c r="AX59" s="148"/>
      <c r="AY59" s="148"/>
      <c r="AZ59" s="148"/>
      <c r="BA59" s="148"/>
      <c r="BB59" s="148"/>
      <c r="BC59" s="148"/>
      <c r="BD59" s="148"/>
      <c r="BE59" s="148"/>
      <c r="BF59" s="148"/>
      <c r="BG59" s="148"/>
      <c r="BH59" s="148"/>
      <c r="BI59" s="148"/>
      <c r="BJ59" s="148"/>
      <c r="BK59" s="148"/>
      <c r="BL59" s="148"/>
      <c r="BM59" s="148"/>
      <c r="BN59" s="148"/>
      <c r="BO59" s="148"/>
      <c r="BP59" s="148"/>
      <c r="BQ59" s="148"/>
      <c r="BR59" s="148"/>
      <c r="BS59" s="148"/>
      <c r="BT59" s="148"/>
      <c r="BU59" s="148"/>
      <c r="BV59" s="148"/>
      <c r="BW59" s="148"/>
      <c r="BX59" s="148"/>
      <c r="BY59" s="148"/>
      <c r="BZ59" s="148"/>
      <c r="CA59" s="148"/>
      <c r="CB59" s="148"/>
      <c r="CC59" s="148"/>
      <c r="CD59" s="148"/>
      <c r="CE59" s="148"/>
      <c r="CF59" s="148"/>
      <c r="CG59" s="148"/>
      <c r="CH59" s="148"/>
      <c r="CI59" s="148"/>
      <c r="CJ59" s="148"/>
      <c r="CK59" s="148"/>
      <c r="CL59" s="148"/>
      <c r="CM59" s="148"/>
      <c r="CN59" s="148"/>
      <c r="CO59" s="148"/>
      <c r="CP59" s="148"/>
      <c r="CQ59" s="148"/>
      <c r="CR59" s="148"/>
      <c r="CS59" s="148"/>
      <c r="CT59" s="148"/>
      <c r="CU59" s="148"/>
      <c r="CV59" s="148"/>
      <c r="CW59" s="148"/>
      <c r="CX59" s="148"/>
      <c r="CY59" s="148"/>
      <c r="CZ59" s="148"/>
      <c r="DA59" s="148"/>
      <c r="DB59" s="148"/>
      <c r="DC59" s="148"/>
      <c r="DD59" s="148"/>
      <c r="DE59" s="148"/>
      <c r="DF59" s="148"/>
      <c r="DG59" s="148"/>
      <c r="DH59" s="148"/>
      <c r="DI59" s="148"/>
      <c r="DJ59" s="148"/>
      <c r="DK59" s="148"/>
      <c r="DL59" s="148"/>
      <c r="DM59" s="148"/>
      <c r="DN59" s="148"/>
      <c r="DO59" s="148"/>
      <c r="DP59" s="148"/>
      <c r="DQ59" s="148"/>
      <c r="DR59" s="148"/>
      <c r="DS59" s="148"/>
      <c r="DT59" s="148"/>
      <c r="DU59" s="148"/>
      <c r="DV59" s="148"/>
      <c r="DW59" s="148"/>
      <c r="DX59" s="148"/>
      <c r="DY59" s="148"/>
      <c r="DZ59" s="148"/>
      <c r="EA59" s="148"/>
      <c r="EB59" s="148"/>
      <c r="EC59" s="148"/>
      <c r="ED59" s="148"/>
      <c r="EE59" s="148"/>
      <c r="EF59" s="148"/>
      <c r="EG59" s="148"/>
      <c r="EH59" s="148"/>
      <c r="EI59" s="148"/>
      <c r="EJ59" s="148"/>
      <c r="EK59" s="148"/>
      <c r="EL59" s="148"/>
      <c r="EM59" s="148"/>
      <c r="EN59" s="148"/>
      <c r="EO59" s="148"/>
      <c r="EP59" s="148"/>
      <c r="EQ59" s="148"/>
      <c r="ER59" s="148"/>
      <c r="ES59" s="148"/>
      <c r="ET59" s="148"/>
      <c r="EU59" s="148"/>
      <c r="EV59" s="148"/>
      <c r="EW59" s="148"/>
      <c r="EX59" s="148"/>
      <c r="EY59" s="148"/>
      <c r="EZ59" s="148"/>
      <c r="FA59" s="148"/>
      <c r="FB59" s="148"/>
      <c r="FC59" s="148"/>
      <c r="FD59" s="148"/>
      <c r="FE59" s="148"/>
      <c r="FF59" s="148"/>
      <c r="FG59" s="148"/>
      <c r="FH59" s="148"/>
      <c r="FI59" s="148"/>
      <c r="FJ59" s="148"/>
      <c r="FK59" s="148"/>
      <c r="FL59" s="148"/>
      <c r="FM59" s="148"/>
      <c r="FN59" s="148"/>
      <c r="FO59" s="148"/>
      <c r="FP59" s="148"/>
      <c r="FQ59" s="148"/>
      <c r="FR59" s="148"/>
      <c r="FS59" s="148"/>
      <c r="FT59" s="148"/>
      <c r="FU59" s="148"/>
      <c r="FV59" s="148"/>
      <c r="FW59" s="148"/>
      <c r="FX59" s="148"/>
      <c r="FY59" s="148"/>
      <c r="FZ59" s="148"/>
      <c r="GA59" s="148"/>
      <c r="GB59" s="148"/>
      <c r="GC59" s="148"/>
      <c r="GD59" s="148"/>
      <c r="GE59" s="148"/>
      <c r="GF59" s="148"/>
      <c r="GG59" s="148"/>
      <c r="GH59" s="148"/>
      <c r="GI59" s="148"/>
      <c r="GJ59" s="148"/>
      <c r="GK59" s="148"/>
      <c r="GL59" s="148"/>
      <c r="GM59" s="148"/>
      <c r="GN59" s="148"/>
      <c r="GO59" s="148"/>
      <c r="GP59" s="148"/>
      <c r="GQ59" s="148"/>
      <c r="GR59" s="148"/>
      <c r="GS59" s="148"/>
      <c r="GT59" s="148"/>
      <c r="GU59" s="148"/>
      <c r="GV59" s="148"/>
      <c r="GW59" s="148"/>
      <c r="GX59" s="148"/>
      <c r="GY59" s="148"/>
      <c r="GZ59" s="148"/>
      <c r="HA59" s="148"/>
      <c r="HB59" s="148"/>
      <c r="HC59" s="148"/>
      <c r="HD59" s="148"/>
      <c r="HE59" s="148"/>
      <c r="HF59" s="148"/>
      <c r="HG59" s="148"/>
      <c r="HH59" s="148"/>
      <c r="HI59" s="148"/>
      <c r="HJ59" s="148"/>
      <c r="HK59" s="148"/>
      <c r="HL59" s="148"/>
      <c r="HM59" s="148"/>
      <c r="HN59" s="148"/>
      <c r="HO59" s="148"/>
      <c r="HP59" s="148"/>
      <c r="HQ59" s="148"/>
      <c r="HR59" s="148"/>
      <c r="HS59" s="148"/>
      <c r="HT59" s="148"/>
      <c r="HU59" s="148"/>
      <c r="HV59" s="148"/>
      <c r="HW59" s="148"/>
      <c r="HX59" s="148"/>
      <c r="HY59" s="148"/>
      <c r="HZ59" s="148"/>
      <c r="IA59" s="148"/>
      <c r="IB59" s="148"/>
      <c r="IC59" s="148"/>
      <c r="ID59" s="148"/>
      <c r="IE59" s="148"/>
      <c r="IF59" s="148"/>
      <c r="IG59" s="148"/>
      <c r="IH59" s="148"/>
      <c r="II59" s="148"/>
      <c r="IJ59" s="148"/>
      <c r="IK59" s="148"/>
      <c r="IL59" s="148"/>
      <c r="IM59" s="148"/>
      <c r="IN59" s="148"/>
      <c r="IO59" s="148"/>
      <c r="IP59" s="148"/>
      <c r="IQ59" s="148"/>
      <c r="IR59" s="148"/>
      <c r="IS59" s="148"/>
      <c r="IT59" s="148"/>
      <c r="IU59" s="148"/>
      <c r="IV59" s="148"/>
      <c r="IW59" s="148"/>
      <c r="IX59" s="148"/>
      <c r="IY59" s="148"/>
      <c r="IZ59" s="148"/>
      <c r="JA59" s="148"/>
    </row>
    <row r="60" spans="1:261" s="272" customFormat="1" ht="18" customHeight="1" x14ac:dyDescent="0.35">
      <c r="A60" s="1423">
        <v>49</v>
      </c>
      <c r="B60" s="1557"/>
      <c r="C60" s="1582"/>
      <c r="D60" s="1163" t="s">
        <v>1064</v>
      </c>
      <c r="E60" s="1560"/>
      <c r="F60" s="1561"/>
      <c r="G60" s="1562"/>
      <c r="H60" s="1563"/>
      <c r="I60" s="1564"/>
      <c r="J60" s="1565"/>
      <c r="K60" s="1565"/>
      <c r="L60" s="1565"/>
      <c r="M60" s="1575">
        <v>1905</v>
      </c>
      <c r="N60" s="1575"/>
      <c r="O60" s="1576">
        <f>SUM(I60:N60)</f>
        <v>1905</v>
      </c>
      <c r="P60" s="1567"/>
      <c r="Q60" s="148"/>
      <c r="R60" s="148"/>
      <c r="S60" s="148"/>
      <c r="T60" s="148"/>
      <c r="U60" s="148"/>
      <c r="V60" s="148"/>
      <c r="W60" s="148"/>
      <c r="X60" s="148"/>
      <c r="Y60" s="148"/>
      <c r="Z60" s="148"/>
      <c r="AA60" s="148"/>
      <c r="AB60" s="148"/>
      <c r="AC60" s="148"/>
      <c r="AD60" s="148"/>
      <c r="AE60" s="148"/>
      <c r="AF60" s="148"/>
      <c r="AG60" s="148"/>
      <c r="AH60" s="148"/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8"/>
      <c r="AT60" s="148"/>
      <c r="AU60" s="148"/>
      <c r="AV60" s="148"/>
      <c r="AW60" s="148"/>
      <c r="AX60" s="148"/>
      <c r="AY60" s="148"/>
      <c r="AZ60" s="148"/>
      <c r="BA60" s="148"/>
      <c r="BB60" s="148"/>
      <c r="BC60" s="148"/>
      <c r="BD60" s="148"/>
      <c r="BE60" s="148"/>
      <c r="BF60" s="148"/>
      <c r="BG60" s="148"/>
      <c r="BH60" s="148"/>
      <c r="BI60" s="148"/>
      <c r="BJ60" s="148"/>
      <c r="BK60" s="148"/>
      <c r="BL60" s="148"/>
      <c r="BM60" s="148"/>
      <c r="BN60" s="148"/>
      <c r="BO60" s="148"/>
      <c r="BP60" s="148"/>
      <c r="BQ60" s="148"/>
      <c r="BR60" s="148"/>
      <c r="BS60" s="148"/>
      <c r="BT60" s="148"/>
      <c r="BU60" s="148"/>
      <c r="BV60" s="148"/>
      <c r="BW60" s="148"/>
      <c r="BX60" s="148"/>
      <c r="BY60" s="148"/>
      <c r="BZ60" s="148"/>
      <c r="CA60" s="148"/>
      <c r="CB60" s="148"/>
      <c r="CC60" s="148"/>
      <c r="CD60" s="148"/>
      <c r="CE60" s="148"/>
      <c r="CF60" s="148"/>
      <c r="CG60" s="148"/>
      <c r="CH60" s="148"/>
      <c r="CI60" s="148"/>
      <c r="CJ60" s="148"/>
      <c r="CK60" s="148"/>
      <c r="CL60" s="148"/>
      <c r="CM60" s="148"/>
      <c r="CN60" s="148"/>
      <c r="CO60" s="148"/>
      <c r="CP60" s="148"/>
      <c r="CQ60" s="148"/>
      <c r="CR60" s="148"/>
      <c r="CS60" s="148"/>
      <c r="CT60" s="148"/>
      <c r="CU60" s="148"/>
      <c r="CV60" s="148"/>
      <c r="CW60" s="148"/>
      <c r="CX60" s="148"/>
      <c r="CY60" s="148"/>
      <c r="CZ60" s="148"/>
      <c r="DA60" s="148"/>
      <c r="DB60" s="148"/>
      <c r="DC60" s="148"/>
      <c r="DD60" s="148"/>
      <c r="DE60" s="148"/>
      <c r="DF60" s="148"/>
      <c r="DG60" s="148"/>
      <c r="DH60" s="148"/>
      <c r="DI60" s="148"/>
      <c r="DJ60" s="148"/>
      <c r="DK60" s="148"/>
      <c r="DL60" s="148"/>
      <c r="DM60" s="148"/>
      <c r="DN60" s="148"/>
      <c r="DO60" s="148"/>
      <c r="DP60" s="148"/>
      <c r="DQ60" s="148"/>
      <c r="DR60" s="148"/>
      <c r="DS60" s="148"/>
      <c r="DT60" s="148"/>
      <c r="DU60" s="148"/>
      <c r="DV60" s="148"/>
      <c r="DW60" s="148"/>
      <c r="DX60" s="148"/>
      <c r="DY60" s="148"/>
      <c r="DZ60" s="148"/>
      <c r="EA60" s="148"/>
      <c r="EB60" s="148"/>
      <c r="EC60" s="148"/>
      <c r="ED60" s="148"/>
      <c r="EE60" s="148"/>
      <c r="EF60" s="148"/>
      <c r="EG60" s="148"/>
      <c r="EH60" s="148"/>
      <c r="EI60" s="148"/>
      <c r="EJ60" s="148"/>
      <c r="EK60" s="148"/>
      <c r="EL60" s="148"/>
      <c r="EM60" s="148"/>
      <c r="EN60" s="148"/>
      <c r="EO60" s="148"/>
      <c r="EP60" s="148"/>
      <c r="EQ60" s="148"/>
      <c r="ER60" s="148"/>
      <c r="ES60" s="148"/>
      <c r="ET60" s="148"/>
      <c r="EU60" s="148"/>
      <c r="EV60" s="148"/>
      <c r="EW60" s="148"/>
      <c r="EX60" s="148"/>
      <c r="EY60" s="148"/>
      <c r="EZ60" s="148"/>
      <c r="FA60" s="148"/>
      <c r="FB60" s="148"/>
      <c r="FC60" s="148"/>
      <c r="FD60" s="148"/>
      <c r="FE60" s="148"/>
      <c r="FF60" s="148"/>
      <c r="FG60" s="148"/>
      <c r="FH60" s="148"/>
      <c r="FI60" s="148"/>
      <c r="FJ60" s="148"/>
      <c r="FK60" s="148"/>
      <c r="FL60" s="148"/>
      <c r="FM60" s="148"/>
      <c r="FN60" s="148"/>
      <c r="FO60" s="148"/>
      <c r="FP60" s="148"/>
      <c r="FQ60" s="148"/>
      <c r="FR60" s="148"/>
      <c r="FS60" s="148"/>
      <c r="FT60" s="148"/>
      <c r="FU60" s="148"/>
      <c r="FV60" s="148"/>
      <c r="FW60" s="148"/>
      <c r="FX60" s="148"/>
      <c r="FY60" s="148"/>
      <c r="FZ60" s="148"/>
      <c r="GA60" s="148"/>
      <c r="GB60" s="148"/>
      <c r="GC60" s="148"/>
      <c r="GD60" s="148"/>
      <c r="GE60" s="148"/>
      <c r="GF60" s="148"/>
      <c r="GG60" s="148"/>
      <c r="GH60" s="148"/>
      <c r="GI60" s="148"/>
      <c r="GJ60" s="148"/>
      <c r="GK60" s="148"/>
      <c r="GL60" s="148"/>
      <c r="GM60" s="148"/>
      <c r="GN60" s="148"/>
      <c r="GO60" s="148"/>
      <c r="GP60" s="148"/>
      <c r="GQ60" s="148"/>
      <c r="GR60" s="148"/>
      <c r="GS60" s="148"/>
      <c r="GT60" s="148"/>
      <c r="GU60" s="148"/>
      <c r="GV60" s="148"/>
      <c r="GW60" s="148"/>
      <c r="GX60" s="148"/>
      <c r="GY60" s="148"/>
      <c r="GZ60" s="148"/>
      <c r="HA60" s="148"/>
      <c r="HB60" s="148"/>
      <c r="HC60" s="148"/>
      <c r="HD60" s="148"/>
      <c r="HE60" s="148"/>
      <c r="HF60" s="148"/>
      <c r="HG60" s="148"/>
      <c r="HH60" s="148"/>
      <c r="HI60" s="148"/>
      <c r="HJ60" s="148"/>
      <c r="HK60" s="148"/>
      <c r="HL60" s="148"/>
      <c r="HM60" s="148"/>
      <c r="HN60" s="148"/>
      <c r="HO60" s="148"/>
      <c r="HP60" s="148"/>
      <c r="HQ60" s="148"/>
      <c r="HR60" s="148"/>
      <c r="HS60" s="148"/>
      <c r="HT60" s="148"/>
      <c r="HU60" s="148"/>
      <c r="HV60" s="148"/>
      <c r="HW60" s="148"/>
      <c r="HX60" s="148"/>
      <c r="HY60" s="148"/>
      <c r="HZ60" s="148"/>
      <c r="IA60" s="148"/>
      <c r="IB60" s="148"/>
      <c r="IC60" s="148"/>
      <c r="ID60" s="148"/>
      <c r="IE60" s="148"/>
      <c r="IF60" s="148"/>
      <c r="IG60" s="148"/>
      <c r="IH60" s="148"/>
      <c r="II60" s="148"/>
      <c r="IJ60" s="148"/>
      <c r="IK60" s="148"/>
      <c r="IL60" s="148"/>
      <c r="IM60" s="148"/>
      <c r="IN60" s="148"/>
      <c r="IO60" s="148"/>
      <c r="IP60" s="148"/>
      <c r="IQ60" s="148"/>
      <c r="IR60" s="148"/>
      <c r="IS60" s="148"/>
      <c r="IT60" s="148"/>
      <c r="IU60" s="148"/>
      <c r="IV60" s="148"/>
      <c r="IW60" s="148"/>
      <c r="IX60" s="148"/>
      <c r="IY60" s="148"/>
      <c r="IZ60" s="148"/>
      <c r="JA60" s="148"/>
    </row>
    <row r="61" spans="1:261" s="272" customFormat="1" ht="18" customHeight="1" x14ac:dyDescent="0.35">
      <c r="A61" s="1423">
        <v>50</v>
      </c>
      <c r="B61" s="1557"/>
      <c r="C61" s="1582"/>
      <c r="D61" s="1174" t="s">
        <v>999</v>
      </c>
      <c r="E61" s="1560"/>
      <c r="F61" s="1561"/>
      <c r="G61" s="1562"/>
      <c r="H61" s="1563"/>
      <c r="I61" s="1580"/>
      <c r="J61" s="1574"/>
      <c r="K61" s="1574"/>
      <c r="L61" s="1574"/>
      <c r="M61" s="1574"/>
      <c r="N61" s="1574"/>
      <c r="O61" s="1576">
        <f>SUM(I61:N61)</f>
        <v>0</v>
      </c>
      <c r="P61" s="1567"/>
      <c r="Q61" s="148"/>
      <c r="R61" s="148"/>
      <c r="S61" s="148"/>
      <c r="T61" s="148"/>
      <c r="U61" s="148"/>
      <c r="V61" s="148"/>
      <c r="W61" s="148"/>
      <c r="X61" s="148"/>
      <c r="Y61" s="148"/>
      <c r="Z61" s="148"/>
      <c r="AA61" s="148"/>
      <c r="AB61" s="148"/>
      <c r="AC61" s="148"/>
      <c r="AD61" s="148"/>
      <c r="AE61" s="148"/>
      <c r="AF61" s="148"/>
      <c r="AG61" s="148"/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48"/>
      <c r="AT61" s="148"/>
      <c r="AU61" s="148"/>
      <c r="AV61" s="148"/>
      <c r="AW61" s="148"/>
      <c r="AX61" s="148"/>
      <c r="AY61" s="148"/>
      <c r="AZ61" s="148"/>
      <c r="BA61" s="148"/>
      <c r="BB61" s="148"/>
      <c r="BC61" s="148"/>
      <c r="BD61" s="148"/>
      <c r="BE61" s="148"/>
      <c r="BF61" s="148"/>
      <c r="BG61" s="148"/>
      <c r="BH61" s="148"/>
      <c r="BI61" s="148"/>
      <c r="BJ61" s="148"/>
      <c r="BK61" s="148"/>
      <c r="BL61" s="148"/>
      <c r="BM61" s="148"/>
      <c r="BN61" s="148"/>
      <c r="BO61" s="148"/>
      <c r="BP61" s="148"/>
      <c r="BQ61" s="148"/>
      <c r="BR61" s="148"/>
      <c r="BS61" s="148"/>
      <c r="BT61" s="148"/>
      <c r="BU61" s="148"/>
      <c r="BV61" s="148"/>
      <c r="BW61" s="148"/>
      <c r="BX61" s="148"/>
      <c r="BY61" s="148"/>
      <c r="BZ61" s="148"/>
      <c r="CA61" s="148"/>
      <c r="CB61" s="148"/>
      <c r="CC61" s="148"/>
      <c r="CD61" s="148"/>
      <c r="CE61" s="148"/>
      <c r="CF61" s="148"/>
      <c r="CG61" s="148"/>
      <c r="CH61" s="148"/>
      <c r="CI61" s="148"/>
      <c r="CJ61" s="148"/>
      <c r="CK61" s="148"/>
      <c r="CL61" s="148"/>
      <c r="CM61" s="148"/>
      <c r="CN61" s="148"/>
      <c r="CO61" s="148"/>
      <c r="CP61" s="148"/>
      <c r="CQ61" s="148"/>
      <c r="CR61" s="148"/>
      <c r="CS61" s="148"/>
      <c r="CT61" s="148"/>
      <c r="CU61" s="148"/>
      <c r="CV61" s="148"/>
      <c r="CW61" s="148"/>
      <c r="CX61" s="148"/>
      <c r="CY61" s="148"/>
      <c r="CZ61" s="148"/>
      <c r="DA61" s="148"/>
      <c r="DB61" s="148"/>
      <c r="DC61" s="148"/>
      <c r="DD61" s="148"/>
      <c r="DE61" s="148"/>
      <c r="DF61" s="148"/>
      <c r="DG61" s="148"/>
      <c r="DH61" s="148"/>
      <c r="DI61" s="148"/>
      <c r="DJ61" s="148"/>
      <c r="DK61" s="148"/>
      <c r="DL61" s="148"/>
      <c r="DM61" s="148"/>
      <c r="DN61" s="148"/>
      <c r="DO61" s="148"/>
      <c r="DP61" s="148"/>
      <c r="DQ61" s="148"/>
      <c r="DR61" s="148"/>
      <c r="DS61" s="148"/>
      <c r="DT61" s="148"/>
      <c r="DU61" s="148"/>
      <c r="DV61" s="148"/>
      <c r="DW61" s="148"/>
      <c r="DX61" s="148"/>
      <c r="DY61" s="148"/>
      <c r="DZ61" s="148"/>
      <c r="EA61" s="148"/>
      <c r="EB61" s="148"/>
      <c r="EC61" s="148"/>
      <c r="ED61" s="148"/>
      <c r="EE61" s="148"/>
      <c r="EF61" s="148"/>
      <c r="EG61" s="148"/>
      <c r="EH61" s="148"/>
      <c r="EI61" s="148"/>
      <c r="EJ61" s="148"/>
      <c r="EK61" s="148"/>
      <c r="EL61" s="148"/>
      <c r="EM61" s="148"/>
      <c r="EN61" s="148"/>
      <c r="EO61" s="148"/>
      <c r="EP61" s="148"/>
      <c r="EQ61" s="148"/>
      <c r="ER61" s="148"/>
      <c r="ES61" s="148"/>
      <c r="ET61" s="148"/>
      <c r="EU61" s="148"/>
      <c r="EV61" s="148"/>
      <c r="EW61" s="148"/>
      <c r="EX61" s="148"/>
      <c r="EY61" s="148"/>
      <c r="EZ61" s="148"/>
      <c r="FA61" s="148"/>
      <c r="FB61" s="148"/>
      <c r="FC61" s="148"/>
      <c r="FD61" s="148"/>
      <c r="FE61" s="148"/>
      <c r="FF61" s="148"/>
      <c r="FG61" s="148"/>
      <c r="FH61" s="148"/>
      <c r="FI61" s="148"/>
      <c r="FJ61" s="148"/>
      <c r="FK61" s="148"/>
      <c r="FL61" s="148"/>
      <c r="FM61" s="148"/>
      <c r="FN61" s="148"/>
      <c r="FO61" s="148"/>
      <c r="FP61" s="148"/>
      <c r="FQ61" s="148"/>
      <c r="FR61" s="148"/>
      <c r="FS61" s="148"/>
      <c r="FT61" s="148"/>
      <c r="FU61" s="148"/>
      <c r="FV61" s="148"/>
      <c r="FW61" s="148"/>
      <c r="FX61" s="148"/>
      <c r="FY61" s="148"/>
      <c r="FZ61" s="148"/>
      <c r="GA61" s="148"/>
      <c r="GB61" s="148"/>
      <c r="GC61" s="148"/>
      <c r="GD61" s="148"/>
      <c r="GE61" s="148"/>
      <c r="GF61" s="148"/>
      <c r="GG61" s="148"/>
      <c r="GH61" s="148"/>
      <c r="GI61" s="148"/>
      <c r="GJ61" s="148"/>
      <c r="GK61" s="148"/>
      <c r="GL61" s="148"/>
      <c r="GM61" s="148"/>
      <c r="GN61" s="148"/>
      <c r="GO61" s="148"/>
      <c r="GP61" s="148"/>
      <c r="GQ61" s="148"/>
      <c r="GR61" s="148"/>
      <c r="GS61" s="148"/>
      <c r="GT61" s="148"/>
      <c r="GU61" s="148"/>
      <c r="GV61" s="148"/>
      <c r="GW61" s="148"/>
      <c r="GX61" s="148"/>
      <c r="GY61" s="148"/>
      <c r="GZ61" s="148"/>
      <c r="HA61" s="148"/>
      <c r="HB61" s="148"/>
      <c r="HC61" s="148"/>
      <c r="HD61" s="148"/>
      <c r="HE61" s="148"/>
      <c r="HF61" s="148"/>
      <c r="HG61" s="148"/>
      <c r="HH61" s="148"/>
      <c r="HI61" s="148"/>
      <c r="HJ61" s="148"/>
      <c r="HK61" s="148"/>
      <c r="HL61" s="148"/>
      <c r="HM61" s="148"/>
      <c r="HN61" s="148"/>
      <c r="HO61" s="148"/>
      <c r="HP61" s="148"/>
      <c r="HQ61" s="148"/>
      <c r="HR61" s="148"/>
      <c r="HS61" s="148"/>
      <c r="HT61" s="148"/>
      <c r="HU61" s="148"/>
      <c r="HV61" s="148"/>
      <c r="HW61" s="148"/>
      <c r="HX61" s="148"/>
      <c r="HY61" s="148"/>
      <c r="HZ61" s="148"/>
      <c r="IA61" s="148"/>
      <c r="IB61" s="148"/>
      <c r="IC61" s="148"/>
      <c r="ID61" s="148"/>
      <c r="IE61" s="148"/>
      <c r="IF61" s="148"/>
      <c r="IG61" s="148"/>
      <c r="IH61" s="148"/>
      <c r="II61" s="148"/>
      <c r="IJ61" s="148"/>
      <c r="IK61" s="148"/>
      <c r="IL61" s="148"/>
      <c r="IM61" s="148"/>
      <c r="IN61" s="148"/>
      <c r="IO61" s="148"/>
      <c r="IP61" s="148"/>
      <c r="IQ61" s="148"/>
      <c r="IR61" s="148"/>
      <c r="IS61" s="148"/>
      <c r="IT61" s="148"/>
      <c r="IU61" s="148"/>
      <c r="IV61" s="148"/>
      <c r="IW61" s="148"/>
      <c r="IX61" s="148"/>
      <c r="IY61" s="148"/>
      <c r="IZ61" s="148"/>
      <c r="JA61" s="148"/>
    </row>
    <row r="62" spans="1:261" s="272" customFormat="1" ht="18" customHeight="1" x14ac:dyDescent="0.35">
      <c r="A62" s="1423">
        <v>51</v>
      </c>
      <c r="B62" s="1557"/>
      <c r="C62" s="1582"/>
      <c r="D62" s="1163" t="s">
        <v>1116</v>
      </c>
      <c r="E62" s="1560"/>
      <c r="F62" s="1561"/>
      <c r="G62" s="1562"/>
      <c r="H62" s="1563"/>
      <c r="I62" s="1580"/>
      <c r="J62" s="1574"/>
      <c r="K62" s="1574"/>
      <c r="L62" s="1574"/>
      <c r="M62" s="1575">
        <f>SUM(M60:M61)</f>
        <v>1905</v>
      </c>
      <c r="N62" s="1574"/>
      <c r="O62" s="1576">
        <f>SUM(I62:N62)</f>
        <v>1905</v>
      </c>
      <c r="P62" s="1567"/>
      <c r="Q62" s="148"/>
      <c r="R62" s="148"/>
      <c r="S62" s="148"/>
      <c r="T62" s="148"/>
      <c r="U62" s="148"/>
      <c r="V62" s="148"/>
      <c r="W62" s="148"/>
      <c r="X62" s="148"/>
      <c r="Y62" s="148"/>
      <c r="Z62" s="148"/>
      <c r="AA62" s="148"/>
      <c r="AB62" s="148"/>
      <c r="AC62" s="148"/>
      <c r="AD62" s="148"/>
      <c r="AE62" s="148"/>
      <c r="AF62" s="148"/>
      <c r="AG62" s="148"/>
      <c r="AH62" s="148"/>
      <c r="AI62" s="148"/>
      <c r="AJ62" s="148"/>
      <c r="AK62" s="148"/>
      <c r="AL62" s="148"/>
      <c r="AM62" s="148"/>
      <c r="AN62" s="148"/>
      <c r="AO62" s="148"/>
      <c r="AP62" s="148"/>
      <c r="AQ62" s="148"/>
      <c r="AR62" s="148"/>
      <c r="AS62" s="148"/>
      <c r="AT62" s="148"/>
      <c r="AU62" s="148"/>
      <c r="AV62" s="148"/>
      <c r="AW62" s="148"/>
      <c r="AX62" s="148"/>
      <c r="AY62" s="148"/>
      <c r="AZ62" s="148"/>
      <c r="BA62" s="148"/>
      <c r="BB62" s="148"/>
      <c r="BC62" s="148"/>
      <c r="BD62" s="148"/>
      <c r="BE62" s="148"/>
      <c r="BF62" s="148"/>
      <c r="BG62" s="148"/>
      <c r="BH62" s="148"/>
      <c r="BI62" s="148"/>
      <c r="BJ62" s="148"/>
      <c r="BK62" s="148"/>
      <c r="BL62" s="148"/>
      <c r="BM62" s="148"/>
      <c r="BN62" s="148"/>
      <c r="BO62" s="148"/>
      <c r="BP62" s="148"/>
      <c r="BQ62" s="148"/>
      <c r="BR62" s="148"/>
      <c r="BS62" s="148"/>
      <c r="BT62" s="148"/>
      <c r="BU62" s="148"/>
      <c r="BV62" s="148"/>
      <c r="BW62" s="148"/>
      <c r="BX62" s="148"/>
      <c r="BY62" s="148"/>
      <c r="BZ62" s="148"/>
      <c r="CA62" s="148"/>
      <c r="CB62" s="148"/>
      <c r="CC62" s="148"/>
      <c r="CD62" s="148"/>
      <c r="CE62" s="148"/>
      <c r="CF62" s="148"/>
      <c r="CG62" s="148"/>
      <c r="CH62" s="148"/>
      <c r="CI62" s="148"/>
      <c r="CJ62" s="148"/>
      <c r="CK62" s="148"/>
      <c r="CL62" s="148"/>
      <c r="CM62" s="148"/>
      <c r="CN62" s="148"/>
      <c r="CO62" s="148"/>
      <c r="CP62" s="148"/>
      <c r="CQ62" s="148"/>
      <c r="CR62" s="148"/>
      <c r="CS62" s="148"/>
      <c r="CT62" s="148"/>
      <c r="CU62" s="148"/>
      <c r="CV62" s="148"/>
      <c r="CW62" s="148"/>
      <c r="CX62" s="148"/>
      <c r="CY62" s="148"/>
      <c r="CZ62" s="148"/>
      <c r="DA62" s="148"/>
      <c r="DB62" s="148"/>
      <c r="DC62" s="148"/>
      <c r="DD62" s="148"/>
      <c r="DE62" s="148"/>
      <c r="DF62" s="148"/>
      <c r="DG62" s="148"/>
      <c r="DH62" s="148"/>
      <c r="DI62" s="148"/>
      <c r="DJ62" s="148"/>
      <c r="DK62" s="148"/>
      <c r="DL62" s="148"/>
      <c r="DM62" s="148"/>
      <c r="DN62" s="148"/>
      <c r="DO62" s="148"/>
      <c r="DP62" s="148"/>
      <c r="DQ62" s="148"/>
      <c r="DR62" s="148"/>
      <c r="DS62" s="148"/>
      <c r="DT62" s="148"/>
      <c r="DU62" s="148"/>
      <c r="DV62" s="148"/>
      <c r="DW62" s="148"/>
      <c r="DX62" s="148"/>
      <c r="DY62" s="148"/>
      <c r="DZ62" s="148"/>
      <c r="EA62" s="148"/>
      <c r="EB62" s="148"/>
      <c r="EC62" s="148"/>
      <c r="ED62" s="148"/>
      <c r="EE62" s="148"/>
      <c r="EF62" s="148"/>
      <c r="EG62" s="148"/>
      <c r="EH62" s="148"/>
      <c r="EI62" s="148"/>
      <c r="EJ62" s="148"/>
      <c r="EK62" s="148"/>
      <c r="EL62" s="148"/>
      <c r="EM62" s="148"/>
      <c r="EN62" s="148"/>
      <c r="EO62" s="148"/>
      <c r="EP62" s="148"/>
      <c r="EQ62" s="148"/>
      <c r="ER62" s="148"/>
      <c r="ES62" s="148"/>
      <c r="ET62" s="148"/>
      <c r="EU62" s="148"/>
      <c r="EV62" s="148"/>
      <c r="EW62" s="148"/>
      <c r="EX62" s="148"/>
      <c r="EY62" s="148"/>
      <c r="EZ62" s="148"/>
      <c r="FA62" s="148"/>
      <c r="FB62" s="148"/>
      <c r="FC62" s="148"/>
      <c r="FD62" s="148"/>
      <c r="FE62" s="148"/>
      <c r="FF62" s="148"/>
      <c r="FG62" s="148"/>
      <c r="FH62" s="148"/>
      <c r="FI62" s="148"/>
      <c r="FJ62" s="148"/>
      <c r="FK62" s="148"/>
      <c r="FL62" s="148"/>
      <c r="FM62" s="148"/>
      <c r="FN62" s="148"/>
      <c r="FO62" s="148"/>
      <c r="FP62" s="148"/>
      <c r="FQ62" s="148"/>
      <c r="FR62" s="148"/>
      <c r="FS62" s="148"/>
      <c r="FT62" s="148"/>
      <c r="FU62" s="148"/>
      <c r="FV62" s="148"/>
      <c r="FW62" s="148"/>
      <c r="FX62" s="148"/>
      <c r="FY62" s="148"/>
      <c r="FZ62" s="148"/>
      <c r="GA62" s="148"/>
      <c r="GB62" s="148"/>
      <c r="GC62" s="148"/>
      <c r="GD62" s="148"/>
      <c r="GE62" s="148"/>
      <c r="GF62" s="148"/>
      <c r="GG62" s="148"/>
      <c r="GH62" s="148"/>
      <c r="GI62" s="148"/>
      <c r="GJ62" s="148"/>
      <c r="GK62" s="148"/>
      <c r="GL62" s="148"/>
      <c r="GM62" s="148"/>
      <c r="GN62" s="148"/>
      <c r="GO62" s="148"/>
      <c r="GP62" s="148"/>
      <c r="GQ62" s="148"/>
      <c r="GR62" s="148"/>
      <c r="GS62" s="148"/>
      <c r="GT62" s="148"/>
      <c r="GU62" s="148"/>
      <c r="GV62" s="148"/>
      <c r="GW62" s="148"/>
      <c r="GX62" s="148"/>
      <c r="GY62" s="148"/>
      <c r="GZ62" s="148"/>
      <c r="HA62" s="148"/>
      <c r="HB62" s="148"/>
      <c r="HC62" s="148"/>
      <c r="HD62" s="148"/>
      <c r="HE62" s="148"/>
      <c r="HF62" s="148"/>
      <c r="HG62" s="148"/>
      <c r="HH62" s="148"/>
      <c r="HI62" s="148"/>
      <c r="HJ62" s="148"/>
      <c r="HK62" s="148"/>
      <c r="HL62" s="148"/>
      <c r="HM62" s="148"/>
      <c r="HN62" s="148"/>
      <c r="HO62" s="148"/>
      <c r="HP62" s="148"/>
      <c r="HQ62" s="148"/>
      <c r="HR62" s="148"/>
      <c r="HS62" s="148"/>
      <c r="HT62" s="148"/>
      <c r="HU62" s="148"/>
      <c r="HV62" s="148"/>
      <c r="HW62" s="148"/>
      <c r="HX62" s="148"/>
      <c r="HY62" s="148"/>
      <c r="HZ62" s="148"/>
      <c r="IA62" s="148"/>
      <c r="IB62" s="148"/>
      <c r="IC62" s="148"/>
      <c r="ID62" s="148"/>
      <c r="IE62" s="148"/>
      <c r="IF62" s="148"/>
      <c r="IG62" s="148"/>
      <c r="IH62" s="148"/>
      <c r="II62" s="148"/>
      <c r="IJ62" s="148"/>
      <c r="IK62" s="148"/>
      <c r="IL62" s="148"/>
      <c r="IM62" s="148"/>
      <c r="IN62" s="148"/>
      <c r="IO62" s="148"/>
      <c r="IP62" s="148"/>
      <c r="IQ62" s="148"/>
      <c r="IR62" s="148"/>
      <c r="IS62" s="148"/>
      <c r="IT62" s="148"/>
      <c r="IU62" s="148"/>
      <c r="IV62" s="148"/>
      <c r="IW62" s="148"/>
      <c r="IX62" s="148"/>
      <c r="IY62" s="148"/>
      <c r="IZ62" s="148"/>
      <c r="JA62" s="148"/>
    </row>
    <row r="63" spans="1:261" s="272" customFormat="1" ht="22.5" customHeight="1" x14ac:dyDescent="0.35">
      <c r="A63" s="1423">
        <v>52</v>
      </c>
      <c r="B63" s="1557"/>
      <c r="C63" s="1648">
        <v>11</v>
      </c>
      <c r="D63" s="1649" t="s">
        <v>845</v>
      </c>
      <c r="E63" s="1560"/>
      <c r="F63" s="1561"/>
      <c r="G63" s="1562"/>
      <c r="H63" s="1563" t="s">
        <v>24</v>
      </c>
      <c r="I63" s="1564"/>
      <c r="J63" s="1565"/>
      <c r="K63" s="1565"/>
      <c r="L63" s="1565"/>
      <c r="M63" s="1565"/>
      <c r="N63" s="1565"/>
      <c r="O63" s="1566"/>
      <c r="P63" s="1567"/>
      <c r="Q63" s="148"/>
      <c r="R63" s="148"/>
      <c r="S63" s="148"/>
      <c r="T63" s="148"/>
      <c r="U63" s="148"/>
      <c r="V63" s="148"/>
      <c r="W63" s="148"/>
      <c r="X63" s="148"/>
      <c r="Y63" s="148"/>
      <c r="Z63" s="148"/>
      <c r="AA63" s="148"/>
      <c r="AB63" s="148"/>
      <c r="AC63" s="148"/>
      <c r="AD63" s="148"/>
      <c r="AE63" s="148"/>
      <c r="AF63" s="148"/>
      <c r="AG63" s="148"/>
      <c r="AH63" s="148"/>
      <c r="AI63" s="148"/>
      <c r="AJ63" s="148"/>
      <c r="AK63" s="148"/>
      <c r="AL63" s="148"/>
      <c r="AM63" s="148"/>
      <c r="AN63" s="148"/>
      <c r="AO63" s="148"/>
      <c r="AP63" s="148"/>
      <c r="AQ63" s="148"/>
      <c r="AR63" s="148"/>
      <c r="AS63" s="148"/>
      <c r="AT63" s="148"/>
      <c r="AU63" s="148"/>
      <c r="AV63" s="148"/>
      <c r="AW63" s="148"/>
      <c r="AX63" s="148"/>
      <c r="AY63" s="148"/>
      <c r="AZ63" s="148"/>
      <c r="BA63" s="148"/>
      <c r="BB63" s="148"/>
      <c r="BC63" s="148"/>
      <c r="BD63" s="148"/>
      <c r="BE63" s="148"/>
      <c r="BF63" s="148"/>
      <c r="BG63" s="148"/>
      <c r="BH63" s="148"/>
      <c r="BI63" s="148"/>
      <c r="BJ63" s="148"/>
      <c r="BK63" s="148"/>
      <c r="BL63" s="148"/>
      <c r="BM63" s="148"/>
      <c r="BN63" s="148"/>
      <c r="BO63" s="148"/>
      <c r="BP63" s="148"/>
      <c r="BQ63" s="148"/>
      <c r="BR63" s="148"/>
      <c r="BS63" s="148"/>
      <c r="BT63" s="148"/>
      <c r="BU63" s="148"/>
      <c r="BV63" s="148"/>
      <c r="BW63" s="148"/>
      <c r="BX63" s="148"/>
      <c r="BY63" s="148"/>
      <c r="BZ63" s="148"/>
      <c r="CA63" s="148"/>
      <c r="CB63" s="148"/>
      <c r="CC63" s="148"/>
      <c r="CD63" s="148"/>
      <c r="CE63" s="148"/>
      <c r="CF63" s="148"/>
      <c r="CG63" s="148"/>
      <c r="CH63" s="148"/>
      <c r="CI63" s="148"/>
      <c r="CJ63" s="148"/>
      <c r="CK63" s="148"/>
      <c r="CL63" s="148"/>
      <c r="CM63" s="148"/>
      <c r="CN63" s="148"/>
      <c r="CO63" s="148"/>
      <c r="CP63" s="148"/>
      <c r="CQ63" s="148"/>
      <c r="CR63" s="148"/>
      <c r="CS63" s="148"/>
      <c r="CT63" s="148"/>
      <c r="CU63" s="148"/>
      <c r="CV63" s="148"/>
      <c r="CW63" s="148"/>
      <c r="CX63" s="148"/>
      <c r="CY63" s="148"/>
      <c r="CZ63" s="148"/>
      <c r="DA63" s="148"/>
      <c r="DB63" s="148"/>
      <c r="DC63" s="148"/>
      <c r="DD63" s="148"/>
      <c r="DE63" s="148"/>
      <c r="DF63" s="148"/>
      <c r="DG63" s="148"/>
      <c r="DH63" s="148"/>
      <c r="DI63" s="148"/>
      <c r="DJ63" s="148"/>
      <c r="DK63" s="148"/>
      <c r="DL63" s="148"/>
      <c r="DM63" s="148"/>
      <c r="DN63" s="148"/>
      <c r="DO63" s="148"/>
      <c r="DP63" s="148"/>
      <c r="DQ63" s="148"/>
      <c r="DR63" s="148"/>
      <c r="DS63" s="148"/>
      <c r="DT63" s="148"/>
      <c r="DU63" s="148"/>
      <c r="DV63" s="148"/>
      <c r="DW63" s="148"/>
      <c r="DX63" s="148"/>
      <c r="DY63" s="148"/>
      <c r="DZ63" s="148"/>
      <c r="EA63" s="148"/>
      <c r="EB63" s="148"/>
      <c r="EC63" s="148"/>
      <c r="ED63" s="148"/>
      <c r="EE63" s="148"/>
      <c r="EF63" s="148"/>
      <c r="EG63" s="148"/>
      <c r="EH63" s="148"/>
      <c r="EI63" s="148"/>
      <c r="EJ63" s="148"/>
      <c r="EK63" s="148"/>
      <c r="EL63" s="148"/>
      <c r="EM63" s="148"/>
      <c r="EN63" s="148"/>
      <c r="EO63" s="148"/>
      <c r="EP63" s="148"/>
      <c r="EQ63" s="148"/>
      <c r="ER63" s="148"/>
      <c r="ES63" s="148"/>
      <c r="ET63" s="148"/>
      <c r="EU63" s="148"/>
      <c r="EV63" s="148"/>
      <c r="EW63" s="148"/>
      <c r="EX63" s="148"/>
      <c r="EY63" s="148"/>
      <c r="EZ63" s="148"/>
      <c r="FA63" s="148"/>
      <c r="FB63" s="148"/>
      <c r="FC63" s="148"/>
      <c r="FD63" s="148"/>
      <c r="FE63" s="148"/>
      <c r="FF63" s="148"/>
      <c r="FG63" s="148"/>
      <c r="FH63" s="148"/>
      <c r="FI63" s="148"/>
      <c r="FJ63" s="148"/>
      <c r="FK63" s="148"/>
      <c r="FL63" s="148"/>
      <c r="FM63" s="148"/>
      <c r="FN63" s="148"/>
      <c r="FO63" s="148"/>
      <c r="FP63" s="148"/>
      <c r="FQ63" s="148"/>
      <c r="FR63" s="148"/>
      <c r="FS63" s="148"/>
      <c r="FT63" s="148"/>
      <c r="FU63" s="148"/>
      <c r="FV63" s="148"/>
      <c r="FW63" s="148"/>
      <c r="FX63" s="148"/>
      <c r="FY63" s="148"/>
      <c r="FZ63" s="148"/>
      <c r="GA63" s="148"/>
      <c r="GB63" s="148"/>
      <c r="GC63" s="148"/>
      <c r="GD63" s="148"/>
      <c r="GE63" s="148"/>
      <c r="GF63" s="148"/>
      <c r="GG63" s="148"/>
      <c r="GH63" s="148"/>
      <c r="GI63" s="148"/>
      <c r="GJ63" s="148"/>
      <c r="GK63" s="148"/>
      <c r="GL63" s="148"/>
      <c r="GM63" s="148"/>
      <c r="GN63" s="148"/>
      <c r="GO63" s="148"/>
      <c r="GP63" s="148"/>
      <c r="GQ63" s="148"/>
      <c r="GR63" s="148"/>
      <c r="GS63" s="148"/>
      <c r="GT63" s="148"/>
      <c r="GU63" s="148"/>
      <c r="GV63" s="148"/>
      <c r="GW63" s="148"/>
      <c r="GX63" s="148"/>
      <c r="GY63" s="148"/>
      <c r="GZ63" s="148"/>
      <c r="HA63" s="148"/>
      <c r="HB63" s="148"/>
      <c r="HC63" s="148"/>
      <c r="HD63" s="148"/>
      <c r="HE63" s="148"/>
      <c r="HF63" s="148"/>
      <c r="HG63" s="148"/>
      <c r="HH63" s="148"/>
      <c r="HI63" s="148"/>
      <c r="HJ63" s="148"/>
      <c r="HK63" s="148"/>
      <c r="HL63" s="148"/>
      <c r="HM63" s="148"/>
      <c r="HN63" s="148"/>
      <c r="HO63" s="148"/>
      <c r="HP63" s="148"/>
      <c r="HQ63" s="148"/>
      <c r="HR63" s="148"/>
      <c r="HS63" s="148"/>
      <c r="HT63" s="148"/>
      <c r="HU63" s="148"/>
      <c r="HV63" s="148"/>
      <c r="HW63" s="148"/>
      <c r="HX63" s="148"/>
      <c r="HY63" s="148"/>
      <c r="HZ63" s="148"/>
      <c r="IA63" s="148"/>
      <c r="IB63" s="148"/>
      <c r="IC63" s="148"/>
      <c r="ID63" s="148"/>
      <c r="IE63" s="148"/>
      <c r="IF63" s="148"/>
      <c r="IG63" s="148"/>
      <c r="IH63" s="148"/>
      <c r="II63" s="148"/>
      <c r="IJ63" s="148"/>
      <c r="IK63" s="148"/>
      <c r="IL63" s="148"/>
      <c r="IM63" s="148"/>
      <c r="IN63" s="148"/>
      <c r="IO63" s="148"/>
      <c r="IP63" s="148"/>
      <c r="IQ63" s="148"/>
      <c r="IR63" s="148"/>
      <c r="IS63" s="148"/>
      <c r="IT63" s="148"/>
      <c r="IU63" s="148"/>
      <c r="IV63" s="148"/>
      <c r="IW63" s="148"/>
      <c r="IX63" s="148"/>
      <c r="IY63" s="148"/>
      <c r="IZ63" s="148"/>
      <c r="JA63" s="148"/>
    </row>
    <row r="64" spans="1:261" s="272" customFormat="1" ht="18" customHeight="1" x14ac:dyDescent="0.35">
      <c r="A64" s="1423">
        <v>53</v>
      </c>
      <c r="B64" s="1557"/>
      <c r="C64" s="1582"/>
      <c r="D64" s="1585" t="s">
        <v>311</v>
      </c>
      <c r="E64" s="1560">
        <f>F64+G64+O67+P64</f>
        <v>3755</v>
      </c>
      <c r="F64" s="1561"/>
      <c r="G64" s="1562"/>
      <c r="H64" s="1563"/>
      <c r="I64" s="1564"/>
      <c r="J64" s="1565"/>
      <c r="K64" s="1565"/>
      <c r="L64" s="1565"/>
      <c r="M64" s="1565">
        <v>3755</v>
      </c>
      <c r="N64" s="1565"/>
      <c r="O64" s="1566">
        <f>SUM(I64:N64)</f>
        <v>3755</v>
      </c>
      <c r="P64" s="1567"/>
      <c r="Q64" s="148"/>
      <c r="R64" s="148"/>
      <c r="S64" s="148"/>
      <c r="T64" s="148"/>
      <c r="U64" s="148"/>
      <c r="V64" s="148"/>
      <c r="W64" s="148"/>
      <c r="X64" s="148"/>
      <c r="Y64" s="148"/>
      <c r="Z64" s="148"/>
      <c r="AA64" s="148"/>
      <c r="AB64" s="148"/>
      <c r="AC64" s="148"/>
      <c r="AD64" s="148"/>
      <c r="AE64" s="148"/>
      <c r="AF64" s="148"/>
      <c r="AG64" s="148"/>
      <c r="AH64" s="148"/>
      <c r="AI64" s="148"/>
      <c r="AJ64" s="148"/>
      <c r="AK64" s="148"/>
      <c r="AL64" s="148"/>
      <c r="AM64" s="148"/>
      <c r="AN64" s="148"/>
      <c r="AO64" s="148"/>
      <c r="AP64" s="148"/>
      <c r="AQ64" s="148"/>
      <c r="AR64" s="148"/>
      <c r="AS64" s="148"/>
      <c r="AT64" s="148"/>
      <c r="AU64" s="148"/>
      <c r="AV64" s="148"/>
      <c r="AW64" s="148"/>
      <c r="AX64" s="148"/>
      <c r="AY64" s="148"/>
      <c r="AZ64" s="148"/>
      <c r="BA64" s="148"/>
      <c r="BB64" s="148"/>
      <c r="BC64" s="148"/>
      <c r="BD64" s="148"/>
      <c r="BE64" s="148"/>
      <c r="BF64" s="148"/>
      <c r="BG64" s="148"/>
      <c r="BH64" s="148"/>
      <c r="BI64" s="148"/>
      <c r="BJ64" s="148"/>
      <c r="BK64" s="148"/>
      <c r="BL64" s="148"/>
      <c r="BM64" s="148"/>
      <c r="BN64" s="148"/>
      <c r="BO64" s="148"/>
      <c r="BP64" s="148"/>
      <c r="BQ64" s="148"/>
      <c r="BR64" s="148"/>
      <c r="BS64" s="148"/>
      <c r="BT64" s="148"/>
      <c r="BU64" s="148"/>
      <c r="BV64" s="148"/>
      <c r="BW64" s="148"/>
      <c r="BX64" s="148"/>
      <c r="BY64" s="148"/>
      <c r="BZ64" s="148"/>
      <c r="CA64" s="148"/>
      <c r="CB64" s="148"/>
      <c r="CC64" s="148"/>
      <c r="CD64" s="148"/>
      <c r="CE64" s="148"/>
      <c r="CF64" s="148"/>
      <c r="CG64" s="148"/>
      <c r="CH64" s="148"/>
      <c r="CI64" s="148"/>
      <c r="CJ64" s="148"/>
      <c r="CK64" s="148"/>
      <c r="CL64" s="148"/>
      <c r="CM64" s="148"/>
      <c r="CN64" s="148"/>
      <c r="CO64" s="148"/>
      <c r="CP64" s="148"/>
      <c r="CQ64" s="148"/>
      <c r="CR64" s="148"/>
      <c r="CS64" s="148"/>
      <c r="CT64" s="148"/>
      <c r="CU64" s="148"/>
      <c r="CV64" s="148"/>
      <c r="CW64" s="148"/>
      <c r="CX64" s="148"/>
      <c r="CY64" s="148"/>
      <c r="CZ64" s="148"/>
      <c r="DA64" s="148"/>
      <c r="DB64" s="148"/>
      <c r="DC64" s="148"/>
      <c r="DD64" s="148"/>
      <c r="DE64" s="148"/>
      <c r="DF64" s="148"/>
      <c r="DG64" s="148"/>
      <c r="DH64" s="148"/>
      <c r="DI64" s="148"/>
      <c r="DJ64" s="148"/>
      <c r="DK64" s="148"/>
      <c r="DL64" s="148"/>
      <c r="DM64" s="148"/>
      <c r="DN64" s="148"/>
      <c r="DO64" s="148"/>
      <c r="DP64" s="148"/>
      <c r="DQ64" s="148"/>
      <c r="DR64" s="148"/>
      <c r="DS64" s="148"/>
      <c r="DT64" s="148"/>
      <c r="DU64" s="148"/>
      <c r="DV64" s="148"/>
      <c r="DW64" s="148"/>
      <c r="DX64" s="148"/>
      <c r="DY64" s="148"/>
      <c r="DZ64" s="148"/>
      <c r="EA64" s="148"/>
      <c r="EB64" s="148"/>
      <c r="EC64" s="148"/>
      <c r="ED64" s="148"/>
      <c r="EE64" s="148"/>
      <c r="EF64" s="148"/>
      <c r="EG64" s="148"/>
      <c r="EH64" s="148"/>
      <c r="EI64" s="148"/>
      <c r="EJ64" s="148"/>
      <c r="EK64" s="148"/>
      <c r="EL64" s="148"/>
      <c r="EM64" s="148"/>
      <c r="EN64" s="148"/>
      <c r="EO64" s="148"/>
      <c r="EP64" s="148"/>
      <c r="EQ64" s="148"/>
      <c r="ER64" s="148"/>
      <c r="ES64" s="148"/>
      <c r="ET64" s="148"/>
      <c r="EU64" s="148"/>
      <c r="EV64" s="148"/>
      <c r="EW64" s="148"/>
      <c r="EX64" s="148"/>
      <c r="EY64" s="148"/>
      <c r="EZ64" s="148"/>
      <c r="FA64" s="148"/>
      <c r="FB64" s="148"/>
      <c r="FC64" s="148"/>
      <c r="FD64" s="148"/>
      <c r="FE64" s="148"/>
      <c r="FF64" s="148"/>
      <c r="FG64" s="148"/>
      <c r="FH64" s="148"/>
      <c r="FI64" s="148"/>
      <c r="FJ64" s="148"/>
      <c r="FK64" s="148"/>
      <c r="FL64" s="148"/>
      <c r="FM64" s="148"/>
      <c r="FN64" s="148"/>
      <c r="FO64" s="148"/>
      <c r="FP64" s="148"/>
      <c r="FQ64" s="148"/>
      <c r="FR64" s="148"/>
      <c r="FS64" s="148"/>
      <c r="FT64" s="148"/>
      <c r="FU64" s="148"/>
      <c r="FV64" s="148"/>
      <c r="FW64" s="148"/>
      <c r="FX64" s="148"/>
      <c r="FY64" s="148"/>
      <c r="FZ64" s="148"/>
      <c r="GA64" s="148"/>
      <c r="GB64" s="148"/>
      <c r="GC64" s="148"/>
      <c r="GD64" s="148"/>
      <c r="GE64" s="148"/>
      <c r="GF64" s="148"/>
      <c r="GG64" s="148"/>
      <c r="GH64" s="148"/>
      <c r="GI64" s="148"/>
      <c r="GJ64" s="148"/>
      <c r="GK64" s="148"/>
      <c r="GL64" s="148"/>
      <c r="GM64" s="148"/>
      <c r="GN64" s="148"/>
      <c r="GO64" s="148"/>
      <c r="GP64" s="148"/>
      <c r="GQ64" s="148"/>
      <c r="GR64" s="148"/>
      <c r="GS64" s="148"/>
      <c r="GT64" s="148"/>
      <c r="GU64" s="148"/>
      <c r="GV64" s="148"/>
      <c r="GW64" s="148"/>
      <c r="GX64" s="148"/>
      <c r="GY64" s="148"/>
      <c r="GZ64" s="148"/>
      <c r="HA64" s="148"/>
      <c r="HB64" s="148"/>
      <c r="HC64" s="148"/>
      <c r="HD64" s="148"/>
      <c r="HE64" s="148"/>
      <c r="HF64" s="148"/>
      <c r="HG64" s="148"/>
      <c r="HH64" s="148"/>
      <c r="HI64" s="148"/>
      <c r="HJ64" s="148"/>
      <c r="HK64" s="148"/>
      <c r="HL64" s="148"/>
      <c r="HM64" s="148"/>
      <c r="HN64" s="148"/>
      <c r="HO64" s="148"/>
      <c r="HP64" s="148"/>
      <c r="HQ64" s="148"/>
      <c r="HR64" s="148"/>
      <c r="HS64" s="148"/>
      <c r="HT64" s="148"/>
      <c r="HU64" s="148"/>
      <c r="HV64" s="148"/>
      <c r="HW64" s="148"/>
      <c r="HX64" s="148"/>
      <c r="HY64" s="148"/>
      <c r="HZ64" s="148"/>
      <c r="IA64" s="148"/>
      <c r="IB64" s="148"/>
      <c r="IC64" s="148"/>
      <c r="ID64" s="148"/>
      <c r="IE64" s="148"/>
      <c r="IF64" s="148"/>
      <c r="IG64" s="148"/>
      <c r="IH64" s="148"/>
      <c r="II64" s="148"/>
      <c r="IJ64" s="148"/>
      <c r="IK64" s="148"/>
      <c r="IL64" s="148"/>
      <c r="IM64" s="148"/>
      <c r="IN64" s="148"/>
      <c r="IO64" s="148"/>
      <c r="IP64" s="148"/>
      <c r="IQ64" s="148"/>
      <c r="IR64" s="148"/>
      <c r="IS64" s="148"/>
      <c r="IT64" s="148"/>
      <c r="IU64" s="148"/>
      <c r="IV64" s="148"/>
      <c r="IW64" s="148"/>
      <c r="IX64" s="148"/>
      <c r="IY64" s="148"/>
      <c r="IZ64" s="148"/>
      <c r="JA64" s="148"/>
    </row>
    <row r="65" spans="1:261" s="272" customFormat="1" ht="18" customHeight="1" x14ac:dyDescent="0.35">
      <c r="A65" s="1423">
        <v>54</v>
      </c>
      <c r="B65" s="1557"/>
      <c r="C65" s="1582"/>
      <c r="D65" s="1163" t="s">
        <v>1064</v>
      </c>
      <c r="E65" s="1560"/>
      <c r="F65" s="1561"/>
      <c r="G65" s="1562"/>
      <c r="H65" s="1563"/>
      <c r="I65" s="1564"/>
      <c r="J65" s="1565"/>
      <c r="K65" s="1565"/>
      <c r="L65" s="1565"/>
      <c r="M65" s="1575">
        <v>3755</v>
      </c>
      <c r="N65" s="1574"/>
      <c r="O65" s="1576">
        <f>SUM(I65:N65)</f>
        <v>3755</v>
      </c>
      <c r="P65" s="1567"/>
      <c r="Q65" s="148"/>
      <c r="R65" s="148"/>
      <c r="S65" s="148"/>
      <c r="T65" s="148"/>
      <c r="U65" s="148"/>
      <c r="V65" s="148"/>
      <c r="W65" s="148"/>
      <c r="X65" s="148"/>
      <c r="Y65" s="148"/>
      <c r="Z65" s="148"/>
      <c r="AA65" s="148"/>
      <c r="AB65" s="148"/>
      <c r="AC65" s="148"/>
      <c r="AD65" s="148"/>
      <c r="AE65" s="148"/>
      <c r="AF65" s="148"/>
      <c r="AG65" s="148"/>
      <c r="AH65" s="148"/>
      <c r="AI65" s="148"/>
      <c r="AJ65" s="148"/>
      <c r="AK65" s="148"/>
      <c r="AL65" s="148"/>
      <c r="AM65" s="148"/>
      <c r="AN65" s="148"/>
      <c r="AO65" s="148"/>
      <c r="AP65" s="148"/>
      <c r="AQ65" s="148"/>
      <c r="AR65" s="148"/>
      <c r="AS65" s="148"/>
      <c r="AT65" s="148"/>
      <c r="AU65" s="148"/>
      <c r="AV65" s="148"/>
      <c r="AW65" s="148"/>
      <c r="AX65" s="148"/>
      <c r="AY65" s="148"/>
      <c r="AZ65" s="148"/>
      <c r="BA65" s="148"/>
      <c r="BB65" s="148"/>
      <c r="BC65" s="148"/>
      <c r="BD65" s="148"/>
      <c r="BE65" s="148"/>
      <c r="BF65" s="148"/>
      <c r="BG65" s="148"/>
      <c r="BH65" s="148"/>
      <c r="BI65" s="148"/>
      <c r="BJ65" s="148"/>
      <c r="BK65" s="148"/>
      <c r="BL65" s="148"/>
      <c r="BM65" s="148"/>
      <c r="BN65" s="148"/>
      <c r="BO65" s="148"/>
      <c r="BP65" s="148"/>
      <c r="BQ65" s="148"/>
      <c r="BR65" s="148"/>
      <c r="BS65" s="148"/>
      <c r="BT65" s="148"/>
      <c r="BU65" s="148"/>
      <c r="BV65" s="148"/>
      <c r="BW65" s="148"/>
      <c r="BX65" s="148"/>
      <c r="BY65" s="148"/>
      <c r="BZ65" s="148"/>
      <c r="CA65" s="148"/>
      <c r="CB65" s="148"/>
      <c r="CC65" s="148"/>
      <c r="CD65" s="148"/>
      <c r="CE65" s="148"/>
      <c r="CF65" s="148"/>
      <c r="CG65" s="148"/>
      <c r="CH65" s="148"/>
      <c r="CI65" s="148"/>
      <c r="CJ65" s="148"/>
      <c r="CK65" s="148"/>
      <c r="CL65" s="148"/>
      <c r="CM65" s="148"/>
      <c r="CN65" s="148"/>
      <c r="CO65" s="148"/>
      <c r="CP65" s="148"/>
      <c r="CQ65" s="148"/>
      <c r="CR65" s="148"/>
      <c r="CS65" s="148"/>
      <c r="CT65" s="148"/>
      <c r="CU65" s="148"/>
      <c r="CV65" s="148"/>
      <c r="CW65" s="148"/>
      <c r="CX65" s="148"/>
      <c r="CY65" s="148"/>
      <c r="CZ65" s="148"/>
      <c r="DA65" s="148"/>
      <c r="DB65" s="148"/>
      <c r="DC65" s="148"/>
      <c r="DD65" s="148"/>
      <c r="DE65" s="148"/>
      <c r="DF65" s="148"/>
      <c r="DG65" s="148"/>
      <c r="DH65" s="148"/>
      <c r="DI65" s="148"/>
      <c r="DJ65" s="148"/>
      <c r="DK65" s="148"/>
      <c r="DL65" s="148"/>
      <c r="DM65" s="148"/>
      <c r="DN65" s="148"/>
      <c r="DO65" s="148"/>
      <c r="DP65" s="148"/>
      <c r="DQ65" s="148"/>
      <c r="DR65" s="148"/>
      <c r="DS65" s="148"/>
      <c r="DT65" s="148"/>
      <c r="DU65" s="148"/>
      <c r="DV65" s="148"/>
      <c r="DW65" s="148"/>
      <c r="DX65" s="148"/>
      <c r="DY65" s="148"/>
      <c r="DZ65" s="148"/>
      <c r="EA65" s="148"/>
      <c r="EB65" s="148"/>
      <c r="EC65" s="148"/>
      <c r="ED65" s="148"/>
      <c r="EE65" s="148"/>
      <c r="EF65" s="148"/>
      <c r="EG65" s="148"/>
      <c r="EH65" s="148"/>
      <c r="EI65" s="148"/>
      <c r="EJ65" s="148"/>
      <c r="EK65" s="148"/>
      <c r="EL65" s="148"/>
      <c r="EM65" s="148"/>
      <c r="EN65" s="148"/>
      <c r="EO65" s="148"/>
      <c r="EP65" s="148"/>
      <c r="EQ65" s="148"/>
      <c r="ER65" s="148"/>
      <c r="ES65" s="148"/>
      <c r="ET65" s="148"/>
      <c r="EU65" s="148"/>
      <c r="EV65" s="148"/>
      <c r="EW65" s="148"/>
      <c r="EX65" s="148"/>
      <c r="EY65" s="148"/>
      <c r="EZ65" s="148"/>
      <c r="FA65" s="148"/>
      <c r="FB65" s="148"/>
      <c r="FC65" s="148"/>
      <c r="FD65" s="148"/>
      <c r="FE65" s="148"/>
      <c r="FF65" s="148"/>
      <c r="FG65" s="148"/>
      <c r="FH65" s="148"/>
      <c r="FI65" s="148"/>
      <c r="FJ65" s="148"/>
      <c r="FK65" s="148"/>
      <c r="FL65" s="148"/>
      <c r="FM65" s="148"/>
      <c r="FN65" s="148"/>
      <c r="FO65" s="148"/>
      <c r="FP65" s="148"/>
      <c r="FQ65" s="148"/>
      <c r="FR65" s="148"/>
      <c r="FS65" s="148"/>
      <c r="FT65" s="148"/>
      <c r="FU65" s="148"/>
      <c r="FV65" s="148"/>
      <c r="FW65" s="148"/>
      <c r="FX65" s="148"/>
      <c r="FY65" s="148"/>
      <c r="FZ65" s="148"/>
      <c r="GA65" s="148"/>
      <c r="GB65" s="148"/>
      <c r="GC65" s="148"/>
      <c r="GD65" s="148"/>
      <c r="GE65" s="148"/>
      <c r="GF65" s="148"/>
      <c r="GG65" s="148"/>
      <c r="GH65" s="148"/>
      <c r="GI65" s="148"/>
      <c r="GJ65" s="148"/>
      <c r="GK65" s="148"/>
      <c r="GL65" s="148"/>
      <c r="GM65" s="148"/>
      <c r="GN65" s="148"/>
      <c r="GO65" s="148"/>
      <c r="GP65" s="148"/>
      <c r="GQ65" s="148"/>
      <c r="GR65" s="148"/>
      <c r="GS65" s="148"/>
      <c r="GT65" s="148"/>
      <c r="GU65" s="148"/>
      <c r="GV65" s="148"/>
      <c r="GW65" s="148"/>
      <c r="GX65" s="148"/>
      <c r="GY65" s="148"/>
      <c r="GZ65" s="148"/>
      <c r="HA65" s="148"/>
      <c r="HB65" s="148"/>
      <c r="HC65" s="148"/>
      <c r="HD65" s="148"/>
      <c r="HE65" s="148"/>
      <c r="HF65" s="148"/>
      <c r="HG65" s="148"/>
      <c r="HH65" s="148"/>
      <c r="HI65" s="148"/>
      <c r="HJ65" s="148"/>
      <c r="HK65" s="148"/>
      <c r="HL65" s="148"/>
      <c r="HM65" s="148"/>
      <c r="HN65" s="148"/>
      <c r="HO65" s="148"/>
      <c r="HP65" s="148"/>
      <c r="HQ65" s="148"/>
      <c r="HR65" s="148"/>
      <c r="HS65" s="148"/>
      <c r="HT65" s="148"/>
      <c r="HU65" s="148"/>
      <c r="HV65" s="148"/>
      <c r="HW65" s="148"/>
      <c r="HX65" s="148"/>
      <c r="HY65" s="148"/>
      <c r="HZ65" s="148"/>
      <c r="IA65" s="148"/>
      <c r="IB65" s="148"/>
      <c r="IC65" s="148"/>
      <c r="ID65" s="148"/>
      <c r="IE65" s="148"/>
      <c r="IF65" s="148"/>
      <c r="IG65" s="148"/>
      <c r="IH65" s="148"/>
      <c r="II65" s="148"/>
      <c r="IJ65" s="148"/>
      <c r="IK65" s="148"/>
      <c r="IL65" s="148"/>
      <c r="IM65" s="148"/>
      <c r="IN65" s="148"/>
      <c r="IO65" s="148"/>
      <c r="IP65" s="148"/>
      <c r="IQ65" s="148"/>
      <c r="IR65" s="148"/>
      <c r="IS65" s="148"/>
      <c r="IT65" s="148"/>
      <c r="IU65" s="148"/>
      <c r="IV65" s="148"/>
      <c r="IW65" s="148"/>
      <c r="IX65" s="148"/>
      <c r="IY65" s="148"/>
      <c r="IZ65" s="148"/>
      <c r="JA65" s="148"/>
    </row>
    <row r="66" spans="1:261" s="272" customFormat="1" ht="18" customHeight="1" x14ac:dyDescent="0.35">
      <c r="A66" s="1423">
        <v>55</v>
      </c>
      <c r="B66" s="1557"/>
      <c r="C66" s="1582"/>
      <c r="D66" s="1174" t="s">
        <v>999</v>
      </c>
      <c r="E66" s="1560"/>
      <c r="F66" s="1561"/>
      <c r="G66" s="1562"/>
      <c r="H66" s="1563"/>
      <c r="I66" s="1580"/>
      <c r="J66" s="1574"/>
      <c r="K66" s="1574"/>
      <c r="L66" s="1574"/>
      <c r="M66" s="1574"/>
      <c r="N66" s="1574"/>
      <c r="O66" s="1576">
        <f>SUM(I66:N66)</f>
        <v>0</v>
      </c>
      <c r="P66" s="1567"/>
      <c r="Q66" s="148"/>
      <c r="R66" s="148"/>
      <c r="S66" s="148"/>
      <c r="T66" s="148"/>
      <c r="U66" s="148"/>
      <c r="V66" s="148"/>
      <c r="W66" s="148"/>
      <c r="X66" s="148"/>
      <c r="Y66" s="148"/>
      <c r="Z66" s="148"/>
      <c r="AA66" s="148"/>
      <c r="AB66" s="148"/>
      <c r="AC66" s="148"/>
      <c r="AD66" s="148"/>
      <c r="AE66" s="148"/>
      <c r="AF66" s="148"/>
      <c r="AG66" s="148"/>
      <c r="AH66" s="148"/>
      <c r="AI66" s="148"/>
      <c r="AJ66" s="148"/>
      <c r="AK66" s="148"/>
      <c r="AL66" s="148"/>
      <c r="AM66" s="148"/>
      <c r="AN66" s="148"/>
      <c r="AO66" s="148"/>
      <c r="AP66" s="148"/>
      <c r="AQ66" s="148"/>
      <c r="AR66" s="148"/>
      <c r="AS66" s="148"/>
      <c r="AT66" s="148"/>
      <c r="AU66" s="148"/>
      <c r="AV66" s="148"/>
      <c r="AW66" s="148"/>
      <c r="AX66" s="148"/>
      <c r="AY66" s="148"/>
      <c r="AZ66" s="148"/>
      <c r="BA66" s="148"/>
      <c r="BB66" s="148"/>
      <c r="BC66" s="148"/>
      <c r="BD66" s="148"/>
      <c r="BE66" s="148"/>
      <c r="BF66" s="148"/>
      <c r="BG66" s="148"/>
      <c r="BH66" s="148"/>
      <c r="BI66" s="148"/>
      <c r="BJ66" s="148"/>
      <c r="BK66" s="148"/>
      <c r="BL66" s="148"/>
      <c r="BM66" s="148"/>
      <c r="BN66" s="148"/>
      <c r="BO66" s="148"/>
      <c r="BP66" s="148"/>
      <c r="BQ66" s="148"/>
      <c r="BR66" s="148"/>
      <c r="BS66" s="148"/>
      <c r="BT66" s="148"/>
      <c r="BU66" s="148"/>
      <c r="BV66" s="148"/>
      <c r="BW66" s="148"/>
      <c r="BX66" s="148"/>
      <c r="BY66" s="148"/>
      <c r="BZ66" s="148"/>
      <c r="CA66" s="148"/>
      <c r="CB66" s="148"/>
      <c r="CC66" s="148"/>
      <c r="CD66" s="148"/>
      <c r="CE66" s="148"/>
      <c r="CF66" s="148"/>
      <c r="CG66" s="148"/>
      <c r="CH66" s="148"/>
      <c r="CI66" s="148"/>
      <c r="CJ66" s="148"/>
      <c r="CK66" s="148"/>
      <c r="CL66" s="148"/>
      <c r="CM66" s="148"/>
      <c r="CN66" s="148"/>
      <c r="CO66" s="148"/>
      <c r="CP66" s="148"/>
      <c r="CQ66" s="148"/>
      <c r="CR66" s="148"/>
      <c r="CS66" s="148"/>
      <c r="CT66" s="148"/>
      <c r="CU66" s="148"/>
      <c r="CV66" s="148"/>
      <c r="CW66" s="148"/>
      <c r="CX66" s="148"/>
      <c r="CY66" s="148"/>
      <c r="CZ66" s="148"/>
      <c r="DA66" s="148"/>
      <c r="DB66" s="148"/>
      <c r="DC66" s="148"/>
      <c r="DD66" s="148"/>
      <c r="DE66" s="148"/>
      <c r="DF66" s="148"/>
      <c r="DG66" s="148"/>
      <c r="DH66" s="148"/>
      <c r="DI66" s="148"/>
      <c r="DJ66" s="148"/>
      <c r="DK66" s="148"/>
      <c r="DL66" s="148"/>
      <c r="DM66" s="148"/>
      <c r="DN66" s="148"/>
      <c r="DO66" s="148"/>
      <c r="DP66" s="148"/>
      <c r="DQ66" s="148"/>
      <c r="DR66" s="148"/>
      <c r="DS66" s="148"/>
      <c r="DT66" s="148"/>
      <c r="DU66" s="148"/>
      <c r="DV66" s="148"/>
      <c r="DW66" s="148"/>
      <c r="DX66" s="148"/>
      <c r="DY66" s="148"/>
      <c r="DZ66" s="148"/>
      <c r="EA66" s="148"/>
      <c r="EB66" s="148"/>
      <c r="EC66" s="148"/>
      <c r="ED66" s="148"/>
      <c r="EE66" s="148"/>
      <c r="EF66" s="148"/>
      <c r="EG66" s="148"/>
      <c r="EH66" s="148"/>
      <c r="EI66" s="148"/>
      <c r="EJ66" s="148"/>
      <c r="EK66" s="148"/>
      <c r="EL66" s="148"/>
      <c r="EM66" s="148"/>
      <c r="EN66" s="148"/>
      <c r="EO66" s="148"/>
      <c r="EP66" s="148"/>
      <c r="EQ66" s="148"/>
      <c r="ER66" s="148"/>
      <c r="ES66" s="148"/>
      <c r="ET66" s="148"/>
      <c r="EU66" s="148"/>
      <c r="EV66" s="148"/>
      <c r="EW66" s="148"/>
      <c r="EX66" s="148"/>
      <c r="EY66" s="148"/>
      <c r="EZ66" s="148"/>
      <c r="FA66" s="148"/>
      <c r="FB66" s="148"/>
      <c r="FC66" s="148"/>
      <c r="FD66" s="148"/>
      <c r="FE66" s="148"/>
      <c r="FF66" s="148"/>
      <c r="FG66" s="148"/>
      <c r="FH66" s="148"/>
      <c r="FI66" s="148"/>
      <c r="FJ66" s="148"/>
      <c r="FK66" s="148"/>
      <c r="FL66" s="148"/>
      <c r="FM66" s="148"/>
      <c r="FN66" s="148"/>
      <c r="FO66" s="148"/>
      <c r="FP66" s="148"/>
      <c r="FQ66" s="148"/>
      <c r="FR66" s="148"/>
      <c r="FS66" s="148"/>
      <c r="FT66" s="148"/>
      <c r="FU66" s="148"/>
      <c r="FV66" s="148"/>
      <c r="FW66" s="148"/>
      <c r="FX66" s="148"/>
      <c r="FY66" s="148"/>
      <c r="FZ66" s="148"/>
      <c r="GA66" s="148"/>
      <c r="GB66" s="148"/>
      <c r="GC66" s="148"/>
      <c r="GD66" s="148"/>
      <c r="GE66" s="148"/>
      <c r="GF66" s="148"/>
      <c r="GG66" s="148"/>
      <c r="GH66" s="148"/>
      <c r="GI66" s="148"/>
      <c r="GJ66" s="148"/>
      <c r="GK66" s="148"/>
      <c r="GL66" s="148"/>
      <c r="GM66" s="148"/>
      <c r="GN66" s="148"/>
      <c r="GO66" s="148"/>
      <c r="GP66" s="148"/>
      <c r="GQ66" s="148"/>
      <c r="GR66" s="148"/>
      <c r="GS66" s="148"/>
      <c r="GT66" s="148"/>
      <c r="GU66" s="148"/>
      <c r="GV66" s="148"/>
      <c r="GW66" s="148"/>
      <c r="GX66" s="148"/>
      <c r="GY66" s="148"/>
      <c r="GZ66" s="148"/>
      <c r="HA66" s="148"/>
      <c r="HB66" s="148"/>
      <c r="HC66" s="148"/>
      <c r="HD66" s="148"/>
      <c r="HE66" s="148"/>
      <c r="HF66" s="148"/>
      <c r="HG66" s="148"/>
      <c r="HH66" s="148"/>
      <c r="HI66" s="148"/>
      <c r="HJ66" s="148"/>
      <c r="HK66" s="148"/>
      <c r="HL66" s="148"/>
      <c r="HM66" s="148"/>
      <c r="HN66" s="148"/>
      <c r="HO66" s="148"/>
      <c r="HP66" s="148"/>
      <c r="HQ66" s="148"/>
      <c r="HR66" s="148"/>
      <c r="HS66" s="148"/>
      <c r="HT66" s="148"/>
      <c r="HU66" s="148"/>
      <c r="HV66" s="148"/>
      <c r="HW66" s="148"/>
      <c r="HX66" s="148"/>
      <c r="HY66" s="148"/>
      <c r="HZ66" s="148"/>
      <c r="IA66" s="148"/>
      <c r="IB66" s="148"/>
      <c r="IC66" s="148"/>
      <c r="ID66" s="148"/>
      <c r="IE66" s="148"/>
      <c r="IF66" s="148"/>
      <c r="IG66" s="148"/>
      <c r="IH66" s="148"/>
      <c r="II66" s="148"/>
      <c r="IJ66" s="148"/>
      <c r="IK66" s="148"/>
      <c r="IL66" s="148"/>
      <c r="IM66" s="148"/>
      <c r="IN66" s="148"/>
      <c r="IO66" s="148"/>
      <c r="IP66" s="148"/>
      <c r="IQ66" s="148"/>
      <c r="IR66" s="148"/>
      <c r="IS66" s="148"/>
      <c r="IT66" s="148"/>
      <c r="IU66" s="148"/>
      <c r="IV66" s="148"/>
      <c r="IW66" s="148"/>
      <c r="IX66" s="148"/>
      <c r="IY66" s="148"/>
      <c r="IZ66" s="148"/>
      <c r="JA66" s="148"/>
    </row>
    <row r="67" spans="1:261" s="272" customFormat="1" ht="18" customHeight="1" x14ac:dyDescent="0.35">
      <c r="A67" s="1423">
        <v>56</v>
      </c>
      <c r="B67" s="1557"/>
      <c r="C67" s="1582"/>
      <c r="D67" s="1163" t="s">
        <v>1116</v>
      </c>
      <c r="E67" s="1560"/>
      <c r="F67" s="1561"/>
      <c r="G67" s="1562"/>
      <c r="H67" s="1563"/>
      <c r="I67" s="1580"/>
      <c r="J67" s="1574"/>
      <c r="K67" s="1574"/>
      <c r="L67" s="1574"/>
      <c r="M67" s="1575">
        <f>SUM(M65:M66)</f>
        <v>3755</v>
      </c>
      <c r="N67" s="1574"/>
      <c r="O67" s="1576">
        <f>SUM(I67:N67)</f>
        <v>3755</v>
      </c>
      <c r="P67" s="1567"/>
      <c r="Q67" s="148"/>
      <c r="R67" s="148"/>
      <c r="S67" s="148"/>
      <c r="T67" s="148"/>
      <c r="U67" s="148"/>
      <c r="V67" s="148"/>
      <c r="W67" s="148"/>
      <c r="X67" s="148"/>
      <c r="Y67" s="148"/>
      <c r="Z67" s="148"/>
      <c r="AA67" s="148"/>
      <c r="AB67" s="148"/>
      <c r="AC67" s="148"/>
      <c r="AD67" s="148"/>
      <c r="AE67" s="148"/>
      <c r="AF67" s="148"/>
      <c r="AG67" s="148"/>
      <c r="AH67" s="148"/>
      <c r="AI67" s="148"/>
      <c r="AJ67" s="148"/>
      <c r="AK67" s="148"/>
      <c r="AL67" s="148"/>
      <c r="AM67" s="148"/>
      <c r="AN67" s="148"/>
      <c r="AO67" s="148"/>
      <c r="AP67" s="148"/>
      <c r="AQ67" s="148"/>
      <c r="AR67" s="148"/>
      <c r="AS67" s="148"/>
      <c r="AT67" s="148"/>
      <c r="AU67" s="148"/>
      <c r="AV67" s="148"/>
      <c r="AW67" s="148"/>
      <c r="AX67" s="148"/>
      <c r="AY67" s="148"/>
      <c r="AZ67" s="148"/>
      <c r="BA67" s="148"/>
      <c r="BB67" s="148"/>
      <c r="BC67" s="148"/>
      <c r="BD67" s="148"/>
      <c r="BE67" s="148"/>
      <c r="BF67" s="148"/>
      <c r="BG67" s="148"/>
      <c r="BH67" s="148"/>
      <c r="BI67" s="148"/>
      <c r="BJ67" s="148"/>
      <c r="BK67" s="148"/>
      <c r="BL67" s="148"/>
      <c r="BM67" s="148"/>
      <c r="BN67" s="148"/>
      <c r="BO67" s="148"/>
      <c r="BP67" s="148"/>
      <c r="BQ67" s="148"/>
      <c r="BR67" s="148"/>
      <c r="BS67" s="148"/>
      <c r="BT67" s="148"/>
      <c r="BU67" s="148"/>
      <c r="BV67" s="148"/>
      <c r="BW67" s="148"/>
      <c r="BX67" s="148"/>
      <c r="BY67" s="148"/>
      <c r="BZ67" s="148"/>
      <c r="CA67" s="148"/>
      <c r="CB67" s="148"/>
      <c r="CC67" s="148"/>
      <c r="CD67" s="148"/>
      <c r="CE67" s="148"/>
      <c r="CF67" s="148"/>
      <c r="CG67" s="148"/>
      <c r="CH67" s="148"/>
      <c r="CI67" s="148"/>
      <c r="CJ67" s="148"/>
      <c r="CK67" s="148"/>
      <c r="CL67" s="148"/>
      <c r="CM67" s="148"/>
      <c r="CN67" s="148"/>
      <c r="CO67" s="148"/>
      <c r="CP67" s="148"/>
      <c r="CQ67" s="148"/>
      <c r="CR67" s="148"/>
      <c r="CS67" s="148"/>
      <c r="CT67" s="148"/>
      <c r="CU67" s="148"/>
      <c r="CV67" s="148"/>
      <c r="CW67" s="148"/>
      <c r="CX67" s="148"/>
      <c r="CY67" s="148"/>
      <c r="CZ67" s="148"/>
      <c r="DA67" s="148"/>
      <c r="DB67" s="148"/>
      <c r="DC67" s="148"/>
      <c r="DD67" s="148"/>
      <c r="DE67" s="148"/>
      <c r="DF67" s="148"/>
      <c r="DG67" s="148"/>
      <c r="DH67" s="148"/>
      <c r="DI67" s="148"/>
      <c r="DJ67" s="148"/>
      <c r="DK67" s="148"/>
      <c r="DL67" s="148"/>
      <c r="DM67" s="148"/>
      <c r="DN67" s="148"/>
      <c r="DO67" s="148"/>
      <c r="DP67" s="148"/>
      <c r="DQ67" s="148"/>
      <c r="DR67" s="148"/>
      <c r="DS67" s="148"/>
      <c r="DT67" s="148"/>
      <c r="DU67" s="148"/>
      <c r="DV67" s="148"/>
      <c r="DW67" s="148"/>
      <c r="DX67" s="148"/>
      <c r="DY67" s="148"/>
      <c r="DZ67" s="148"/>
      <c r="EA67" s="148"/>
      <c r="EB67" s="148"/>
      <c r="EC67" s="148"/>
      <c r="ED67" s="148"/>
      <c r="EE67" s="148"/>
      <c r="EF67" s="148"/>
      <c r="EG67" s="148"/>
      <c r="EH67" s="148"/>
      <c r="EI67" s="148"/>
      <c r="EJ67" s="148"/>
      <c r="EK67" s="148"/>
      <c r="EL67" s="148"/>
      <c r="EM67" s="148"/>
      <c r="EN67" s="148"/>
      <c r="EO67" s="148"/>
      <c r="EP67" s="148"/>
      <c r="EQ67" s="148"/>
      <c r="ER67" s="148"/>
      <c r="ES67" s="148"/>
      <c r="ET67" s="148"/>
      <c r="EU67" s="148"/>
      <c r="EV67" s="148"/>
      <c r="EW67" s="148"/>
      <c r="EX67" s="148"/>
      <c r="EY67" s="148"/>
      <c r="EZ67" s="148"/>
      <c r="FA67" s="148"/>
      <c r="FB67" s="148"/>
      <c r="FC67" s="148"/>
      <c r="FD67" s="148"/>
      <c r="FE67" s="148"/>
      <c r="FF67" s="148"/>
      <c r="FG67" s="148"/>
      <c r="FH67" s="148"/>
      <c r="FI67" s="148"/>
      <c r="FJ67" s="148"/>
      <c r="FK67" s="148"/>
      <c r="FL67" s="148"/>
      <c r="FM67" s="148"/>
      <c r="FN67" s="148"/>
      <c r="FO67" s="148"/>
      <c r="FP67" s="148"/>
      <c r="FQ67" s="148"/>
      <c r="FR67" s="148"/>
      <c r="FS67" s="148"/>
      <c r="FT67" s="148"/>
      <c r="FU67" s="148"/>
      <c r="FV67" s="148"/>
      <c r="FW67" s="148"/>
      <c r="FX67" s="148"/>
      <c r="FY67" s="148"/>
      <c r="FZ67" s="148"/>
      <c r="GA67" s="148"/>
      <c r="GB67" s="148"/>
      <c r="GC67" s="148"/>
      <c r="GD67" s="148"/>
      <c r="GE67" s="148"/>
      <c r="GF67" s="148"/>
      <c r="GG67" s="148"/>
      <c r="GH67" s="148"/>
      <c r="GI67" s="148"/>
      <c r="GJ67" s="148"/>
      <c r="GK67" s="148"/>
      <c r="GL67" s="148"/>
      <c r="GM67" s="148"/>
      <c r="GN67" s="148"/>
      <c r="GO67" s="148"/>
      <c r="GP67" s="148"/>
      <c r="GQ67" s="148"/>
      <c r="GR67" s="148"/>
      <c r="GS67" s="148"/>
      <c r="GT67" s="148"/>
      <c r="GU67" s="148"/>
      <c r="GV67" s="148"/>
      <c r="GW67" s="148"/>
      <c r="GX67" s="148"/>
      <c r="GY67" s="148"/>
      <c r="GZ67" s="148"/>
      <c r="HA67" s="148"/>
      <c r="HB67" s="148"/>
      <c r="HC67" s="148"/>
      <c r="HD67" s="148"/>
      <c r="HE67" s="148"/>
      <c r="HF67" s="148"/>
      <c r="HG67" s="148"/>
      <c r="HH67" s="148"/>
      <c r="HI67" s="148"/>
      <c r="HJ67" s="148"/>
      <c r="HK67" s="148"/>
      <c r="HL67" s="148"/>
      <c r="HM67" s="148"/>
      <c r="HN67" s="148"/>
      <c r="HO67" s="148"/>
      <c r="HP67" s="148"/>
      <c r="HQ67" s="148"/>
      <c r="HR67" s="148"/>
      <c r="HS67" s="148"/>
      <c r="HT67" s="148"/>
      <c r="HU67" s="148"/>
      <c r="HV67" s="148"/>
      <c r="HW67" s="148"/>
      <c r="HX67" s="148"/>
      <c r="HY67" s="148"/>
      <c r="HZ67" s="148"/>
      <c r="IA67" s="148"/>
      <c r="IB67" s="148"/>
      <c r="IC67" s="148"/>
      <c r="ID67" s="148"/>
      <c r="IE67" s="148"/>
      <c r="IF67" s="148"/>
      <c r="IG67" s="148"/>
      <c r="IH67" s="148"/>
      <c r="II67" s="148"/>
      <c r="IJ67" s="148"/>
      <c r="IK67" s="148"/>
      <c r="IL67" s="148"/>
      <c r="IM67" s="148"/>
      <c r="IN67" s="148"/>
      <c r="IO67" s="148"/>
      <c r="IP67" s="148"/>
      <c r="IQ67" s="148"/>
      <c r="IR67" s="148"/>
      <c r="IS67" s="148"/>
      <c r="IT67" s="148"/>
      <c r="IU67" s="148"/>
      <c r="IV67" s="148"/>
      <c r="IW67" s="148"/>
      <c r="IX67" s="148"/>
      <c r="IY67" s="148"/>
      <c r="IZ67" s="148"/>
      <c r="JA67" s="148"/>
    </row>
    <row r="68" spans="1:261" s="272" customFormat="1" ht="22.5" customHeight="1" x14ac:dyDescent="0.35">
      <c r="A68" s="1423">
        <v>57</v>
      </c>
      <c r="B68" s="1557"/>
      <c r="C68" s="1558">
        <v>12</v>
      </c>
      <c r="D68" s="1646" t="s">
        <v>786</v>
      </c>
      <c r="E68" s="1560"/>
      <c r="F68" s="1561"/>
      <c r="G68" s="1562"/>
      <c r="H68" s="1563" t="s">
        <v>24</v>
      </c>
      <c r="I68" s="1564"/>
      <c r="J68" s="1565"/>
      <c r="K68" s="1565"/>
      <c r="L68" s="1565"/>
      <c r="M68" s="1565"/>
      <c r="N68" s="1565"/>
      <c r="O68" s="1566"/>
      <c r="P68" s="1567"/>
      <c r="Q68" s="148"/>
      <c r="R68" s="148"/>
      <c r="S68" s="148"/>
      <c r="T68" s="148"/>
      <c r="U68" s="148"/>
      <c r="V68" s="148"/>
      <c r="W68" s="148"/>
      <c r="X68" s="148"/>
      <c r="Y68" s="148"/>
      <c r="Z68" s="148"/>
      <c r="AA68" s="148"/>
      <c r="AB68" s="148"/>
      <c r="AC68" s="148"/>
      <c r="AD68" s="148"/>
      <c r="AE68" s="148"/>
      <c r="AF68" s="148"/>
      <c r="AG68" s="148"/>
      <c r="AH68" s="148"/>
      <c r="AI68" s="148"/>
      <c r="AJ68" s="148"/>
      <c r="AK68" s="148"/>
      <c r="AL68" s="148"/>
      <c r="AM68" s="148"/>
      <c r="AN68" s="148"/>
      <c r="AO68" s="148"/>
      <c r="AP68" s="148"/>
      <c r="AQ68" s="148"/>
      <c r="AR68" s="148"/>
      <c r="AS68" s="148"/>
      <c r="AT68" s="148"/>
      <c r="AU68" s="148"/>
      <c r="AV68" s="148"/>
      <c r="AW68" s="148"/>
      <c r="AX68" s="148"/>
      <c r="AY68" s="148"/>
      <c r="AZ68" s="148"/>
      <c r="BA68" s="148"/>
      <c r="BB68" s="148"/>
      <c r="BC68" s="148"/>
      <c r="BD68" s="148"/>
      <c r="BE68" s="148"/>
      <c r="BF68" s="148"/>
      <c r="BG68" s="148"/>
      <c r="BH68" s="148"/>
      <c r="BI68" s="148"/>
      <c r="BJ68" s="148"/>
      <c r="BK68" s="148"/>
      <c r="BL68" s="148"/>
      <c r="BM68" s="148"/>
      <c r="BN68" s="148"/>
      <c r="BO68" s="148"/>
      <c r="BP68" s="148"/>
      <c r="BQ68" s="148"/>
      <c r="BR68" s="148"/>
      <c r="BS68" s="148"/>
      <c r="BT68" s="148"/>
      <c r="BU68" s="148"/>
      <c r="BV68" s="148"/>
      <c r="BW68" s="148"/>
      <c r="BX68" s="148"/>
      <c r="BY68" s="148"/>
      <c r="BZ68" s="148"/>
      <c r="CA68" s="148"/>
      <c r="CB68" s="148"/>
      <c r="CC68" s="148"/>
      <c r="CD68" s="148"/>
      <c r="CE68" s="148"/>
      <c r="CF68" s="148"/>
      <c r="CG68" s="148"/>
      <c r="CH68" s="148"/>
      <c r="CI68" s="148"/>
      <c r="CJ68" s="148"/>
      <c r="CK68" s="148"/>
      <c r="CL68" s="148"/>
      <c r="CM68" s="148"/>
      <c r="CN68" s="148"/>
      <c r="CO68" s="148"/>
      <c r="CP68" s="148"/>
      <c r="CQ68" s="148"/>
      <c r="CR68" s="148"/>
      <c r="CS68" s="148"/>
      <c r="CT68" s="148"/>
      <c r="CU68" s="148"/>
      <c r="CV68" s="148"/>
      <c r="CW68" s="148"/>
      <c r="CX68" s="148"/>
      <c r="CY68" s="148"/>
      <c r="CZ68" s="148"/>
      <c r="DA68" s="148"/>
      <c r="DB68" s="148"/>
      <c r="DC68" s="148"/>
      <c r="DD68" s="148"/>
      <c r="DE68" s="148"/>
      <c r="DF68" s="148"/>
      <c r="DG68" s="148"/>
      <c r="DH68" s="148"/>
      <c r="DI68" s="148"/>
      <c r="DJ68" s="148"/>
      <c r="DK68" s="148"/>
      <c r="DL68" s="148"/>
      <c r="DM68" s="148"/>
      <c r="DN68" s="148"/>
      <c r="DO68" s="148"/>
      <c r="DP68" s="148"/>
      <c r="DQ68" s="148"/>
      <c r="DR68" s="148"/>
      <c r="DS68" s="148"/>
      <c r="DT68" s="148"/>
      <c r="DU68" s="148"/>
      <c r="DV68" s="148"/>
      <c r="DW68" s="148"/>
      <c r="DX68" s="148"/>
      <c r="DY68" s="148"/>
      <c r="DZ68" s="148"/>
      <c r="EA68" s="148"/>
      <c r="EB68" s="148"/>
      <c r="EC68" s="148"/>
      <c r="ED68" s="148"/>
      <c r="EE68" s="148"/>
      <c r="EF68" s="148"/>
      <c r="EG68" s="148"/>
      <c r="EH68" s="148"/>
      <c r="EI68" s="148"/>
      <c r="EJ68" s="148"/>
      <c r="EK68" s="148"/>
      <c r="EL68" s="148"/>
      <c r="EM68" s="148"/>
      <c r="EN68" s="148"/>
      <c r="EO68" s="148"/>
      <c r="EP68" s="148"/>
      <c r="EQ68" s="148"/>
      <c r="ER68" s="148"/>
      <c r="ES68" s="148"/>
      <c r="ET68" s="148"/>
      <c r="EU68" s="148"/>
      <c r="EV68" s="148"/>
      <c r="EW68" s="148"/>
      <c r="EX68" s="148"/>
      <c r="EY68" s="148"/>
      <c r="EZ68" s="148"/>
      <c r="FA68" s="148"/>
      <c r="FB68" s="148"/>
      <c r="FC68" s="148"/>
      <c r="FD68" s="148"/>
      <c r="FE68" s="148"/>
      <c r="FF68" s="148"/>
      <c r="FG68" s="148"/>
      <c r="FH68" s="148"/>
      <c r="FI68" s="148"/>
      <c r="FJ68" s="148"/>
      <c r="FK68" s="148"/>
      <c r="FL68" s="148"/>
      <c r="FM68" s="148"/>
      <c r="FN68" s="148"/>
      <c r="FO68" s="148"/>
      <c r="FP68" s="148"/>
      <c r="FQ68" s="148"/>
      <c r="FR68" s="148"/>
      <c r="FS68" s="148"/>
      <c r="FT68" s="148"/>
      <c r="FU68" s="148"/>
      <c r="FV68" s="148"/>
      <c r="FW68" s="148"/>
      <c r="FX68" s="148"/>
      <c r="FY68" s="148"/>
      <c r="FZ68" s="148"/>
      <c r="GA68" s="148"/>
      <c r="GB68" s="148"/>
      <c r="GC68" s="148"/>
      <c r="GD68" s="148"/>
      <c r="GE68" s="148"/>
      <c r="GF68" s="148"/>
      <c r="GG68" s="148"/>
      <c r="GH68" s="148"/>
      <c r="GI68" s="148"/>
      <c r="GJ68" s="148"/>
      <c r="GK68" s="148"/>
      <c r="GL68" s="148"/>
      <c r="GM68" s="148"/>
      <c r="GN68" s="148"/>
      <c r="GO68" s="148"/>
      <c r="GP68" s="148"/>
      <c r="GQ68" s="148"/>
      <c r="GR68" s="148"/>
      <c r="GS68" s="148"/>
      <c r="GT68" s="148"/>
      <c r="GU68" s="148"/>
      <c r="GV68" s="148"/>
      <c r="GW68" s="148"/>
      <c r="GX68" s="148"/>
      <c r="GY68" s="148"/>
      <c r="GZ68" s="148"/>
      <c r="HA68" s="148"/>
      <c r="HB68" s="148"/>
      <c r="HC68" s="148"/>
      <c r="HD68" s="148"/>
      <c r="HE68" s="148"/>
      <c r="HF68" s="148"/>
      <c r="HG68" s="148"/>
      <c r="HH68" s="148"/>
      <c r="HI68" s="148"/>
      <c r="HJ68" s="148"/>
      <c r="HK68" s="148"/>
      <c r="HL68" s="148"/>
      <c r="HM68" s="148"/>
      <c r="HN68" s="148"/>
      <c r="HO68" s="148"/>
      <c r="HP68" s="148"/>
      <c r="HQ68" s="148"/>
      <c r="HR68" s="148"/>
      <c r="HS68" s="148"/>
      <c r="HT68" s="148"/>
      <c r="HU68" s="148"/>
      <c r="HV68" s="148"/>
      <c r="HW68" s="148"/>
      <c r="HX68" s="148"/>
      <c r="HY68" s="148"/>
      <c r="HZ68" s="148"/>
      <c r="IA68" s="148"/>
      <c r="IB68" s="148"/>
      <c r="IC68" s="148"/>
      <c r="ID68" s="148"/>
      <c r="IE68" s="148"/>
      <c r="IF68" s="148"/>
      <c r="IG68" s="148"/>
      <c r="IH68" s="148"/>
      <c r="II68" s="148"/>
      <c r="IJ68" s="148"/>
      <c r="IK68" s="148"/>
      <c r="IL68" s="148"/>
      <c r="IM68" s="148"/>
      <c r="IN68" s="148"/>
      <c r="IO68" s="148"/>
      <c r="IP68" s="148"/>
      <c r="IQ68" s="148"/>
      <c r="IR68" s="148"/>
      <c r="IS68" s="148"/>
      <c r="IT68" s="148"/>
      <c r="IU68" s="148"/>
      <c r="IV68" s="148"/>
      <c r="IW68" s="148"/>
      <c r="IX68" s="148"/>
      <c r="IY68" s="148"/>
      <c r="IZ68" s="148"/>
      <c r="JA68" s="148"/>
    </row>
    <row r="69" spans="1:261" s="272" customFormat="1" ht="18" customHeight="1" x14ac:dyDescent="0.35">
      <c r="A69" s="1423">
        <v>58</v>
      </c>
      <c r="B69" s="1557"/>
      <c r="C69" s="1582"/>
      <c r="D69" s="1585" t="s">
        <v>311</v>
      </c>
      <c r="E69" s="1560">
        <f>F69+G69+O72+P69</f>
        <v>3979</v>
      </c>
      <c r="F69" s="1561"/>
      <c r="G69" s="1562"/>
      <c r="H69" s="1563"/>
      <c r="I69" s="1564"/>
      <c r="J69" s="1565"/>
      <c r="K69" s="1565">
        <v>79</v>
      </c>
      <c r="L69" s="1565"/>
      <c r="M69" s="1565">
        <v>3900</v>
      </c>
      <c r="N69" s="1565"/>
      <c r="O69" s="1566">
        <f>SUM(I69:N69)</f>
        <v>3979</v>
      </c>
      <c r="P69" s="1567"/>
      <c r="Q69" s="148"/>
      <c r="R69" s="148"/>
      <c r="S69" s="148"/>
      <c r="T69" s="148"/>
      <c r="U69" s="148"/>
      <c r="V69" s="148"/>
      <c r="W69" s="148"/>
      <c r="X69" s="148"/>
      <c r="Y69" s="148"/>
      <c r="Z69" s="148"/>
      <c r="AA69" s="148"/>
      <c r="AB69" s="148"/>
      <c r="AC69" s="148"/>
      <c r="AD69" s="148"/>
      <c r="AE69" s="148"/>
      <c r="AF69" s="148"/>
      <c r="AG69" s="148"/>
      <c r="AH69" s="148"/>
      <c r="AI69" s="148"/>
      <c r="AJ69" s="148"/>
      <c r="AK69" s="148"/>
      <c r="AL69" s="148"/>
      <c r="AM69" s="148"/>
      <c r="AN69" s="148"/>
      <c r="AO69" s="148"/>
      <c r="AP69" s="148"/>
      <c r="AQ69" s="148"/>
      <c r="AR69" s="148"/>
      <c r="AS69" s="148"/>
      <c r="AT69" s="148"/>
      <c r="AU69" s="148"/>
      <c r="AV69" s="148"/>
      <c r="AW69" s="148"/>
      <c r="AX69" s="148"/>
      <c r="AY69" s="148"/>
      <c r="AZ69" s="148"/>
      <c r="BA69" s="148"/>
      <c r="BB69" s="148"/>
      <c r="BC69" s="148"/>
      <c r="BD69" s="148"/>
      <c r="BE69" s="148"/>
      <c r="BF69" s="148"/>
      <c r="BG69" s="148"/>
      <c r="BH69" s="148"/>
      <c r="BI69" s="148"/>
      <c r="BJ69" s="148"/>
      <c r="BK69" s="148"/>
      <c r="BL69" s="148"/>
      <c r="BM69" s="148"/>
      <c r="BN69" s="148"/>
      <c r="BO69" s="148"/>
      <c r="BP69" s="148"/>
      <c r="BQ69" s="148"/>
      <c r="BR69" s="148"/>
      <c r="BS69" s="148"/>
      <c r="BT69" s="148"/>
      <c r="BU69" s="148"/>
      <c r="BV69" s="148"/>
      <c r="BW69" s="148"/>
      <c r="BX69" s="148"/>
      <c r="BY69" s="148"/>
      <c r="BZ69" s="148"/>
      <c r="CA69" s="148"/>
      <c r="CB69" s="148"/>
      <c r="CC69" s="148"/>
      <c r="CD69" s="148"/>
      <c r="CE69" s="148"/>
      <c r="CF69" s="148"/>
      <c r="CG69" s="148"/>
      <c r="CH69" s="148"/>
      <c r="CI69" s="148"/>
      <c r="CJ69" s="148"/>
      <c r="CK69" s="148"/>
      <c r="CL69" s="148"/>
      <c r="CM69" s="148"/>
      <c r="CN69" s="148"/>
      <c r="CO69" s="148"/>
      <c r="CP69" s="148"/>
      <c r="CQ69" s="148"/>
      <c r="CR69" s="148"/>
      <c r="CS69" s="148"/>
      <c r="CT69" s="148"/>
      <c r="CU69" s="148"/>
      <c r="CV69" s="148"/>
      <c r="CW69" s="148"/>
      <c r="CX69" s="148"/>
      <c r="CY69" s="148"/>
      <c r="CZ69" s="148"/>
      <c r="DA69" s="148"/>
      <c r="DB69" s="148"/>
      <c r="DC69" s="148"/>
      <c r="DD69" s="148"/>
      <c r="DE69" s="148"/>
      <c r="DF69" s="148"/>
      <c r="DG69" s="148"/>
      <c r="DH69" s="148"/>
      <c r="DI69" s="148"/>
      <c r="DJ69" s="148"/>
      <c r="DK69" s="148"/>
      <c r="DL69" s="148"/>
      <c r="DM69" s="148"/>
      <c r="DN69" s="148"/>
      <c r="DO69" s="148"/>
      <c r="DP69" s="148"/>
      <c r="DQ69" s="148"/>
      <c r="DR69" s="148"/>
      <c r="DS69" s="148"/>
      <c r="DT69" s="148"/>
      <c r="DU69" s="148"/>
      <c r="DV69" s="148"/>
      <c r="DW69" s="148"/>
      <c r="DX69" s="148"/>
      <c r="DY69" s="148"/>
      <c r="DZ69" s="148"/>
      <c r="EA69" s="148"/>
      <c r="EB69" s="148"/>
      <c r="EC69" s="148"/>
      <c r="ED69" s="148"/>
      <c r="EE69" s="148"/>
      <c r="EF69" s="148"/>
      <c r="EG69" s="148"/>
      <c r="EH69" s="148"/>
      <c r="EI69" s="148"/>
      <c r="EJ69" s="148"/>
      <c r="EK69" s="148"/>
      <c r="EL69" s="148"/>
      <c r="EM69" s="148"/>
      <c r="EN69" s="148"/>
      <c r="EO69" s="148"/>
      <c r="EP69" s="148"/>
      <c r="EQ69" s="148"/>
      <c r="ER69" s="148"/>
      <c r="ES69" s="148"/>
      <c r="ET69" s="148"/>
      <c r="EU69" s="148"/>
      <c r="EV69" s="148"/>
      <c r="EW69" s="148"/>
      <c r="EX69" s="148"/>
      <c r="EY69" s="148"/>
      <c r="EZ69" s="148"/>
      <c r="FA69" s="148"/>
      <c r="FB69" s="148"/>
      <c r="FC69" s="148"/>
      <c r="FD69" s="148"/>
      <c r="FE69" s="148"/>
      <c r="FF69" s="148"/>
      <c r="FG69" s="148"/>
      <c r="FH69" s="148"/>
      <c r="FI69" s="148"/>
      <c r="FJ69" s="148"/>
      <c r="FK69" s="148"/>
      <c r="FL69" s="148"/>
      <c r="FM69" s="148"/>
      <c r="FN69" s="148"/>
      <c r="FO69" s="148"/>
      <c r="FP69" s="148"/>
      <c r="FQ69" s="148"/>
      <c r="FR69" s="148"/>
      <c r="FS69" s="148"/>
      <c r="FT69" s="148"/>
      <c r="FU69" s="148"/>
      <c r="FV69" s="148"/>
      <c r="FW69" s="148"/>
      <c r="FX69" s="148"/>
      <c r="FY69" s="148"/>
      <c r="FZ69" s="148"/>
      <c r="GA69" s="148"/>
      <c r="GB69" s="148"/>
      <c r="GC69" s="148"/>
      <c r="GD69" s="148"/>
      <c r="GE69" s="148"/>
      <c r="GF69" s="148"/>
      <c r="GG69" s="148"/>
      <c r="GH69" s="148"/>
      <c r="GI69" s="148"/>
      <c r="GJ69" s="148"/>
      <c r="GK69" s="148"/>
      <c r="GL69" s="148"/>
      <c r="GM69" s="148"/>
      <c r="GN69" s="148"/>
      <c r="GO69" s="148"/>
      <c r="GP69" s="148"/>
      <c r="GQ69" s="148"/>
      <c r="GR69" s="148"/>
      <c r="GS69" s="148"/>
      <c r="GT69" s="148"/>
      <c r="GU69" s="148"/>
      <c r="GV69" s="148"/>
      <c r="GW69" s="148"/>
      <c r="GX69" s="148"/>
      <c r="GY69" s="148"/>
      <c r="GZ69" s="148"/>
      <c r="HA69" s="148"/>
      <c r="HB69" s="148"/>
      <c r="HC69" s="148"/>
      <c r="HD69" s="148"/>
      <c r="HE69" s="148"/>
      <c r="HF69" s="148"/>
      <c r="HG69" s="148"/>
      <c r="HH69" s="148"/>
      <c r="HI69" s="148"/>
      <c r="HJ69" s="148"/>
      <c r="HK69" s="148"/>
      <c r="HL69" s="148"/>
      <c r="HM69" s="148"/>
      <c r="HN69" s="148"/>
      <c r="HO69" s="148"/>
      <c r="HP69" s="148"/>
      <c r="HQ69" s="148"/>
      <c r="HR69" s="148"/>
      <c r="HS69" s="148"/>
      <c r="HT69" s="148"/>
      <c r="HU69" s="148"/>
      <c r="HV69" s="148"/>
      <c r="HW69" s="148"/>
      <c r="HX69" s="148"/>
      <c r="HY69" s="148"/>
      <c r="HZ69" s="148"/>
      <c r="IA69" s="148"/>
      <c r="IB69" s="148"/>
      <c r="IC69" s="148"/>
      <c r="ID69" s="148"/>
      <c r="IE69" s="148"/>
      <c r="IF69" s="148"/>
      <c r="IG69" s="148"/>
      <c r="IH69" s="148"/>
      <c r="II69" s="148"/>
      <c r="IJ69" s="148"/>
      <c r="IK69" s="148"/>
      <c r="IL69" s="148"/>
      <c r="IM69" s="148"/>
      <c r="IN69" s="148"/>
      <c r="IO69" s="148"/>
      <c r="IP69" s="148"/>
      <c r="IQ69" s="148"/>
      <c r="IR69" s="148"/>
      <c r="IS69" s="148"/>
      <c r="IT69" s="148"/>
      <c r="IU69" s="148"/>
      <c r="IV69" s="148"/>
      <c r="IW69" s="148"/>
      <c r="IX69" s="148"/>
      <c r="IY69" s="148"/>
      <c r="IZ69" s="148"/>
      <c r="JA69" s="148"/>
    </row>
    <row r="70" spans="1:261" s="272" customFormat="1" ht="18" customHeight="1" x14ac:dyDescent="0.35">
      <c r="A70" s="1423">
        <v>59</v>
      </c>
      <c r="B70" s="1557"/>
      <c r="C70" s="1582"/>
      <c r="D70" s="1163" t="s">
        <v>1064</v>
      </c>
      <c r="E70" s="1560"/>
      <c r="F70" s="1561"/>
      <c r="G70" s="1562"/>
      <c r="H70" s="1563"/>
      <c r="I70" s="1564"/>
      <c r="J70" s="1565"/>
      <c r="K70" s="1575">
        <v>79</v>
      </c>
      <c r="L70" s="1575"/>
      <c r="M70" s="1575">
        <v>3900</v>
      </c>
      <c r="N70" s="1575"/>
      <c r="O70" s="1576">
        <f>SUM(I70:N70)</f>
        <v>3979</v>
      </c>
      <c r="P70" s="1567"/>
      <c r="Q70" s="148"/>
      <c r="R70" s="148"/>
      <c r="S70" s="148"/>
      <c r="T70" s="148"/>
      <c r="U70" s="148"/>
      <c r="V70" s="148"/>
      <c r="W70" s="148"/>
      <c r="X70" s="148"/>
      <c r="Y70" s="148"/>
      <c r="Z70" s="148"/>
      <c r="AA70" s="148"/>
      <c r="AB70" s="148"/>
      <c r="AC70" s="148"/>
      <c r="AD70" s="148"/>
      <c r="AE70" s="148"/>
      <c r="AF70" s="148"/>
      <c r="AG70" s="148"/>
      <c r="AH70" s="148"/>
      <c r="AI70" s="148"/>
      <c r="AJ70" s="148"/>
      <c r="AK70" s="148"/>
      <c r="AL70" s="148"/>
      <c r="AM70" s="148"/>
      <c r="AN70" s="148"/>
      <c r="AO70" s="148"/>
      <c r="AP70" s="148"/>
      <c r="AQ70" s="148"/>
      <c r="AR70" s="148"/>
      <c r="AS70" s="148"/>
      <c r="AT70" s="148"/>
      <c r="AU70" s="148"/>
      <c r="AV70" s="148"/>
      <c r="AW70" s="148"/>
      <c r="AX70" s="148"/>
      <c r="AY70" s="148"/>
      <c r="AZ70" s="148"/>
      <c r="BA70" s="148"/>
      <c r="BB70" s="148"/>
      <c r="BC70" s="148"/>
      <c r="BD70" s="148"/>
      <c r="BE70" s="148"/>
      <c r="BF70" s="148"/>
      <c r="BG70" s="148"/>
      <c r="BH70" s="148"/>
      <c r="BI70" s="148"/>
      <c r="BJ70" s="148"/>
      <c r="BK70" s="148"/>
      <c r="BL70" s="148"/>
      <c r="BM70" s="148"/>
      <c r="BN70" s="148"/>
      <c r="BO70" s="148"/>
      <c r="BP70" s="148"/>
      <c r="BQ70" s="148"/>
      <c r="BR70" s="148"/>
      <c r="BS70" s="148"/>
      <c r="BT70" s="148"/>
      <c r="BU70" s="148"/>
      <c r="BV70" s="148"/>
      <c r="BW70" s="148"/>
      <c r="BX70" s="148"/>
      <c r="BY70" s="148"/>
      <c r="BZ70" s="148"/>
      <c r="CA70" s="148"/>
      <c r="CB70" s="148"/>
      <c r="CC70" s="148"/>
      <c r="CD70" s="148"/>
      <c r="CE70" s="148"/>
      <c r="CF70" s="148"/>
      <c r="CG70" s="148"/>
      <c r="CH70" s="148"/>
      <c r="CI70" s="148"/>
      <c r="CJ70" s="148"/>
      <c r="CK70" s="148"/>
      <c r="CL70" s="148"/>
      <c r="CM70" s="148"/>
      <c r="CN70" s="148"/>
      <c r="CO70" s="148"/>
      <c r="CP70" s="148"/>
      <c r="CQ70" s="148"/>
      <c r="CR70" s="148"/>
      <c r="CS70" s="148"/>
      <c r="CT70" s="148"/>
      <c r="CU70" s="148"/>
      <c r="CV70" s="148"/>
      <c r="CW70" s="148"/>
      <c r="CX70" s="148"/>
      <c r="CY70" s="148"/>
      <c r="CZ70" s="148"/>
      <c r="DA70" s="148"/>
      <c r="DB70" s="148"/>
      <c r="DC70" s="148"/>
      <c r="DD70" s="148"/>
      <c r="DE70" s="148"/>
      <c r="DF70" s="148"/>
      <c r="DG70" s="148"/>
      <c r="DH70" s="148"/>
      <c r="DI70" s="148"/>
      <c r="DJ70" s="148"/>
      <c r="DK70" s="148"/>
      <c r="DL70" s="148"/>
      <c r="DM70" s="148"/>
      <c r="DN70" s="148"/>
      <c r="DO70" s="148"/>
      <c r="DP70" s="148"/>
      <c r="DQ70" s="148"/>
      <c r="DR70" s="148"/>
      <c r="DS70" s="148"/>
      <c r="DT70" s="148"/>
      <c r="DU70" s="148"/>
      <c r="DV70" s="148"/>
      <c r="DW70" s="148"/>
      <c r="DX70" s="148"/>
      <c r="DY70" s="148"/>
      <c r="DZ70" s="148"/>
      <c r="EA70" s="148"/>
      <c r="EB70" s="148"/>
      <c r="EC70" s="148"/>
      <c r="ED70" s="148"/>
      <c r="EE70" s="148"/>
      <c r="EF70" s="148"/>
      <c r="EG70" s="148"/>
      <c r="EH70" s="148"/>
      <c r="EI70" s="148"/>
      <c r="EJ70" s="148"/>
      <c r="EK70" s="148"/>
      <c r="EL70" s="148"/>
      <c r="EM70" s="148"/>
      <c r="EN70" s="148"/>
      <c r="EO70" s="148"/>
      <c r="EP70" s="148"/>
      <c r="EQ70" s="148"/>
      <c r="ER70" s="148"/>
      <c r="ES70" s="148"/>
      <c r="ET70" s="148"/>
      <c r="EU70" s="148"/>
      <c r="EV70" s="148"/>
      <c r="EW70" s="148"/>
      <c r="EX70" s="148"/>
      <c r="EY70" s="148"/>
      <c r="EZ70" s="148"/>
      <c r="FA70" s="148"/>
      <c r="FB70" s="148"/>
      <c r="FC70" s="148"/>
      <c r="FD70" s="148"/>
      <c r="FE70" s="148"/>
      <c r="FF70" s="148"/>
      <c r="FG70" s="148"/>
      <c r="FH70" s="148"/>
      <c r="FI70" s="148"/>
      <c r="FJ70" s="148"/>
      <c r="FK70" s="148"/>
      <c r="FL70" s="148"/>
      <c r="FM70" s="148"/>
      <c r="FN70" s="148"/>
      <c r="FO70" s="148"/>
      <c r="FP70" s="148"/>
      <c r="FQ70" s="148"/>
      <c r="FR70" s="148"/>
      <c r="FS70" s="148"/>
      <c r="FT70" s="148"/>
      <c r="FU70" s="148"/>
      <c r="FV70" s="148"/>
      <c r="FW70" s="148"/>
      <c r="FX70" s="148"/>
      <c r="FY70" s="148"/>
      <c r="FZ70" s="148"/>
      <c r="GA70" s="148"/>
      <c r="GB70" s="148"/>
      <c r="GC70" s="148"/>
      <c r="GD70" s="148"/>
      <c r="GE70" s="148"/>
      <c r="GF70" s="148"/>
      <c r="GG70" s="148"/>
      <c r="GH70" s="148"/>
      <c r="GI70" s="148"/>
      <c r="GJ70" s="148"/>
      <c r="GK70" s="148"/>
      <c r="GL70" s="148"/>
      <c r="GM70" s="148"/>
      <c r="GN70" s="148"/>
      <c r="GO70" s="148"/>
      <c r="GP70" s="148"/>
      <c r="GQ70" s="148"/>
      <c r="GR70" s="148"/>
      <c r="GS70" s="148"/>
      <c r="GT70" s="148"/>
      <c r="GU70" s="148"/>
      <c r="GV70" s="148"/>
      <c r="GW70" s="148"/>
      <c r="GX70" s="148"/>
      <c r="GY70" s="148"/>
      <c r="GZ70" s="148"/>
      <c r="HA70" s="148"/>
      <c r="HB70" s="148"/>
      <c r="HC70" s="148"/>
      <c r="HD70" s="148"/>
      <c r="HE70" s="148"/>
      <c r="HF70" s="148"/>
      <c r="HG70" s="148"/>
      <c r="HH70" s="148"/>
      <c r="HI70" s="148"/>
      <c r="HJ70" s="148"/>
      <c r="HK70" s="148"/>
      <c r="HL70" s="148"/>
      <c r="HM70" s="148"/>
      <c r="HN70" s="148"/>
      <c r="HO70" s="148"/>
      <c r="HP70" s="148"/>
      <c r="HQ70" s="148"/>
      <c r="HR70" s="148"/>
      <c r="HS70" s="148"/>
      <c r="HT70" s="148"/>
      <c r="HU70" s="148"/>
      <c r="HV70" s="148"/>
      <c r="HW70" s="148"/>
      <c r="HX70" s="148"/>
      <c r="HY70" s="148"/>
      <c r="HZ70" s="148"/>
      <c r="IA70" s="148"/>
      <c r="IB70" s="148"/>
      <c r="IC70" s="148"/>
      <c r="ID70" s="148"/>
      <c r="IE70" s="148"/>
      <c r="IF70" s="148"/>
      <c r="IG70" s="148"/>
      <c r="IH70" s="148"/>
      <c r="II70" s="148"/>
      <c r="IJ70" s="148"/>
      <c r="IK70" s="148"/>
      <c r="IL70" s="148"/>
      <c r="IM70" s="148"/>
      <c r="IN70" s="148"/>
      <c r="IO70" s="148"/>
      <c r="IP70" s="148"/>
      <c r="IQ70" s="148"/>
      <c r="IR70" s="148"/>
      <c r="IS70" s="148"/>
      <c r="IT70" s="148"/>
      <c r="IU70" s="148"/>
      <c r="IV70" s="148"/>
      <c r="IW70" s="148"/>
      <c r="IX70" s="148"/>
      <c r="IY70" s="148"/>
      <c r="IZ70" s="148"/>
      <c r="JA70" s="148"/>
    </row>
    <row r="71" spans="1:261" s="272" customFormat="1" ht="18" customHeight="1" x14ac:dyDescent="0.35">
      <c r="A71" s="1423">
        <v>60</v>
      </c>
      <c r="B71" s="1557"/>
      <c r="C71" s="1582"/>
      <c r="D71" s="1174" t="s">
        <v>999</v>
      </c>
      <c r="E71" s="1560"/>
      <c r="F71" s="1561"/>
      <c r="G71" s="1562"/>
      <c r="H71" s="1563"/>
      <c r="I71" s="1580"/>
      <c r="J71" s="1574"/>
      <c r="K71" s="1574"/>
      <c r="L71" s="1574"/>
      <c r="M71" s="1574"/>
      <c r="N71" s="1574"/>
      <c r="O71" s="1576">
        <f>SUM(I71:N71)</f>
        <v>0</v>
      </c>
      <c r="P71" s="1567"/>
      <c r="Q71" s="148"/>
      <c r="R71" s="148"/>
      <c r="S71" s="148"/>
      <c r="T71" s="148"/>
      <c r="U71" s="148"/>
      <c r="V71" s="148"/>
      <c r="W71" s="148"/>
      <c r="X71" s="148"/>
      <c r="Y71" s="148"/>
      <c r="Z71" s="148"/>
      <c r="AA71" s="148"/>
      <c r="AB71" s="148"/>
      <c r="AC71" s="148"/>
      <c r="AD71" s="148"/>
      <c r="AE71" s="148"/>
      <c r="AF71" s="148"/>
      <c r="AG71" s="148"/>
      <c r="AH71" s="148"/>
      <c r="AI71" s="148"/>
      <c r="AJ71" s="148"/>
      <c r="AK71" s="148"/>
      <c r="AL71" s="148"/>
      <c r="AM71" s="148"/>
      <c r="AN71" s="148"/>
      <c r="AO71" s="148"/>
      <c r="AP71" s="148"/>
      <c r="AQ71" s="148"/>
      <c r="AR71" s="148"/>
      <c r="AS71" s="148"/>
      <c r="AT71" s="148"/>
      <c r="AU71" s="148"/>
      <c r="AV71" s="148"/>
      <c r="AW71" s="148"/>
      <c r="AX71" s="148"/>
      <c r="AY71" s="148"/>
      <c r="AZ71" s="148"/>
      <c r="BA71" s="148"/>
      <c r="BB71" s="148"/>
      <c r="BC71" s="148"/>
      <c r="BD71" s="148"/>
      <c r="BE71" s="148"/>
      <c r="BF71" s="148"/>
      <c r="BG71" s="148"/>
      <c r="BH71" s="148"/>
      <c r="BI71" s="148"/>
      <c r="BJ71" s="148"/>
      <c r="BK71" s="148"/>
      <c r="BL71" s="148"/>
      <c r="BM71" s="148"/>
      <c r="BN71" s="148"/>
      <c r="BO71" s="148"/>
      <c r="BP71" s="148"/>
      <c r="BQ71" s="148"/>
      <c r="BR71" s="148"/>
      <c r="BS71" s="148"/>
      <c r="BT71" s="148"/>
      <c r="BU71" s="148"/>
      <c r="BV71" s="148"/>
      <c r="BW71" s="148"/>
      <c r="BX71" s="148"/>
      <c r="BY71" s="148"/>
      <c r="BZ71" s="148"/>
      <c r="CA71" s="148"/>
      <c r="CB71" s="148"/>
      <c r="CC71" s="148"/>
      <c r="CD71" s="148"/>
      <c r="CE71" s="148"/>
      <c r="CF71" s="148"/>
      <c r="CG71" s="148"/>
      <c r="CH71" s="148"/>
      <c r="CI71" s="148"/>
      <c r="CJ71" s="148"/>
      <c r="CK71" s="148"/>
      <c r="CL71" s="148"/>
      <c r="CM71" s="148"/>
      <c r="CN71" s="148"/>
      <c r="CO71" s="148"/>
      <c r="CP71" s="148"/>
      <c r="CQ71" s="148"/>
      <c r="CR71" s="148"/>
      <c r="CS71" s="148"/>
      <c r="CT71" s="148"/>
      <c r="CU71" s="148"/>
      <c r="CV71" s="148"/>
      <c r="CW71" s="148"/>
      <c r="CX71" s="148"/>
      <c r="CY71" s="148"/>
      <c r="CZ71" s="148"/>
      <c r="DA71" s="148"/>
      <c r="DB71" s="148"/>
      <c r="DC71" s="148"/>
      <c r="DD71" s="148"/>
      <c r="DE71" s="148"/>
      <c r="DF71" s="148"/>
      <c r="DG71" s="148"/>
      <c r="DH71" s="148"/>
      <c r="DI71" s="148"/>
      <c r="DJ71" s="148"/>
      <c r="DK71" s="148"/>
      <c r="DL71" s="148"/>
      <c r="DM71" s="148"/>
      <c r="DN71" s="148"/>
      <c r="DO71" s="148"/>
      <c r="DP71" s="148"/>
      <c r="DQ71" s="148"/>
      <c r="DR71" s="148"/>
      <c r="DS71" s="148"/>
      <c r="DT71" s="148"/>
      <c r="DU71" s="148"/>
      <c r="DV71" s="148"/>
      <c r="DW71" s="148"/>
      <c r="DX71" s="148"/>
      <c r="DY71" s="148"/>
      <c r="DZ71" s="148"/>
      <c r="EA71" s="148"/>
      <c r="EB71" s="148"/>
      <c r="EC71" s="148"/>
      <c r="ED71" s="148"/>
      <c r="EE71" s="148"/>
      <c r="EF71" s="148"/>
      <c r="EG71" s="148"/>
      <c r="EH71" s="148"/>
      <c r="EI71" s="148"/>
      <c r="EJ71" s="148"/>
      <c r="EK71" s="148"/>
      <c r="EL71" s="148"/>
      <c r="EM71" s="148"/>
      <c r="EN71" s="148"/>
      <c r="EO71" s="148"/>
      <c r="EP71" s="148"/>
      <c r="EQ71" s="148"/>
      <c r="ER71" s="148"/>
      <c r="ES71" s="148"/>
      <c r="ET71" s="148"/>
      <c r="EU71" s="148"/>
      <c r="EV71" s="148"/>
      <c r="EW71" s="148"/>
      <c r="EX71" s="148"/>
      <c r="EY71" s="148"/>
      <c r="EZ71" s="148"/>
      <c r="FA71" s="148"/>
      <c r="FB71" s="148"/>
      <c r="FC71" s="148"/>
      <c r="FD71" s="148"/>
      <c r="FE71" s="148"/>
      <c r="FF71" s="148"/>
      <c r="FG71" s="148"/>
      <c r="FH71" s="148"/>
      <c r="FI71" s="148"/>
      <c r="FJ71" s="148"/>
      <c r="FK71" s="148"/>
      <c r="FL71" s="148"/>
      <c r="FM71" s="148"/>
      <c r="FN71" s="148"/>
      <c r="FO71" s="148"/>
      <c r="FP71" s="148"/>
      <c r="FQ71" s="148"/>
      <c r="FR71" s="148"/>
      <c r="FS71" s="148"/>
      <c r="FT71" s="148"/>
      <c r="FU71" s="148"/>
      <c r="FV71" s="148"/>
      <c r="FW71" s="148"/>
      <c r="FX71" s="148"/>
      <c r="FY71" s="148"/>
      <c r="FZ71" s="148"/>
      <c r="GA71" s="148"/>
      <c r="GB71" s="148"/>
      <c r="GC71" s="148"/>
      <c r="GD71" s="148"/>
      <c r="GE71" s="148"/>
      <c r="GF71" s="148"/>
      <c r="GG71" s="148"/>
      <c r="GH71" s="148"/>
      <c r="GI71" s="148"/>
      <c r="GJ71" s="148"/>
      <c r="GK71" s="148"/>
      <c r="GL71" s="148"/>
      <c r="GM71" s="148"/>
      <c r="GN71" s="148"/>
      <c r="GO71" s="148"/>
      <c r="GP71" s="148"/>
      <c r="GQ71" s="148"/>
      <c r="GR71" s="148"/>
      <c r="GS71" s="148"/>
      <c r="GT71" s="148"/>
      <c r="GU71" s="148"/>
      <c r="GV71" s="148"/>
      <c r="GW71" s="148"/>
      <c r="GX71" s="148"/>
      <c r="GY71" s="148"/>
      <c r="GZ71" s="148"/>
      <c r="HA71" s="148"/>
      <c r="HB71" s="148"/>
      <c r="HC71" s="148"/>
      <c r="HD71" s="148"/>
      <c r="HE71" s="148"/>
      <c r="HF71" s="148"/>
      <c r="HG71" s="148"/>
      <c r="HH71" s="148"/>
      <c r="HI71" s="148"/>
      <c r="HJ71" s="148"/>
      <c r="HK71" s="148"/>
      <c r="HL71" s="148"/>
      <c r="HM71" s="148"/>
      <c r="HN71" s="148"/>
      <c r="HO71" s="148"/>
      <c r="HP71" s="148"/>
      <c r="HQ71" s="148"/>
      <c r="HR71" s="148"/>
      <c r="HS71" s="148"/>
      <c r="HT71" s="148"/>
      <c r="HU71" s="148"/>
      <c r="HV71" s="148"/>
      <c r="HW71" s="148"/>
      <c r="HX71" s="148"/>
      <c r="HY71" s="148"/>
      <c r="HZ71" s="148"/>
      <c r="IA71" s="148"/>
      <c r="IB71" s="148"/>
      <c r="IC71" s="148"/>
      <c r="ID71" s="148"/>
      <c r="IE71" s="148"/>
      <c r="IF71" s="148"/>
      <c r="IG71" s="148"/>
      <c r="IH71" s="148"/>
      <c r="II71" s="148"/>
      <c r="IJ71" s="148"/>
      <c r="IK71" s="148"/>
      <c r="IL71" s="148"/>
      <c r="IM71" s="148"/>
      <c r="IN71" s="148"/>
      <c r="IO71" s="148"/>
      <c r="IP71" s="148"/>
      <c r="IQ71" s="148"/>
      <c r="IR71" s="148"/>
      <c r="IS71" s="148"/>
      <c r="IT71" s="148"/>
      <c r="IU71" s="148"/>
      <c r="IV71" s="148"/>
      <c r="IW71" s="148"/>
      <c r="IX71" s="148"/>
      <c r="IY71" s="148"/>
      <c r="IZ71" s="148"/>
      <c r="JA71" s="148"/>
    </row>
    <row r="72" spans="1:261" s="272" customFormat="1" ht="18" customHeight="1" x14ac:dyDescent="0.35">
      <c r="A72" s="1423">
        <v>61</v>
      </c>
      <c r="B72" s="1557"/>
      <c r="C72" s="1582"/>
      <c r="D72" s="1163" t="s">
        <v>1116</v>
      </c>
      <c r="E72" s="1560"/>
      <c r="F72" s="1561"/>
      <c r="G72" s="1562"/>
      <c r="H72" s="1563"/>
      <c r="I72" s="1580"/>
      <c r="J72" s="1574"/>
      <c r="K72" s="1575">
        <f>SUM(K70:K71)</f>
        <v>79</v>
      </c>
      <c r="L72" s="1575"/>
      <c r="M72" s="1575">
        <f>SUM(M70:M71)</f>
        <v>3900</v>
      </c>
      <c r="N72" s="1574"/>
      <c r="O72" s="1576">
        <f>SUM(I72:N72)</f>
        <v>3979</v>
      </c>
      <c r="P72" s="1567"/>
      <c r="Q72" s="148"/>
      <c r="R72" s="148"/>
      <c r="S72" s="148"/>
      <c r="T72" s="148"/>
      <c r="U72" s="148"/>
      <c r="V72" s="148"/>
      <c r="W72" s="148"/>
      <c r="X72" s="148"/>
      <c r="Y72" s="148"/>
      <c r="Z72" s="148"/>
      <c r="AA72" s="148"/>
      <c r="AB72" s="148"/>
      <c r="AC72" s="148"/>
      <c r="AD72" s="148"/>
      <c r="AE72" s="148"/>
      <c r="AF72" s="148"/>
      <c r="AG72" s="148"/>
      <c r="AH72" s="148"/>
      <c r="AI72" s="148"/>
      <c r="AJ72" s="148"/>
      <c r="AK72" s="148"/>
      <c r="AL72" s="148"/>
      <c r="AM72" s="148"/>
      <c r="AN72" s="148"/>
      <c r="AO72" s="148"/>
      <c r="AP72" s="148"/>
      <c r="AQ72" s="148"/>
      <c r="AR72" s="148"/>
      <c r="AS72" s="148"/>
      <c r="AT72" s="148"/>
      <c r="AU72" s="148"/>
      <c r="AV72" s="148"/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  <c r="BI72" s="148"/>
      <c r="BJ72" s="148"/>
      <c r="BK72" s="148"/>
      <c r="BL72" s="148"/>
      <c r="BM72" s="148"/>
      <c r="BN72" s="148"/>
      <c r="BO72" s="148"/>
      <c r="BP72" s="148"/>
      <c r="BQ72" s="148"/>
      <c r="BR72" s="148"/>
      <c r="BS72" s="148"/>
      <c r="BT72" s="148"/>
      <c r="BU72" s="148"/>
      <c r="BV72" s="148"/>
      <c r="BW72" s="148"/>
      <c r="BX72" s="148"/>
      <c r="BY72" s="148"/>
      <c r="BZ72" s="148"/>
      <c r="CA72" s="148"/>
      <c r="CB72" s="148"/>
      <c r="CC72" s="148"/>
      <c r="CD72" s="148"/>
      <c r="CE72" s="148"/>
      <c r="CF72" s="148"/>
      <c r="CG72" s="148"/>
      <c r="CH72" s="148"/>
      <c r="CI72" s="148"/>
      <c r="CJ72" s="148"/>
      <c r="CK72" s="148"/>
      <c r="CL72" s="148"/>
      <c r="CM72" s="148"/>
      <c r="CN72" s="148"/>
      <c r="CO72" s="148"/>
      <c r="CP72" s="148"/>
      <c r="CQ72" s="148"/>
      <c r="CR72" s="148"/>
      <c r="CS72" s="148"/>
      <c r="CT72" s="148"/>
      <c r="CU72" s="148"/>
      <c r="CV72" s="148"/>
      <c r="CW72" s="148"/>
      <c r="CX72" s="148"/>
      <c r="CY72" s="148"/>
      <c r="CZ72" s="148"/>
      <c r="DA72" s="148"/>
      <c r="DB72" s="148"/>
      <c r="DC72" s="148"/>
      <c r="DD72" s="148"/>
      <c r="DE72" s="148"/>
      <c r="DF72" s="148"/>
      <c r="DG72" s="148"/>
      <c r="DH72" s="148"/>
      <c r="DI72" s="148"/>
      <c r="DJ72" s="148"/>
      <c r="DK72" s="148"/>
      <c r="DL72" s="148"/>
      <c r="DM72" s="148"/>
      <c r="DN72" s="148"/>
      <c r="DO72" s="148"/>
      <c r="DP72" s="148"/>
      <c r="DQ72" s="148"/>
      <c r="DR72" s="148"/>
      <c r="DS72" s="148"/>
      <c r="DT72" s="148"/>
      <c r="DU72" s="148"/>
      <c r="DV72" s="148"/>
      <c r="DW72" s="148"/>
      <c r="DX72" s="148"/>
      <c r="DY72" s="148"/>
      <c r="DZ72" s="148"/>
      <c r="EA72" s="148"/>
      <c r="EB72" s="148"/>
      <c r="EC72" s="148"/>
      <c r="ED72" s="148"/>
      <c r="EE72" s="148"/>
      <c r="EF72" s="148"/>
      <c r="EG72" s="148"/>
      <c r="EH72" s="148"/>
      <c r="EI72" s="148"/>
      <c r="EJ72" s="148"/>
      <c r="EK72" s="148"/>
      <c r="EL72" s="148"/>
      <c r="EM72" s="148"/>
      <c r="EN72" s="148"/>
      <c r="EO72" s="148"/>
      <c r="EP72" s="148"/>
      <c r="EQ72" s="148"/>
      <c r="ER72" s="148"/>
      <c r="ES72" s="148"/>
      <c r="ET72" s="148"/>
      <c r="EU72" s="148"/>
      <c r="EV72" s="148"/>
      <c r="EW72" s="148"/>
      <c r="EX72" s="148"/>
      <c r="EY72" s="148"/>
      <c r="EZ72" s="148"/>
      <c r="FA72" s="148"/>
      <c r="FB72" s="148"/>
      <c r="FC72" s="148"/>
      <c r="FD72" s="148"/>
      <c r="FE72" s="148"/>
      <c r="FF72" s="148"/>
      <c r="FG72" s="148"/>
      <c r="FH72" s="148"/>
      <c r="FI72" s="148"/>
      <c r="FJ72" s="148"/>
      <c r="FK72" s="148"/>
      <c r="FL72" s="148"/>
      <c r="FM72" s="148"/>
      <c r="FN72" s="148"/>
      <c r="FO72" s="148"/>
      <c r="FP72" s="148"/>
      <c r="FQ72" s="148"/>
      <c r="FR72" s="148"/>
      <c r="FS72" s="148"/>
      <c r="FT72" s="148"/>
      <c r="FU72" s="148"/>
      <c r="FV72" s="148"/>
      <c r="FW72" s="148"/>
      <c r="FX72" s="148"/>
      <c r="FY72" s="148"/>
      <c r="FZ72" s="148"/>
      <c r="GA72" s="148"/>
      <c r="GB72" s="148"/>
      <c r="GC72" s="148"/>
      <c r="GD72" s="148"/>
      <c r="GE72" s="148"/>
      <c r="GF72" s="148"/>
      <c r="GG72" s="148"/>
      <c r="GH72" s="148"/>
      <c r="GI72" s="148"/>
      <c r="GJ72" s="148"/>
      <c r="GK72" s="148"/>
      <c r="GL72" s="148"/>
      <c r="GM72" s="148"/>
      <c r="GN72" s="148"/>
      <c r="GO72" s="148"/>
      <c r="GP72" s="148"/>
      <c r="GQ72" s="148"/>
      <c r="GR72" s="148"/>
      <c r="GS72" s="148"/>
      <c r="GT72" s="148"/>
      <c r="GU72" s="148"/>
      <c r="GV72" s="148"/>
      <c r="GW72" s="148"/>
      <c r="GX72" s="148"/>
      <c r="GY72" s="148"/>
      <c r="GZ72" s="148"/>
      <c r="HA72" s="148"/>
      <c r="HB72" s="148"/>
      <c r="HC72" s="148"/>
      <c r="HD72" s="148"/>
      <c r="HE72" s="148"/>
      <c r="HF72" s="148"/>
      <c r="HG72" s="148"/>
      <c r="HH72" s="148"/>
      <c r="HI72" s="148"/>
      <c r="HJ72" s="148"/>
      <c r="HK72" s="148"/>
      <c r="HL72" s="148"/>
      <c r="HM72" s="148"/>
      <c r="HN72" s="148"/>
      <c r="HO72" s="148"/>
      <c r="HP72" s="148"/>
      <c r="HQ72" s="148"/>
      <c r="HR72" s="148"/>
      <c r="HS72" s="148"/>
      <c r="HT72" s="148"/>
      <c r="HU72" s="148"/>
      <c r="HV72" s="148"/>
      <c r="HW72" s="148"/>
      <c r="HX72" s="148"/>
      <c r="HY72" s="148"/>
      <c r="HZ72" s="148"/>
      <c r="IA72" s="148"/>
      <c r="IB72" s="148"/>
      <c r="IC72" s="148"/>
      <c r="ID72" s="148"/>
      <c r="IE72" s="148"/>
      <c r="IF72" s="148"/>
      <c r="IG72" s="148"/>
      <c r="IH72" s="148"/>
      <c r="II72" s="148"/>
      <c r="IJ72" s="148"/>
      <c r="IK72" s="148"/>
      <c r="IL72" s="148"/>
      <c r="IM72" s="148"/>
      <c r="IN72" s="148"/>
      <c r="IO72" s="148"/>
      <c r="IP72" s="148"/>
      <c r="IQ72" s="148"/>
      <c r="IR72" s="148"/>
      <c r="IS72" s="148"/>
      <c r="IT72" s="148"/>
      <c r="IU72" s="148"/>
      <c r="IV72" s="148"/>
      <c r="IW72" s="148"/>
      <c r="IX72" s="148"/>
      <c r="IY72" s="148"/>
      <c r="IZ72" s="148"/>
      <c r="JA72" s="148"/>
    </row>
    <row r="73" spans="1:261" s="272" customFormat="1" ht="22.5" customHeight="1" x14ac:dyDescent="0.35">
      <c r="A73" s="1423">
        <v>62</v>
      </c>
      <c r="B73" s="1557"/>
      <c r="C73" s="1558">
        <v>13</v>
      </c>
      <c r="D73" s="1646" t="s">
        <v>846</v>
      </c>
      <c r="E73" s="1560"/>
      <c r="F73" s="1561"/>
      <c r="G73" s="1562"/>
      <c r="H73" s="1563" t="s">
        <v>24</v>
      </c>
      <c r="I73" s="1564"/>
      <c r="J73" s="1565"/>
      <c r="K73" s="1565"/>
      <c r="L73" s="1565"/>
      <c r="M73" s="1565"/>
      <c r="N73" s="1565"/>
      <c r="O73" s="1566"/>
      <c r="P73" s="1567"/>
      <c r="Q73" s="148"/>
      <c r="R73" s="148"/>
      <c r="S73" s="148"/>
      <c r="T73" s="148"/>
      <c r="U73" s="148"/>
      <c r="V73" s="148"/>
      <c r="W73" s="148"/>
      <c r="X73" s="148"/>
      <c r="Y73" s="148"/>
      <c r="Z73" s="148"/>
      <c r="AA73" s="148"/>
      <c r="AB73" s="148"/>
      <c r="AC73" s="148"/>
      <c r="AD73" s="148"/>
      <c r="AE73" s="148"/>
      <c r="AF73" s="148"/>
      <c r="AG73" s="148"/>
      <c r="AH73" s="148"/>
      <c r="AI73" s="148"/>
      <c r="AJ73" s="148"/>
      <c r="AK73" s="148"/>
      <c r="AL73" s="148"/>
      <c r="AM73" s="148"/>
      <c r="AN73" s="148"/>
      <c r="AO73" s="148"/>
      <c r="AP73" s="148"/>
      <c r="AQ73" s="148"/>
      <c r="AR73" s="148"/>
      <c r="AS73" s="148"/>
      <c r="AT73" s="148"/>
      <c r="AU73" s="148"/>
      <c r="AV73" s="148"/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  <c r="BI73" s="148"/>
      <c r="BJ73" s="148"/>
      <c r="BK73" s="148"/>
      <c r="BL73" s="148"/>
      <c r="BM73" s="148"/>
      <c r="BN73" s="148"/>
      <c r="BO73" s="148"/>
      <c r="BP73" s="148"/>
      <c r="BQ73" s="148"/>
      <c r="BR73" s="148"/>
      <c r="BS73" s="148"/>
      <c r="BT73" s="148"/>
      <c r="BU73" s="148"/>
      <c r="BV73" s="148"/>
      <c r="BW73" s="148"/>
      <c r="BX73" s="148"/>
      <c r="BY73" s="148"/>
      <c r="BZ73" s="148"/>
      <c r="CA73" s="148"/>
      <c r="CB73" s="148"/>
      <c r="CC73" s="148"/>
      <c r="CD73" s="148"/>
      <c r="CE73" s="148"/>
      <c r="CF73" s="148"/>
      <c r="CG73" s="148"/>
      <c r="CH73" s="148"/>
      <c r="CI73" s="148"/>
      <c r="CJ73" s="148"/>
      <c r="CK73" s="148"/>
      <c r="CL73" s="148"/>
      <c r="CM73" s="148"/>
      <c r="CN73" s="148"/>
      <c r="CO73" s="148"/>
      <c r="CP73" s="148"/>
      <c r="CQ73" s="148"/>
      <c r="CR73" s="148"/>
      <c r="CS73" s="148"/>
      <c r="CT73" s="148"/>
      <c r="CU73" s="148"/>
      <c r="CV73" s="148"/>
      <c r="CW73" s="148"/>
      <c r="CX73" s="148"/>
      <c r="CY73" s="148"/>
      <c r="CZ73" s="148"/>
      <c r="DA73" s="148"/>
      <c r="DB73" s="148"/>
      <c r="DC73" s="148"/>
      <c r="DD73" s="148"/>
      <c r="DE73" s="148"/>
      <c r="DF73" s="148"/>
      <c r="DG73" s="148"/>
      <c r="DH73" s="148"/>
      <c r="DI73" s="148"/>
      <c r="DJ73" s="148"/>
      <c r="DK73" s="148"/>
      <c r="DL73" s="148"/>
      <c r="DM73" s="148"/>
      <c r="DN73" s="148"/>
      <c r="DO73" s="148"/>
      <c r="DP73" s="148"/>
      <c r="DQ73" s="148"/>
      <c r="DR73" s="148"/>
      <c r="DS73" s="148"/>
      <c r="DT73" s="148"/>
      <c r="DU73" s="148"/>
      <c r="DV73" s="148"/>
      <c r="DW73" s="148"/>
      <c r="DX73" s="148"/>
      <c r="DY73" s="148"/>
      <c r="DZ73" s="148"/>
      <c r="EA73" s="148"/>
      <c r="EB73" s="148"/>
      <c r="EC73" s="148"/>
      <c r="ED73" s="148"/>
      <c r="EE73" s="148"/>
      <c r="EF73" s="148"/>
      <c r="EG73" s="148"/>
      <c r="EH73" s="148"/>
      <c r="EI73" s="148"/>
      <c r="EJ73" s="148"/>
      <c r="EK73" s="148"/>
      <c r="EL73" s="148"/>
      <c r="EM73" s="148"/>
      <c r="EN73" s="148"/>
      <c r="EO73" s="148"/>
      <c r="EP73" s="148"/>
      <c r="EQ73" s="148"/>
      <c r="ER73" s="148"/>
      <c r="ES73" s="148"/>
      <c r="ET73" s="148"/>
      <c r="EU73" s="148"/>
      <c r="EV73" s="148"/>
      <c r="EW73" s="148"/>
      <c r="EX73" s="148"/>
      <c r="EY73" s="148"/>
      <c r="EZ73" s="148"/>
      <c r="FA73" s="148"/>
      <c r="FB73" s="148"/>
      <c r="FC73" s="148"/>
      <c r="FD73" s="148"/>
      <c r="FE73" s="148"/>
      <c r="FF73" s="148"/>
      <c r="FG73" s="148"/>
      <c r="FH73" s="148"/>
      <c r="FI73" s="148"/>
      <c r="FJ73" s="148"/>
      <c r="FK73" s="148"/>
      <c r="FL73" s="148"/>
      <c r="FM73" s="148"/>
      <c r="FN73" s="148"/>
      <c r="FO73" s="148"/>
      <c r="FP73" s="148"/>
      <c r="FQ73" s="148"/>
      <c r="FR73" s="148"/>
      <c r="FS73" s="148"/>
      <c r="FT73" s="148"/>
      <c r="FU73" s="148"/>
      <c r="FV73" s="148"/>
      <c r="FW73" s="148"/>
      <c r="FX73" s="148"/>
      <c r="FY73" s="148"/>
      <c r="FZ73" s="148"/>
      <c r="GA73" s="148"/>
      <c r="GB73" s="148"/>
      <c r="GC73" s="148"/>
      <c r="GD73" s="148"/>
      <c r="GE73" s="148"/>
      <c r="GF73" s="148"/>
      <c r="GG73" s="148"/>
      <c r="GH73" s="148"/>
      <c r="GI73" s="148"/>
      <c r="GJ73" s="148"/>
      <c r="GK73" s="148"/>
      <c r="GL73" s="148"/>
      <c r="GM73" s="148"/>
      <c r="GN73" s="148"/>
      <c r="GO73" s="148"/>
      <c r="GP73" s="148"/>
      <c r="GQ73" s="148"/>
      <c r="GR73" s="148"/>
      <c r="GS73" s="148"/>
      <c r="GT73" s="148"/>
      <c r="GU73" s="148"/>
      <c r="GV73" s="148"/>
      <c r="GW73" s="148"/>
      <c r="GX73" s="148"/>
      <c r="GY73" s="148"/>
      <c r="GZ73" s="148"/>
      <c r="HA73" s="148"/>
      <c r="HB73" s="148"/>
      <c r="HC73" s="148"/>
      <c r="HD73" s="148"/>
      <c r="HE73" s="148"/>
      <c r="HF73" s="148"/>
      <c r="HG73" s="148"/>
      <c r="HH73" s="148"/>
      <c r="HI73" s="148"/>
      <c r="HJ73" s="148"/>
      <c r="HK73" s="148"/>
      <c r="HL73" s="148"/>
      <c r="HM73" s="148"/>
      <c r="HN73" s="148"/>
      <c r="HO73" s="148"/>
      <c r="HP73" s="148"/>
      <c r="HQ73" s="148"/>
      <c r="HR73" s="148"/>
      <c r="HS73" s="148"/>
      <c r="HT73" s="148"/>
      <c r="HU73" s="148"/>
      <c r="HV73" s="148"/>
      <c r="HW73" s="148"/>
      <c r="HX73" s="148"/>
      <c r="HY73" s="148"/>
      <c r="HZ73" s="148"/>
      <c r="IA73" s="148"/>
      <c r="IB73" s="148"/>
      <c r="IC73" s="148"/>
      <c r="ID73" s="148"/>
      <c r="IE73" s="148"/>
      <c r="IF73" s="148"/>
      <c r="IG73" s="148"/>
      <c r="IH73" s="148"/>
      <c r="II73" s="148"/>
      <c r="IJ73" s="148"/>
      <c r="IK73" s="148"/>
      <c r="IL73" s="148"/>
      <c r="IM73" s="148"/>
      <c r="IN73" s="148"/>
      <c r="IO73" s="148"/>
      <c r="IP73" s="148"/>
      <c r="IQ73" s="148"/>
      <c r="IR73" s="148"/>
      <c r="IS73" s="148"/>
      <c r="IT73" s="148"/>
      <c r="IU73" s="148"/>
      <c r="IV73" s="148"/>
      <c r="IW73" s="148"/>
      <c r="IX73" s="148"/>
      <c r="IY73" s="148"/>
      <c r="IZ73" s="148"/>
      <c r="JA73" s="148"/>
    </row>
    <row r="74" spans="1:261" s="272" customFormat="1" ht="18" customHeight="1" x14ac:dyDescent="0.35">
      <c r="A74" s="1423">
        <v>63</v>
      </c>
      <c r="B74" s="1557"/>
      <c r="C74" s="1582"/>
      <c r="D74" s="1585" t="s">
        <v>311</v>
      </c>
      <c r="E74" s="1560">
        <f>F74+G74+O77+P74</f>
        <v>2000</v>
      </c>
      <c r="F74" s="1561"/>
      <c r="G74" s="1562"/>
      <c r="H74" s="1563"/>
      <c r="I74" s="1564"/>
      <c r="J74" s="1565"/>
      <c r="K74" s="1565"/>
      <c r="L74" s="1565"/>
      <c r="M74" s="1565">
        <v>2000</v>
      </c>
      <c r="N74" s="1565"/>
      <c r="O74" s="1566">
        <f>SUM(I74:N74)</f>
        <v>2000</v>
      </c>
      <c r="P74" s="1567"/>
      <c r="Q74" s="148"/>
      <c r="R74" s="148"/>
      <c r="S74" s="148"/>
      <c r="T74" s="148"/>
      <c r="U74" s="148"/>
      <c r="V74" s="148"/>
      <c r="W74" s="148"/>
      <c r="X74" s="148"/>
      <c r="Y74" s="148"/>
      <c r="Z74" s="148"/>
      <c r="AA74" s="148"/>
      <c r="AB74" s="148"/>
      <c r="AC74" s="148"/>
      <c r="AD74" s="148"/>
      <c r="AE74" s="148"/>
      <c r="AF74" s="148"/>
      <c r="AG74" s="148"/>
      <c r="AH74" s="148"/>
      <c r="AI74" s="148"/>
      <c r="AJ74" s="148"/>
      <c r="AK74" s="148"/>
      <c r="AL74" s="148"/>
      <c r="AM74" s="148"/>
      <c r="AN74" s="148"/>
      <c r="AO74" s="148"/>
      <c r="AP74" s="148"/>
      <c r="AQ74" s="148"/>
      <c r="AR74" s="148"/>
      <c r="AS74" s="148"/>
      <c r="AT74" s="148"/>
      <c r="AU74" s="148"/>
      <c r="AV74" s="148"/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  <c r="BI74" s="148"/>
      <c r="BJ74" s="148"/>
      <c r="BK74" s="148"/>
      <c r="BL74" s="148"/>
      <c r="BM74" s="148"/>
      <c r="BN74" s="148"/>
      <c r="BO74" s="148"/>
      <c r="BP74" s="148"/>
      <c r="BQ74" s="148"/>
      <c r="BR74" s="148"/>
      <c r="BS74" s="148"/>
      <c r="BT74" s="148"/>
      <c r="BU74" s="148"/>
      <c r="BV74" s="148"/>
      <c r="BW74" s="148"/>
      <c r="BX74" s="148"/>
      <c r="BY74" s="148"/>
      <c r="BZ74" s="148"/>
      <c r="CA74" s="148"/>
      <c r="CB74" s="148"/>
      <c r="CC74" s="148"/>
      <c r="CD74" s="148"/>
      <c r="CE74" s="148"/>
      <c r="CF74" s="148"/>
      <c r="CG74" s="148"/>
      <c r="CH74" s="148"/>
      <c r="CI74" s="148"/>
      <c r="CJ74" s="148"/>
      <c r="CK74" s="148"/>
      <c r="CL74" s="148"/>
      <c r="CM74" s="148"/>
      <c r="CN74" s="148"/>
      <c r="CO74" s="148"/>
      <c r="CP74" s="148"/>
      <c r="CQ74" s="148"/>
      <c r="CR74" s="148"/>
      <c r="CS74" s="148"/>
      <c r="CT74" s="148"/>
      <c r="CU74" s="148"/>
      <c r="CV74" s="148"/>
      <c r="CW74" s="148"/>
      <c r="CX74" s="148"/>
      <c r="CY74" s="148"/>
      <c r="CZ74" s="148"/>
      <c r="DA74" s="148"/>
      <c r="DB74" s="148"/>
      <c r="DC74" s="148"/>
      <c r="DD74" s="148"/>
      <c r="DE74" s="148"/>
      <c r="DF74" s="148"/>
      <c r="DG74" s="148"/>
      <c r="DH74" s="148"/>
      <c r="DI74" s="148"/>
      <c r="DJ74" s="148"/>
      <c r="DK74" s="148"/>
      <c r="DL74" s="148"/>
      <c r="DM74" s="148"/>
      <c r="DN74" s="148"/>
      <c r="DO74" s="148"/>
      <c r="DP74" s="148"/>
      <c r="DQ74" s="148"/>
      <c r="DR74" s="148"/>
      <c r="DS74" s="148"/>
      <c r="DT74" s="148"/>
      <c r="DU74" s="148"/>
      <c r="DV74" s="148"/>
      <c r="DW74" s="148"/>
      <c r="DX74" s="148"/>
      <c r="DY74" s="148"/>
      <c r="DZ74" s="148"/>
      <c r="EA74" s="148"/>
      <c r="EB74" s="148"/>
      <c r="EC74" s="148"/>
      <c r="ED74" s="148"/>
      <c r="EE74" s="148"/>
      <c r="EF74" s="148"/>
      <c r="EG74" s="148"/>
      <c r="EH74" s="148"/>
      <c r="EI74" s="148"/>
      <c r="EJ74" s="148"/>
      <c r="EK74" s="148"/>
      <c r="EL74" s="148"/>
      <c r="EM74" s="148"/>
      <c r="EN74" s="148"/>
      <c r="EO74" s="148"/>
      <c r="EP74" s="148"/>
      <c r="EQ74" s="148"/>
      <c r="ER74" s="148"/>
      <c r="ES74" s="148"/>
      <c r="ET74" s="148"/>
      <c r="EU74" s="148"/>
      <c r="EV74" s="148"/>
      <c r="EW74" s="148"/>
      <c r="EX74" s="148"/>
      <c r="EY74" s="148"/>
      <c r="EZ74" s="148"/>
      <c r="FA74" s="148"/>
      <c r="FB74" s="148"/>
      <c r="FC74" s="148"/>
      <c r="FD74" s="148"/>
      <c r="FE74" s="148"/>
      <c r="FF74" s="148"/>
      <c r="FG74" s="148"/>
      <c r="FH74" s="148"/>
      <c r="FI74" s="148"/>
      <c r="FJ74" s="148"/>
      <c r="FK74" s="148"/>
      <c r="FL74" s="148"/>
      <c r="FM74" s="148"/>
      <c r="FN74" s="148"/>
      <c r="FO74" s="148"/>
      <c r="FP74" s="148"/>
      <c r="FQ74" s="148"/>
      <c r="FR74" s="148"/>
      <c r="FS74" s="148"/>
      <c r="FT74" s="148"/>
      <c r="FU74" s="148"/>
      <c r="FV74" s="148"/>
      <c r="FW74" s="148"/>
      <c r="FX74" s="148"/>
      <c r="FY74" s="148"/>
      <c r="FZ74" s="148"/>
      <c r="GA74" s="148"/>
      <c r="GB74" s="148"/>
      <c r="GC74" s="148"/>
      <c r="GD74" s="148"/>
      <c r="GE74" s="148"/>
      <c r="GF74" s="148"/>
      <c r="GG74" s="148"/>
      <c r="GH74" s="148"/>
      <c r="GI74" s="148"/>
      <c r="GJ74" s="148"/>
      <c r="GK74" s="148"/>
      <c r="GL74" s="148"/>
      <c r="GM74" s="148"/>
      <c r="GN74" s="148"/>
      <c r="GO74" s="148"/>
      <c r="GP74" s="148"/>
      <c r="GQ74" s="148"/>
      <c r="GR74" s="148"/>
      <c r="GS74" s="148"/>
      <c r="GT74" s="148"/>
      <c r="GU74" s="148"/>
      <c r="GV74" s="148"/>
      <c r="GW74" s="148"/>
      <c r="GX74" s="148"/>
      <c r="GY74" s="148"/>
      <c r="GZ74" s="148"/>
      <c r="HA74" s="148"/>
      <c r="HB74" s="148"/>
      <c r="HC74" s="148"/>
      <c r="HD74" s="148"/>
      <c r="HE74" s="148"/>
      <c r="HF74" s="148"/>
      <c r="HG74" s="148"/>
      <c r="HH74" s="148"/>
      <c r="HI74" s="148"/>
      <c r="HJ74" s="148"/>
      <c r="HK74" s="148"/>
      <c r="HL74" s="148"/>
      <c r="HM74" s="148"/>
      <c r="HN74" s="148"/>
      <c r="HO74" s="148"/>
      <c r="HP74" s="148"/>
      <c r="HQ74" s="148"/>
      <c r="HR74" s="148"/>
      <c r="HS74" s="148"/>
      <c r="HT74" s="148"/>
      <c r="HU74" s="148"/>
      <c r="HV74" s="148"/>
      <c r="HW74" s="148"/>
      <c r="HX74" s="148"/>
      <c r="HY74" s="148"/>
      <c r="HZ74" s="148"/>
      <c r="IA74" s="148"/>
      <c r="IB74" s="148"/>
      <c r="IC74" s="148"/>
      <c r="ID74" s="148"/>
      <c r="IE74" s="148"/>
      <c r="IF74" s="148"/>
      <c r="IG74" s="148"/>
      <c r="IH74" s="148"/>
      <c r="II74" s="148"/>
      <c r="IJ74" s="148"/>
      <c r="IK74" s="148"/>
      <c r="IL74" s="148"/>
      <c r="IM74" s="148"/>
      <c r="IN74" s="148"/>
      <c r="IO74" s="148"/>
      <c r="IP74" s="148"/>
      <c r="IQ74" s="148"/>
      <c r="IR74" s="148"/>
      <c r="IS74" s="148"/>
      <c r="IT74" s="148"/>
      <c r="IU74" s="148"/>
      <c r="IV74" s="148"/>
      <c r="IW74" s="148"/>
      <c r="IX74" s="148"/>
      <c r="IY74" s="148"/>
      <c r="IZ74" s="148"/>
      <c r="JA74" s="148"/>
    </row>
    <row r="75" spans="1:261" s="272" customFormat="1" ht="18" customHeight="1" x14ac:dyDescent="0.35">
      <c r="A75" s="1423">
        <v>64</v>
      </c>
      <c r="B75" s="1557"/>
      <c r="C75" s="1582"/>
      <c r="D75" s="1163" t="s">
        <v>1064</v>
      </c>
      <c r="E75" s="1560"/>
      <c r="F75" s="1561"/>
      <c r="G75" s="1562"/>
      <c r="H75" s="1563"/>
      <c r="I75" s="1564"/>
      <c r="J75" s="1565"/>
      <c r="K75" s="1565"/>
      <c r="L75" s="1565"/>
      <c r="M75" s="1575">
        <v>2000</v>
      </c>
      <c r="N75" s="1574"/>
      <c r="O75" s="1576">
        <f>SUM(I75:N75)</f>
        <v>2000</v>
      </c>
      <c r="P75" s="1567"/>
      <c r="Q75" s="148"/>
      <c r="R75" s="148"/>
      <c r="S75" s="148"/>
      <c r="T75" s="148"/>
      <c r="U75" s="148"/>
      <c r="V75" s="148"/>
      <c r="W75" s="148"/>
      <c r="X75" s="148"/>
      <c r="Y75" s="148"/>
      <c r="Z75" s="148"/>
      <c r="AA75" s="148"/>
      <c r="AB75" s="148"/>
      <c r="AC75" s="148"/>
      <c r="AD75" s="148"/>
      <c r="AE75" s="148"/>
      <c r="AF75" s="148"/>
      <c r="AG75" s="148"/>
      <c r="AH75" s="148"/>
      <c r="AI75" s="148"/>
      <c r="AJ75" s="148"/>
      <c r="AK75" s="148"/>
      <c r="AL75" s="148"/>
      <c r="AM75" s="148"/>
      <c r="AN75" s="148"/>
      <c r="AO75" s="148"/>
      <c r="AP75" s="148"/>
      <c r="AQ75" s="148"/>
      <c r="AR75" s="148"/>
      <c r="AS75" s="148"/>
      <c r="AT75" s="148"/>
      <c r="AU75" s="148"/>
      <c r="AV75" s="148"/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  <c r="BI75" s="148"/>
      <c r="BJ75" s="148"/>
      <c r="BK75" s="148"/>
      <c r="BL75" s="148"/>
      <c r="BM75" s="148"/>
      <c r="BN75" s="148"/>
      <c r="BO75" s="148"/>
      <c r="BP75" s="148"/>
      <c r="BQ75" s="148"/>
      <c r="BR75" s="148"/>
      <c r="BS75" s="148"/>
      <c r="BT75" s="148"/>
      <c r="BU75" s="148"/>
      <c r="BV75" s="148"/>
      <c r="BW75" s="148"/>
      <c r="BX75" s="148"/>
      <c r="BY75" s="148"/>
      <c r="BZ75" s="148"/>
      <c r="CA75" s="148"/>
      <c r="CB75" s="148"/>
      <c r="CC75" s="148"/>
      <c r="CD75" s="148"/>
      <c r="CE75" s="148"/>
      <c r="CF75" s="148"/>
      <c r="CG75" s="148"/>
      <c r="CH75" s="148"/>
      <c r="CI75" s="148"/>
      <c r="CJ75" s="148"/>
      <c r="CK75" s="148"/>
      <c r="CL75" s="148"/>
      <c r="CM75" s="148"/>
      <c r="CN75" s="148"/>
      <c r="CO75" s="148"/>
      <c r="CP75" s="148"/>
      <c r="CQ75" s="148"/>
      <c r="CR75" s="148"/>
      <c r="CS75" s="148"/>
      <c r="CT75" s="148"/>
      <c r="CU75" s="148"/>
      <c r="CV75" s="148"/>
      <c r="CW75" s="148"/>
      <c r="CX75" s="148"/>
      <c r="CY75" s="148"/>
      <c r="CZ75" s="148"/>
      <c r="DA75" s="148"/>
      <c r="DB75" s="148"/>
      <c r="DC75" s="148"/>
      <c r="DD75" s="148"/>
      <c r="DE75" s="148"/>
      <c r="DF75" s="148"/>
      <c r="DG75" s="148"/>
      <c r="DH75" s="148"/>
      <c r="DI75" s="148"/>
      <c r="DJ75" s="148"/>
      <c r="DK75" s="148"/>
      <c r="DL75" s="148"/>
      <c r="DM75" s="148"/>
      <c r="DN75" s="148"/>
      <c r="DO75" s="148"/>
      <c r="DP75" s="148"/>
      <c r="DQ75" s="148"/>
      <c r="DR75" s="148"/>
      <c r="DS75" s="148"/>
      <c r="DT75" s="148"/>
      <c r="DU75" s="148"/>
      <c r="DV75" s="148"/>
      <c r="DW75" s="148"/>
      <c r="DX75" s="148"/>
      <c r="DY75" s="148"/>
      <c r="DZ75" s="148"/>
      <c r="EA75" s="148"/>
      <c r="EB75" s="148"/>
      <c r="EC75" s="148"/>
      <c r="ED75" s="148"/>
      <c r="EE75" s="148"/>
      <c r="EF75" s="148"/>
      <c r="EG75" s="148"/>
      <c r="EH75" s="148"/>
      <c r="EI75" s="148"/>
      <c r="EJ75" s="148"/>
      <c r="EK75" s="148"/>
      <c r="EL75" s="148"/>
      <c r="EM75" s="148"/>
      <c r="EN75" s="148"/>
      <c r="EO75" s="148"/>
      <c r="EP75" s="148"/>
      <c r="EQ75" s="148"/>
      <c r="ER75" s="148"/>
      <c r="ES75" s="148"/>
      <c r="ET75" s="148"/>
      <c r="EU75" s="148"/>
      <c r="EV75" s="148"/>
      <c r="EW75" s="148"/>
      <c r="EX75" s="148"/>
      <c r="EY75" s="148"/>
      <c r="EZ75" s="148"/>
      <c r="FA75" s="148"/>
      <c r="FB75" s="148"/>
      <c r="FC75" s="148"/>
      <c r="FD75" s="148"/>
      <c r="FE75" s="148"/>
      <c r="FF75" s="148"/>
      <c r="FG75" s="148"/>
      <c r="FH75" s="148"/>
      <c r="FI75" s="148"/>
      <c r="FJ75" s="148"/>
      <c r="FK75" s="148"/>
      <c r="FL75" s="148"/>
      <c r="FM75" s="148"/>
      <c r="FN75" s="148"/>
      <c r="FO75" s="148"/>
      <c r="FP75" s="148"/>
      <c r="FQ75" s="148"/>
      <c r="FR75" s="148"/>
      <c r="FS75" s="148"/>
      <c r="FT75" s="148"/>
      <c r="FU75" s="148"/>
      <c r="FV75" s="148"/>
      <c r="FW75" s="148"/>
      <c r="FX75" s="148"/>
      <c r="FY75" s="148"/>
      <c r="FZ75" s="148"/>
      <c r="GA75" s="148"/>
      <c r="GB75" s="148"/>
      <c r="GC75" s="148"/>
      <c r="GD75" s="148"/>
      <c r="GE75" s="148"/>
      <c r="GF75" s="148"/>
      <c r="GG75" s="148"/>
      <c r="GH75" s="148"/>
      <c r="GI75" s="148"/>
      <c r="GJ75" s="148"/>
      <c r="GK75" s="148"/>
      <c r="GL75" s="148"/>
      <c r="GM75" s="148"/>
      <c r="GN75" s="148"/>
      <c r="GO75" s="148"/>
      <c r="GP75" s="148"/>
      <c r="GQ75" s="148"/>
      <c r="GR75" s="148"/>
      <c r="GS75" s="148"/>
      <c r="GT75" s="148"/>
      <c r="GU75" s="148"/>
      <c r="GV75" s="148"/>
      <c r="GW75" s="148"/>
      <c r="GX75" s="148"/>
      <c r="GY75" s="148"/>
      <c r="GZ75" s="148"/>
      <c r="HA75" s="148"/>
      <c r="HB75" s="148"/>
      <c r="HC75" s="148"/>
      <c r="HD75" s="148"/>
      <c r="HE75" s="148"/>
      <c r="HF75" s="148"/>
      <c r="HG75" s="148"/>
      <c r="HH75" s="148"/>
      <c r="HI75" s="148"/>
      <c r="HJ75" s="148"/>
      <c r="HK75" s="148"/>
      <c r="HL75" s="148"/>
      <c r="HM75" s="148"/>
      <c r="HN75" s="148"/>
      <c r="HO75" s="148"/>
      <c r="HP75" s="148"/>
      <c r="HQ75" s="148"/>
      <c r="HR75" s="148"/>
      <c r="HS75" s="148"/>
      <c r="HT75" s="148"/>
      <c r="HU75" s="148"/>
      <c r="HV75" s="148"/>
      <c r="HW75" s="148"/>
      <c r="HX75" s="148"/>
      <c r="HY75" s="148"/>
      <c r="HZ75" s="148"/>
      <c r="IA75" s="148"/>
      <c r="IB75" s="148"/>
      <c r="IC75" s="148"/>
      <c r="ID75" s="148"/>
      <c r="IE75" s="148"/>
      <c r="IF75" s="148"/>
      <c r="IG75" s="148"/>
      <c r="IH75" s="148"/>
      <c r="II75" s="148"/>
      <c r="IJ75" s="148"/>
      <c r="IK75" s="148"/>
      <c r="IL75" s="148"/>
      <c r="IM75" s="148"/>
      <c r="IN75" s="148"/>
      <c r="IO75" s="148"/>
      <c r="IP75" s="148"/>
      <c r="IQ75" s="148"/>
      <c r="IR75" s="148"/>
      <c r="IS75" s="148"/>
      <c r="IT75" s="148"/>
      <c r="IU75" s="148"/>
      <c r="IV75" s="148"/>
      <c r="IW75" s="148"/>
      <c r="IX75" s="148"/>
      <c r="IY75" s="148"/>
      <c r="IZ75" s="148"/>
      <c r="JA75" s="148"/>
    </row>
    <row r="76" spans="1:261" s="272" customFormat="1" ht="18" customHeight="1" x14ac:dyDescent="0.35">
      <c r="A76" s="1423">
        <v>65</v>
      </c>
      <c r="B76" s="1557"/>
      <c r="C76" s="1582"/>
      <c r="D76" s="1174" t="s">
        <v>999</v>
      </c>
      <c r="E76" s="1560"/>
      <c r="F76" s="1561"/>
      <c r="G76" s="1562"/>
      <c r="H76" s="1563"/>
      <c r="I76" s="1574"/>
      <c r="J76" s="1574"/>
      <c r="K76" s="1574"/>
      <c r="L76" s="1574"/>
      <c r="M76" s="1574"/>
      <c r="N76" s="1574"/>
      <c r="O76" s="1576">
        <f>SUM(I76:N76)</f>
        <v>0</v>
      </c>
      <c r="P76" s="1567"/>
      <c r="Q76" s="148"/>
      <c r="R76" s="148"/>
      <c r="S76" s="148"/>
      <c r="T76" s="148"/>
      <c r="U76" s="148"/>
      <c r="V76" s="148"/>
      <c r="W76" s="148"/>
      <c r="X76" s="148"/>
      <c r="Y76" s="148"/>
      <c r="Z76" s="148"/>
      <c r="AA76" s="148"/>
      <c r="AB76" s="148"/>
      <c r="AC76" s="148"/>
      <c r="AD76" s="148"/>
      <c r="AE76" s="148"/>
      <c r="AF76" s="148"/>
      <c r="AG76" s="148"/>
      <c r="AH76" s="148"/>
      <c r="AI76" s="148"/>
      <c r="AJ76" s="148"/>
      <c r="AK76" s="148"/>
      <c r="AL76" s="148"/>
      <c r="AM76" s="148"/>
      <c r="AN76" s="148"/>
      <c r="AO76" s="148"/>
      <c r="AP76" s="148"/>
      <c r="AQ76" s="148"/>
      <c r="AR76" s="148"/>
      <c r="AS76" s="148"/>
      <c r="AT76" s="148"/>
      <c r="AU76" s="148"/>
      <c r="AV76" s="148"/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  <c r="BI76" s="148"/>
      <c r="BJ76" s="148"/>
      <c r="BK76" s="148"/>
      <c r="BL76" s="148"/>
      <c r="BM76" s="148"/>
      <c r="BN76" s="148"/>
      <c r="BO76" s="148"/>
      <c r="BP76" s="148"/>
      <c r="BQ76" s="148"/>
      <c r="BR76" s="148"/>
      <c r="BS76" s="148"/>
      <c r="BT76" s="148"/>
      <c r="BU76" s="148"/>
      <c r="BV76" s="148"/>
      <c r="BW76" s="148"/>
      <c r="BX76" s="148"/>
      <c r="BY76" s="148"/>
      <c r="BZ76" s="148"/>
      <c r="CA76" s="148"/>
      <c r="CB76" s="148"/>
      <c r="CC76" s="148"/>
      <c r="CD76" s="148"/>
      <c r="CE76" s="148"/>
      <c r="CF76" s="148"/>
      <c r="CG76" s="148"/>
      <c r="CH76" s="148"/>
      <c r="CI76" s="148"/>
      <c r="CJ76" s="148"/>
      <c r="CK76" s="148"/>
      <c r="CL76" s="148"/>
      <c r="CM76" s="148"/>
      <c r="CN76" s="148"/>
      <c r="CO76" s="148"/>
      <c r="CP76" s="148"/>
      <c r="CQ76" s="148"/>
      <c r="CR76" s="148"/>
      <c r="CS76" s="148"/>
      <c r="CT76" s="148"/>
      <c r="CU76" s="148"/>
      <c r="CV76" s="148"/>
      <c r="CW76" s="148"/>
      <c r="CX76" s="148"/>
      <c r="CY76" s="148"/>
      <c r="CZ76" s="148"/>
      <c r="DA76" s="148"/>
      <c r="DB76" s="148"/>
      <c r="DC76" s="148"/>
      <c r="DD76" s="148"/>
      <c r="DE76" s="148"/>
      <c r="DF76" s="148"/>
      <c r="DG76" s="148"/>
      <c r="DH76" s="148"/>
      <c r="DI76" s="148"/>
      <c r="DJ76" s="148"/>
      <c r="DK76" s="148"/>
      <c r="DL76" s="148"/>
      <c r="DM76" s="148"/>
      <c r="DN76" s="148"/>
      <c r="DO76" s="148"/>
      <c r="DP76" s="148"/>
      <c r="DQ76" s="148"/>
      <c r="DR76" s="148"/>
      <c r="DS76" s="148"/>
      <c r="DT76" s="148"/>
      <c r="DU76" s="148"/>
      <c r="DV76" s="148"/>
      <c r="DW76" s="148"/>
      <c r="DX76" s="148"/>
      <c r="DY76" s="148"/>
      <c r="DZ76" s="148"/>
      <c r="EA76" s="148"/>
      <c r="EB76" s="148"/>
      <c r="EC76" s="148"/>
      <c r="ED76" s="148"/>
      <c r="EE76" s="148"/>
      <c r="EF76" s="148"/>
      <c r="EG76" s="148"/>
      <c r="EH76" s="148"/>
      <c r="EI76" s="148"/>
      <c r="EJ76" s="148"/>
      <c r="EK76" s="148"/>
      <c r="EL76" s="148"/>
      <c r="EM76" s="148"/>
      <c r="EN76" s="148"/>
      <c r="EO76" s="148"/>
      <c r="EP76" s="148"/>
      <c r="EQ76" s="148"/>
      <c r="ER76" s="148"/>
      <c r="ES76" s="148"/>
      <c r="ET76" s="148"/>
      <c r="EU76" s="148"/>
      <c r="EV76" s="148"/>
      <c r="EW76" s="148"/>
      <c r="EX76" s="148"/>
      <c r="EY76" s="148"/>
      <c r="EZ76" s="148"/>
      <c r="FA76" s="148"/>
      <c r="FB76" s="148"/>
      <c r="FC76" s="148"/>
      <c r="FD76" s="148"/>
      <c r="FE76" s="148"/>
      <c r="FF76" s="148"/>
      <c r="FG76" s="148"/>
      <c r="FH76" s="148"/>
      <c r="FI76" s="148"/>
      <c r="FJ76" s="148"/>
      <c r="FK76" s="148"/>
      <c r="FL76" s="148"/>
      <c r="FM76" s="148"/>
      <c r="FN76" s="148"/>
      <c r="FO76" s="148"/>
      <c r="FP76" s="148"/>
      <c r="FQ76" s="148"/>
      <c r="FR76" s="148"/>
      <c r="FS76" s="148"/>
      <c r="FT76" s="148"/>
      <c r="FU76" s="148"/>
      <c r="FV76" s="148"/>
      <c r="FW76" s="148"/>
      <c r="FX76" s="148"/>
      <c r="FY76" s="148"/>
      <c r="FZ76" s="148"/>
      <c r="GA76" s="148"/>
      <c r="GB76" s="148"/>
      <c r="GC76" s="148"/>
      <c r="GD76" s="148"/>
      <c r="GE76" s="148"/>
      <c r="GF76" s="148"/>
      <c r="GG76" s="148"/>
      <c r="GH76" s="148"/>
      <c r="GI76" s="148"/>
      <c r="GJ76" s="148"/>
      <c r="GK76" s="148"/>
      <c r="GL76" s="148"/>
      <c r="GM76" s="148"/>
      <c r="GN76" s="148"/>
      <c r="GO76" s="148"/>
      <c r="GP76" s="148"/>
      <c r="GQ76" s="148"/>
      <c r="GR76" s="148"/>
      <c r="GS76" s="148"/>
      <c r="GT76" s="148"/>
      <c r="GU76" s="148"/>
      <c r="GV76" s="148"/>
      <c r="GW76" s="148"/>
      <c r="GX76" s="148"/>
      <c r="GY76" s="148"/>
      <c r="GZ76" s="148"/>
      <c r="HA76" s="148"/>
      <c r="HB76" s="148"/>
      <c r="HC76" s="148"/>
      <c r="HD76" s="148"/>
      <c r="HE76" s="148"/>
      <c r="HF76" s="148"/>
      <c r="HG76" s="148"/>
      <c r="HH76" s="148"/>
      <c r="HI76" s="148"/>
      <c r="HJ76" s="148"/>
      <c r="HK76" s="148"/>
      <c r="HL76" s="148"/>
      <c r="HM76" s="148"/>
      <c r="HN76" s="148"/>
      <c r="HO76" s="148"/>
      <c r="HP76" s="148"/>
      <c r="HQ76" s="148"/>
      <c r="HR76" s="148"/>
      <c r="HS76" s="148"/>
      <c r="HT76" s="148"/>
      <c r="HU76" s="148"/>
      <c r="HV76" s="148"/>
      <c r="HW76" s="148"/>
      <c r="HX76" s="148"/>
      <c r="HY76" s="148"/>
      <c r="HZ76" s="148"/>
      <c r="IA76" s="148"/>
      <c r="IB76" s="148"/>
      <c r="IC76" s="148"/>
      <c r="ID76" s="148"/>
      <c r="IE76" s="148"/>
      <c r="IF76" s="148"/>
      <c r="IG76" s="148"/>
      <c r="IH76" s="148"/>
      <c r="II76" s="148"/>
      <c r="IJ76" s="148"/>
      <c r="IK76" s="148"/>
      <c r="IL76" s="148"/>
      <c r="IM76" s="148"/>
      <c r="IN76" s="148"/>
      <c r="IO76" s="148"/>
      <c r="IP76" s="148"/>
      <c r="IQ76" s="148"/>
      <c r="IR76" s="148"/>
      <c r="IS76" s="148"/>
      <c r="IT76" s="148"/>
      <c r="IU76" s="148"/>
      <c r="IV76" s="148"/>
      <c r="IW76" s="148"/>
      <c r="IX76" s="148"/>
      <c r="IY76" s="148"/>
      <c r="IZ76" s="148"/>
      <c r="JA76" s="148"/>
    </row>
    <row r="77" spans="1:261" s="272" customFormat="1" ht="18" customHeight="1" thickBot="1" x14ac:dyDescent="0.4">
      <c r="A77" s="1423">
        <v>66</v>
      </c>
      <c r="B77" s="1605"/>
      <c r="C77" s="1606"/>
      <c r="D77" s="1163" t="s">
        <v>1116</v>
      </c>
      <c r="E77" s="1607"/>
      <c r="F77" s="1650"/>
      <c r="G77" s="1608"/>
      <c r="H77" s="1609"/>
      <c r="I77" s="1651"/>
      <c r="J77" s="1651"/>
      <c r="K77" s="1651"/>
      <c r="L77" s="1651"/>
      <c r="M77" s="1652">
        <f>SUM(M75:M76)</f>
        <v>2000</v>
      </c>
      <c r="N77" s="1651"/>
      <c r="O77" s="1576">
        <f>SUM(I77:N77)</f>
        <v>2000</v>
      </c>
      <c r="P77" s="1653"/>
      <c r="Q77" s="148"/>
      <c r="R77" s="148"/>
      <c r="S77" s="148"/>
      <c r="T77" s="148"/>
      <c r="U77" s="148"/>
      <c r="V77" s="148"/>
      <c r="W77" s="148"/>
      <c r="X77" s="148"/>
      <c r="Y77" s="148"/>
      <c r="Z77" s="148"/>
      <c r="AA77" s="148"/>
      <c r="AB77" s="148"/>
      <c r="AC77" s="148"/>
      <c r="AD77" s="148"/>
      <c r="AE77" s="148"/>
      <c r="AF77" s="148"/>
      <c r="AG77" s="148"/>
      <c r="AH77" s="148"/>
      <c r="AI77" s="148"/>
      <c r="AJ77" s="148"/>
      <c r="AK77" s="148"/>
      <c r="AL77" s="148"/>
      <c r="AM77" s="148"/>
      <c r="AN77" s="148"/>
      <c r="AO77" s="148"/>
      <c r="AP77" s="148"/>
      <c r="AQ77" s="148"/>
      <c r="AR77" s="148"/>
      <c r="AS77" s="148"/>
      <c r="AT77" s="148"/>
      <c r="AU77" s="148"/>
      <c r="AV77" s="148"/>
      <c r="AW77" s="148"/>
      <c r="AX77" s="148"/>
      <c r="AY77" s="148"/>
      <c r="AZ77" s="148"/>
      <c r="BA77" s="148"/>
      <c r="BB77" s="148"/>
      <c r="BC77" s="148"/>
      <c r="BD77" s="148"/>
      <c r="BE77" s="148"/>
      <c r="BF77" s="148"/>
      <c r="BG77" s="148"/>
      <c r="BH77" s="148"/>
      <c r="BI77" s="148"/>
      <c r="BJ77" s="148"/>
      <c r="BK77" s="148"/>
      <c r="BL77" s="148"/>
      <c r="BM77" s="148"/>
      <c r="BN77" s="148"/>
      <c r="BO77" s="148"/>
      <c r="BP77" s="148"/>
      <c r="BQ77" s="148"/>
      <c r="BR77" s="148"/>
      <c r="BS77" s="148"/>
      <c r="BT77" s="148"/>
      <c r="BU77" s="148"/>
      <c r="BV77" s="148"/>
      <c r="BW77" s="148"/>
      <c r="BX77" s="148"/>
      <c r="BY77" s="148"/>
      <c r="BZ77" s="148"/>
      <c r="CA77" s="148"/>
      <c r="CB77" s="148"/>
      <c r="CC77" s="148"/>
      <c r="CD77" s="148"/>
      <c r="CE77" s="148"/>
      <c r="CF77" s="148"/>
      <c r="CG77" s="148"/>
      <c r="CH77" s="148"/>
      <c r="CI77" s="148"/>
      <c r="CJ77" s="148"/>
      <c r="CK77" s="148"/>
      <c r="CL77" s="148"/>
      <c r="CM77" s="148"/>
      <c r="CN77" s="148"/>
      <c r="CO77" s="148"/>
      <c r="CP77" s="148"/>
      <c r="CQ77" s="148"/>
      <c r="CR77" s="148"/>
      <c r="CS77" s="148"/>
      <c r="CT77" s="148"/>
      <c r="CU77" s="148"/>
      <c r="CV77" s="148"/>
      <c r="CW77" s="148"/>
      <c r="CX77" s="148"/>
      <c r="CY77" s="148"/>
      <c r="CZ77" s="148"/>
      <c r="DA77" s="148"/>
      <c r="DB77" s="148"/>
      <c r="DC77" s="148"/>
      <c r="DD77" s="148"/>
      <c r="DE77" s="148"/>
      <c r="DF77" s="148"/>
      <c r="DG77" s="148"/>
      <c r="DH77" s="148"/>
      <c r="DI77" s="148"/>
      <c r="DJ77" s="148"/>
      <c r="DK77" s="148"/>
      <c r="DL77" s="148"/>
      <c r="DM77" s="148"/>
      <c r="DN77" s="148"/>
      <c r="DO77" s="148"/>
      <c r="DP77" s="148"/>
      <c r="DQ77" s="148"/>
      <c r="DR77" s="148"/>
      <c r="DS77" s="148"/>
      <c r="DT77" s="148"/>
      <c r="DU77" s="148"/>
      <c r="DV77" s="148"/>
      <c r="DW77" s="148"/>
      <c r="DX77" s="148"/>
      <c r="DY77" s="148"/>
      <c r="DZ77" s="148"/>
      <c r="EA77" s="148"/>
      <c r="EB77" s="148"/>
      <c r="EC77" s="148"/>
      <c r="ED77" s="148"/>
      <c r="EE77" s="148"/>
      <c r="EF77" s="148"/>
      <c r="EG77" s="148"/>
      <c r="EH77" s="148"/>
      <c r="EI77" s="148"/>
      <c r="EJ77" s="148"/>
      <c r="EK77" s="148"/>
      <c r="EL77" s="148"/>
      <c r="EM77" s="148"/>
      <c r="EN77" s="148"/>
      <c r="EO77" s="148"/>
      <c r="EP77" s="148"/>
      <c r="EQ77" s="148"/>
      <c r="ER77" s="148"/>
      <c r="ES77" s="148"/>
      <c r="ET77" s="148"/>
      <c r="EU77" s="148"/>
      <c r="EV77" s="148"/>
      <c r="EW77" s="148"/>
      <c r="EX77" s="148"/>
      <c r="EY77" s="148"/>
      <c r="EZ77" s="148"/>
      <c r="FA77" s="148"/>
      <c r="FB77" s="148"/>
      <c r="FC77" s="148"/>
      <c r="FD77" s="148"/>
      <c r="FE77" s="148"/>
      <c r="FF77" s="148"/>
      <c r="FG77" s="148"/>
      <c r="FH77" s="148"/>
      <c r="FI77" s="148"/>
      <c r="FJ77" s="148"/>
      <c r="FK77" s="148"/>
      <c r="FL77" s="148"/>
      <c r="FM77" s="148"/>
      <c r="FN77" s="148"/>
      <c r="FO77" s="148"/>
      <c r="FP77" s="148"/>
      <c r="FQ77" s="148"/>
      <c r="FR77" s="148"/>
      <c r="FS77" s="148"/>
      <c r="FT77" s="148"/>
      <c r="FU77" s="148"/>
      <c r="FV77" s="148"/>
      <c r="FW77" s="148"/>
      <c r="FX77" s="148"/>
      <c r="FY77" s="148"/>
      <c r="FZ77" s="148"/>
      <c r="GA77" s="148"/>
      <c r="GB77" s="148"/>
      <c r="GC77" s="148"/>
      <c r="GD77" s="148"/>
      <c r="GE77" s="148"/>
      <c r="GF77" s="148"/>
      <c r="GG77" s="148"/>
      <c r="GH77" s="148"/>
      <c r="GI77" s="148"/>
      <c r="GJ77" s="148"/>
      <c r="GK77" s="148"/>
      <c r="GL77" s="148"/>
      <c r="GM77" s="148"/>
      <c r="GN77" s="148"/>
      <c r="GO77" s="148"/>
      <c r="GP77" s="148"/>
      <c r="GQ77" s="148"/>
      <c r="GR77" s="148"/>
      <c r="GS77" s="148"/>
      <c r="GT77" s="148"/>
      <c r="GU77" s="148"/>
      <c r="GV77" s="148"/>
      <c r="GW77" s="148"/>
      <c r="GX77" s="148"/>
      <c r="GY77" s="148"/>
      <c r="GZ77" s="148"/>
      <c r="HA77" s="148"/>
      <c r="HB77" s="148"/>
      <c r="HC77" s="148"/>
      <c r="HD77" s="148"/>
      <c r="HE77" s="148"/>
      <c r="HF77" s="148"/>
      <c r="HG77" s="148"/>
      <c r="HH77" s="148"/>
      <c r="HI77" s="148"/>
      <c r="HJ77" s="148"/>
      <c r="HK77" s="148"/>
      <c r="HL77" s="148"/>
      <c r="HM77" s="148"/>
      <c r="HN77" s="148"/>
      <c r="HO77" s="148"/>
      <c r="HP77" s="148"/>
      <c r="HQ77" s="148"/>
      <c r="HR77" s="148"/>
      <c r="HS77" s="148"/>
      <c r="HT77" s="148"/>
      <c r="HU77" s="148"/>
      <c r="HV77" s="148"/>
      <c r="HW77" s="148"/>
      <c r="HX77" s="148"/>
      <c r="HY77" s="148"/>
      <c r="HZ77" s="148"/>
      <c r="IA77" s="148"/>
      <c r="IB77" s="148"/>
      <c r="IC77" s="148"/>
      <c r="ID77" s="148"/>
      <c r="IE77" s="148"/>
      <c r="IF77" s="148"/>
      <c r="IG77" s="148"/>
      <c r="IH77" s="148"/>
      <c r="II77" s="148"/>
      <c r="IJ77" s="148"/>
      <c r="IK77" s="148"/>
      <c r="IL77" s="148"/>
      <c r="IM77" s="148"/>
      <c r="IN77" s="148"/>
      <c r="IO77" s="148"/>
      <c r="IP77" s="148"/>
      <c r="IQ77" s="148"/>
      <c r="IR77" s="148"/>
      <c r="IS77" s="148"/>
      <c r="IT77" s="148"/>
      <c r="IU77" s="148"/>
      <c r="IV77" s="148"/>
      <c r="IW77" s="148"/>
      <c r="IX77" s="148"/>
      <c r="IY77" s="148"/>
      <c r="IZ77" s="148"/>
      <c r="JA77" s="148"/>
    </row>
    <row r="78" spans="1:261" s="151" customFormat="1" ht="20.100000000000001" customHeight="1" x14ac:dyDescent="0.2">
      <c r="A78" s="1423">
        <v>67</v>
      </c>
      <c r="B78" s="2187" t="s">
        <v>13</v>
      </c>
      <c r="C78" s="2188"/>
      <c r="D78" s="2188"/>
      <c r="E78" s="2188"/>
      <c r="F78" s="2188"/>
      <c r="G78" s="2189"/>
      <c r="H78" s="1654"/>
      <c r="I78" s="1612"/>
      <c r="J78" s="1612"/>
      <c r="K78" s="1612"/>
      <c r="L78" s="1612"/>
      <c r="M78" s="1612"/>
      <c r="N78" s="1612"/>
      <c r="O78" s="1612"/>
      <c r="P78" s="1613"/>
    </row>
    <row r="79" spans="1:261" s="151" customFormat="1" ht="20.100000000000001" customHeight="1" x14ac:dyDescent="0.3">
      <c r="A79" s="1423">
        <v>68</v>
      </c>
      <c r="B79" s="1614"/>
      <c r="C79" s="1615"/>
      <c r="D79" s="2190" t="s">
        <v>311</v>
      </c>
      <c r="E79" s="2191"/>
      <c r="F79" s="2191"/>
      <c r="G79" s="2192"/>
      <c r="H79" s="1616"/>
      <c r="I79" s="1617">
        <f>I74+I69+I64+I59+I54+I49+I44+I39+I34+I29+I24+I19+I14</f>
        <v>0</v>
      </c>
      <c r="J79" s="1617">
        <f t="shared" ref="J79:O81" si="1">J74+J69+J64+J59+J54+J49+J44+J39+J34+J29+J24+J19+J14</f>
        <v>0</v>
      </c>
      <c r="K79" s="1617">
        <f t="shared" si="1"/>
        <v>39215</v>
      </c>
      <c r="L79" s="1617">
        <f t="shared" si="1"/>
        <v>0</v>
      </c>
      <c r="M79" s="1617">
        <f t="shared" si="1"/>
        <v>7494559</v>
      </c>
      <c r="N79" s="1617">
        <f t="shared" si="1"/>
        <v>40493</v>
      </c>
      <c r="O79" s="1655">
        <f t="shared" si="1"/>
        <v>7574267</v>
      </c>
      <c r="P79" s="1619">
        <f>SUM(P12:P78)</f>
        <v>17916034</v>
      </c>
    </row>
    <row r="80" spans="1:261" s="151" customFormat="1" ht="20.100000000000001" customHeight="1" x14ac:dyDescent="0.3">
      <c r="A80" s="1423">
        <v>69</v>
      </c>
      <c r="B80" s="1614"/>
      <c r="C80" s="1615"/>
      <c r="D80" s="1163" t="s">
        <v>1064</v>
      </c>
      <c r="E80" s="1896"/>
      <c r="F80" s="1896"/>
      <c r="G80" s="1897"/>
      <c r="H80" s="1616"/>
      <c r="I80" s="1656">
        <f>I75+I70+I65+I60+I55+I50+I45+I40+I35+I30+I25+I20+I15</f>
        <v>0</v>
      </c>
      <c r="J80" s="1656">
        <f t="shared" si="1"/>
        <v>0</v>
      </c>
      <c r="K80" s="1656">
        <f t="shared" si="1"/>
        <v>123466</v>
      </c>
      <c r="L80" s="1656">
        <f t="shared" si="1"/>
        <v>0</v>
      </c>
      <c r="M80" s="1656">
        <f t="shared" si="1"/>
        <v>10993110</v>
      </c>
      <c r="N80" s="1656">
        <f t="shared" si="1"/>
        <v>40493</v>
      </c>
      <c r="O80" s="1657">
        <f t="shared" si="1"/>
        <v>11157069</v>
      </c>
      <c r="P80" s="1619"/>
    </row>
    <row r="81" spans="1:16" s="151" customFormat="1" ht="20.100000000000001" customHeight="1" x14ac:dyDescent="0.3">
      <c r="A81" s="1423">
        <v>70</v>
      </c>
      <c r="B81" s="1623"/>
      <c r="C81" s="1624"/>
      <c r="D81" s="2073" t="s">
        <v>999</v>
      </c>
      <c r="E81" s="2185"/>
      <c r="F81" s="2185"/>
      <c r="G81" s="2186"/>
      <c r="H81" s="1625"/>
      <c r="I81" s="1178">
        <f>I76+I71+I66+I61+I56+I51+I46+I41+I36+I31+I26+I21+I16</f>
        <v>0</v>
      </c>
      <c r="J81" s="1178">
        <f t="shared" si="1"/>
        <v>0</v>
      </c>
      <c r="K81" s="1178">
        <f t="shared" si="1"/>
        <v>676</v>
      </c>
      <c r="L81" s="1178">
        <f t="shared" si="1"/>
        <v>0</v>
      </c>
      <c r="M81" s="1178">
        <f t="shared" si="1"/>
        <v>602900</v>
      </c>
      <c r="N81" s="1178">
        <f t="shared" si="1"/>
        <v>0</v>
      </c>
      <c r="O81" s="1929">
        <f>I81+J81+K81+L81+M81+N81</f>
        <v>603576</v>
      </c>
      <c r="P81" s="1626"/>
    </row>
    <row r="82" spans="1:16" s="151" customFormat="1" ht="20.100000000000001" customHeight="1" thickBot="1" x14ac:dyDescent="0.35">
      <c r="A82" s="1423">
        <v>71</v>
      </c>
      <c r="B82" s="1627"/>
      <c r="C82" s="1628"/>
      <c r="D82" s="2102" t="s">
        <v>1116</v>
      </c>
      <c r="E82" s="2181"/>
      <c r="F82" s="2181"/>
      <c r="G82" s="2182"/>
      <c r="H82" s="1629"/>
      <c r="I82" s="1630">
        <f>SUM(I80:I81)</f>
        <v>0</v>
      </c>
      <c r="J82" s="1630">
        <f t="shared" ref="J82:O82" si="2">SUM(J80:J81)</f>
        <v>0</v>
      </c>
      <c r="K82" s="1630">
        <f t="shared" si="2"/>
        <v>124142</v>
      </c>
      <c r="L82" s="1630">
        <f t="shared" si="2"/>
        <v>0</v>
      </c>
      <c r="M82" s="1630">
        <f t="shared" si="2"/>
        <v>11596010</v>
      </c>
      <c r="N82" s="1630">
        <f t="shared" si="2"/>
        <v>40493</v>
      </c>
      <c r="O82" s="1658">
        <f t="shared" si="2"/>
        <v>11760645</v>
      </c>
      <c r="P82" s="1632"/>
    </row>
    <row r="83" spans="1:16" ht="18" customHeight="1" x14ac:dyDescent="0.35">
      <c r="B83" s="1633" t="s">
        <v>27</v>
      </c>
      <c r="C83" s="1634"/>
      <c r="D83" s="1633"/>
      <c r="E83" s="1635"/>
      <c r="F83" s="1636"/>
      <c r="G83" s="1635"/>
      <c r="H83" s="269"/>
      <c r="I83" s="1635"/>
      <c r="J83" s="1635"/>
      <c r="K83" s="1635"/>
      <c r="L83" s="1635"/>
      <c r="M83" s="1635"/>
      <c r="N83" s="1635"/>
      <c r="O83" s="1637"/>
      <c r="P83" s="1900"/>
    </row>
    <row r="84" spans="1:16" ht="18" customHeight="1" x14ac:dyDescent="0.35">
      <c r="B84" s="1633" t="s">
        <v>28</v>
      </c>
      <c r="C84" s="1634"/>
      <c r="D84" s="1633"/>
      <c r="E84" s="217"/>
      <c r="F84" s="1636"/>
      <c r="G84" s="1635"/>
      <c r="H84" s="269"/>
      <c r="I84" s="1635"/>
      <c r="J84" s="1635"/>
      <c r="K84" s="1635"/>
      <c r="L84" s="1635"/>
      <c r="M84" s="1635"/>
      <c r="N84" s="1635"/>
      <c r="O84" s="1637"/>
      <c r="P84" s="1900"/>
    </row>
    <row r="85" spans="1:16" ht="18" customHeight="1" x14ac:dyDescent="0.35">
      <c r="B85" s="1633" t="s">
        <v>29</v>
      </c>
      <c r="C85" s="1634"/>
      <c r="D85" s="1633"/>
      <c r="E85" s="217"/>
      <c r="F85" s="1636"/>
      <c r="G85" s="1635"/>
      <c r="H85" s="269"/>
      <c r="I85" s="1635"/>
      <c r="J85" s="1635"/>
      <c r="K85" s="1635"/>
      <c r="L85" s="1635"/>
      <c r="M85" s="1635"/>
      <c r="N85" s="1635"/>
      <c r="O85" s="1637"/>
      <c r="P85" s="1900"/>
    </row>
    <row r="86" spans="1:16" x14ac:dyDescent="0.35">
      <c r="B86" s="1638" t="s">
        <v>963</v>
      </c>
      <c r="C86" s="1638"/>
      <c r="E86" s="1900"/>
      <c r="F86" s="1900"/>
      <c r="G86" s="1900"/>
      <c r="I86" s="1900"/>
      <c r="J86" s="1900"/>
      <c r="K86" s="1900"/>
      <c r="L86" s="1900"/>
      <c r="M86" s="1900"/>
      <c r="N86" s="1900"/>
      <c r="P86" s="1900"/>
    </row>
  </sheetData>
  <mergeCells count="22">
    <mergeCell ref="B78:G78"/>
    <mergeCell ref="D79:G79"/>
    <mergeCell ref="D81:G81"/>
    <mergeCell ref="D82:G82"/>
    <mergeCell ref="Q9:R9"/>
    <mergeCell ref="I10:L10"/>
    <mergeCell ref="M10:N10"/>
    <mergeCell ref="O10:O11"/>
    <mergeCell ref="B9:B11"/>
    <mergeCell ref="C9:C11"/>
    <mergeCell ref="D9:D11"/>
    <mergeCell ref="E9:E11"/>
    <mergeCell ref="F9:F11"/>
    <mergeCell ref="G9:G11"/>
    <mergeCell ref="H9:H11"/>
    <mergeCell ref="I9:O9"/>
    <mergeCell ref="P9:P11"/>
    <mergeCell ref="A1:D1"/>
    <mergeCell ref="I1:P1"/>
    <mergeCell ref="A5:P5"/>
    <mergeCell ref="A6:P6"/>
    <mergeCell ref="A2:E2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57" fitToHeight="0" orientation="landscape" r:id="rId1"/>
  <headerFooter>
    <oddFooter>&amp;C- &amp;P -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B190"/>
  <sheetViews>
    <sheetView view="pageBreakPreview" zoomScale="85" zoomScaleNormal="100" zoomScaleSheetLayoutView="85" workbookViewId="0">
      <selection activeCell="D9" sqref="D9:D11"/>
    </sheetView>
  </sheetViews>
  <sheetFormatPr defaultColWidth="9.140625" defaultRowHeight="17.25" x14ac:dyDescent="0.35"/>
  <cols>
    <col min="1" max="1" width="4.140625" style="268" bestFit="1" customWidth="1"/>
    <col min="2" max="3" width="5.7109375" style="300" customWidth="1"/>
    <col min="4" max="4" width="62.7109375" style="148" customWidth="1"/>
    <col min="5" max="5" width="12.7109375" style="299" customWidth="1"/>
    <col min="6" max="7" width="10.7109375" style="299" customWidth="1"/>
    <col min="8" max="8" width="6.7109375" style="271" customWidth="1"/>
    <col min="9" max="13" width="14.85546875" style="299" customWidth="1"/>
    <col min="14" max="14" width="14.85546875" style="349" customWidth="1"/>
    <col min="15" max="15" width="14.85546875" style="299" customWidth="1"/>
    <col min="16" max="16" width="15.7109375" style="273" customWidth="1"/>
    <col min="17" max="17" width="13.85546875" style="299" customWidth="1"/>
    <col min="18" max="16384" width="9.140625" style="148"/>
  </cols>
  <sheetData>
    <row r="1" spans="1:262" ht="18" customHeight="1" x14ac:dyDescent="0.3">
      <c r="A1" s="2154" t="s">
        <v>979</v>
      </c>
      <c r="B1" s="2154"/>
      <c r="C1" s="2154"/>
      <c r="D1" s="2154"/>
      <c r="E1" s="217"/>
      <c r="F1" s="217"/>
      <c r="G1" s="217"/>
      <c r="H1" s="269"/>
      <c r="I1" s="2122"/>
      <c r="J1" s="2122"/>
      <c r="K1" s="2122"/>
      <c r="L1" s="2122"/>
      <c r="M1" s="2122"/>
      <c r="N1" s="2122"/>
      <c r="O1" s="2122"/>
      <c r="P1" s="2122"/>
      <c r="Q1" s="2122"/>
      <c r="R1" s="270"/>
      <c r="S1" s="270"/>
      <c r="T1" s="270"/>
      <c r="U1" s="270"/>
      <c r="V1" s="270"/>
      <c r="W1" s="270"/>
      <c r="X1" s="270"/>
      <c r="Y1" s="270"/>
      <c r="Z1" s="270"/>
      <c r="AA1" s="270"/>
      <c r="AB1" s="270"/>
      <c r="AC1" s="270"/>
      <c r="AD1" s="270"/>
      <c r="AE1" s="270"/>
      <c r="AF1" s="270"/>
      <c r="AG1" s="270"/>
      <c r="AH1" s="270"/>
      <c r="AI1" s="270"/>
      <c r="AJ1" s="270"/>
      <c r="AK1" s="270"/>
      <c r="AL1" s="270"/>
      <c r="AM1" s="270"/>
      <c r="AN1" s="270"/>
      <c r="AO1" s="270"/>
      <c r="AP1" s="270"/>
      <c r="AQ1" s="270"/>
      <c r="AR1" s="270"/>
      <c r="AS1" s="270"/>
      <c r="AT1" s="270"/>
      <c r="AU1" s="270"/>
      <c r="AV1" s="270"/>
      <c r="AW1" s="270"/>
      <c r="AX1" s="270"/>
      <c r="AY1" s="270"/>
      <c r="AZ1" s="270"/>
      <c r="BA1" s="270"/>
      <c r="BB1" s="270"/>
      <c r="BC1" s="270"/>
      <c r="BD1" s="270"/>
      <c r="BE1" s="270"/>
      <c r="BF1" s="270"/>
      <c r="BG1" s="270"/>
      <c r="BH1" s="270"/>
      <c r="BI1" s="270"/>
      <c r="BJ1" s="270"/>
      <c r="BK1" s="270"/>
      <c r="BL1" s="270"/>
      <c r="BM1" s="270"/>
      <c r="BN1" s="270"/>
      <c r="BO1" s="270"/>
      <c r="BP1" s="270"/>
      <c r="BQ1" s="270"/>
      <c r="BR1" s="270"/>
      <c r="BS1" s="270"/>
      <c r="BT1" s="270"/>
      <c r="BU1" s="270"/>
      <c r="BV1" s="270"/>
      <c r="BW1" s="270"/>
      <c r="BX1" s="270"/>
      <c r="BY1" s="270"/>
      <c r="BZ1" s="270"/>
      <c r="CA1" s="270"/>
      <c r="CB1" s="270"/>
      <c r="CC1" s="270"/>
      <c r="CD1" s="270"/>
      <c r="CE1" s="270"/>
      <c r="CF1" s="270"/>
      <c r="CG1" s="270"/>
      <c r="CH1" s="270"/>
      <c r="CI1" s="270"/>
      <c r="CJ1" s="270"/>
      <c r="CK1" s="270"/>
      <c r="CL1" s="270"/>
      <c r="CM1" s="270"/>
      <c r="CN1" s="270"/>
      <c r="CO1" s="270"/>
      <c r="CP1" s="270"/>
      <c r="CQ1" s="270"/>
      <c r="CR1" s="270"/>
      <c r="CS1" s="270"/>
      <c r="CT1" s="270"/>
      <c r="CU1" s="270"/>
      <c r="CV1" s="270"/>
      <c r="CW1" s="270"/>
      <c r="CX1" s="270"/>
      <c r="CY1" s="270"/>
      <c r="CZ1" s="270"/>
      <c r="DA1" s="270"/>
      <c r="DB1" s="270"/>
      <c r="DC1" s="270"/>
      <c r="DD1" s="270"/>
      <c r="DE1" s="270"/>
      <c r="DF1" s="270"/>
      <c r="DG1" s="270"/>
      <c r="DH1" s="270"/>
      <c r="DI1" s="270"/>
      <c r="DJ1" s="270"/>
      <c r="DK1" s="270"/>
      <c r="DL1" s="270"/>
      <c r="DM1" s="270"/>
      <c r="DN1" s="270"/>
      <c r="DO1" s="270"/>
      <c r="DP1" s="270"/>
      <c r="DQ1" s="270"/>
      <c r="DR1" s="270"/>
      <c r="DS1" s="270"/>
      <c r="DT1" s="270"/>
      <c r="DU1" s="270"/>
      <c r="DV1" s="270"/>
      <c r="DW1" s="270"/>
      <c r="DX1" s="270"/>
      <c r="DY1" s="270"/>
      <c r="DZ1" s="270"/>
      <c r="EA1" s="270"/>
      <c r="EB1" s="270"/>
      <c r="EC1" s="270"/>
      <c r="ED1" s="270"/>
      <c r="EE1" s="270"/>
      <c r="EF1" s="270"/>
      <c r="EG1" s="270"/>
      <c r="EH1" s="270"/>
      <c r="EI1" s="270"/>
      <c r="EJ1" s="270"/>
      <c r="EK1" s="270"/>
      <c r="EL1" s="270"/>
      <c r="EM1" s="270"/>
      <c r="EN1" s="270"/>
      <c r="EO1" s="270"/>
      <c r="EP1" s="270"/>
      <c r="EQ1" s="270"/>
      <c r="ER1" s="270"/>
      <c r="ES1" s="270"/>
      <c r="ET1" s="270"/>
      <c r="EU1" s="270"/>
      <c r="EV1" s="270"/>
      <c r="EW1" s="270"/>
      <c r="EX1" s="270"/>
      <c r="EY1" s="270"/>
      <c r="EZ1" s="270"/>
      <c r="FA1" s="270"/>
      <c r="FB1" s="270"/>
      <c r="FC1" s="270"/>
      <c r="FD1" s="270"/>
      <c r="FE1" s="270"/>
      <c r="FF1" s="270"/>
      <c r="FG1" s="270"/>
      <c r="FH1" s="270"/>
      <c r="FI1" s="270"/>
      <c r="FJ1" s="270"/>
      <c r="FK1" s="270"/>
      <c r="FL1" s="270"/>
      <c r="FM1" s="270"/>
      <c r="FN1" s="270"/>
      <c r="FO1" s="270"/>
      <c r="FP1" s="270"/>
      <c r="FQ1" s="270"/>
      <c r="FR1" s="270"/>
      <c r="FS1" s="270"/>
      <c r="FT1" s="270"/>
      <c r="FU1" s="270"/>
      <c r="FV1" s="270"/>
      <c r="FW1" s="270"/>
      <c r="FX1" s="270"/>
      <c r="FY1" s="270"/>
      <c r="FZ1" s="270"/>
      <c r="GA1" s="270"/>
      <c r="GB1" s="270"/>
      <c r="GC1" s="270"/>
      <c r="GD1" s="270"/>
      <c r="GE1" s="270"/>
      <c r="GF1" s="270"/>
      <c r="GG1" s="270"/>
      <c r="GH1" s="270"/>
      <c r="GI1" s="270"/>
      <c r="GJ1" s="270"/>
      <c r="GK1" s="270"/>
      <c r="GL1" s="270"/>
      <c r="GM1" s="270"/>
      <c r="GN1" s="270"/>
      <c r="GO1" s="270"/>
      <c r="GP1" s="270"/>
      <c r="GQ1" s="270"/>
      <c r="GR1" s="270"/>
      <c r="GS1" s="270"/>
      <c r="GT1" s="270"/>
      <c r="GU1" s="270"/>
      <c r="GV1" s="270"/>
      <c r="GW1" s="270"/>
      <c r="GX1" s="270"/>
      <c r="GY1" s="270"/>
      <c r="GZ1" s="270"/>
      <c r="HA1" s="270"/>
      <c r="HB1" s="270"/>
      <c r="HC1" s="270"/>
      <c r="HD1" s="270"/>
      <c r="HE1" s="270"/>
      <c r="HF1" s="270"/>
      <c r="HG1" s="270"/>
      <c r="HH1" s="270"/>
      <c r="HI1" s="270"/>
      <c r="HJ1" s="270"/>
      <c r="HK1" s="270"/>
      <c r="HL1" s="270"/>
      <c r="HM1" s="270"/>
      <c r="HN1" s="270"/>
      <c r="HO1" s="270"/>
      <c r="HP1" s="270"/>
      <c r="HQ1" s="270"/>
      <c r="HR1" s="270"/>
      <c r="HS1" s="270"/>
      <c r="HT1" s="270"/>
      <c r="HU1" s="270"/>
      <c r="HV1" s="270"/>
      <c r="HW1" s="270"/>
      <c r="HX1" s="270"/>
      <c r="HY1" s="270"/>
      <c r="HZ1" s="270"/>
      <c r="IA1" s="270"/>
      <c r="IB1" s="270"/>
      <c r="IC1" s="270"/>
      <c r="ID1" s="270"/>
      <c r="IE1" s="270"/>
      <c r="IF1" s="270"/>
      <c r="IG1" s="270"/>
      <c r="IH1" s="270"/>
      <c r="II1" s="270"/>
      <c r="IJ1" s="270"/>
      <c r="IK1" s="270"/>
      <c r="IL1" s="270"/>
      <c r="IM1" s="270"/>
      <c r="IN1" s="270"/>
      <c r="IO1" s="270"/>
      <c r="IP1" s="270"/>
      <c r="IQ1" s="270"/>
    </row>
    <row r="2" spans="1:262" ht="18" customHeight="1" x14ac:dyDescent="0.3">
      <c r="A2" s="1936" t="s">
        <v>1051</v>
      </c>
      <c r="B2" s="1936"/>
      <c r="C2" s="1936"/>
      <c r="D2" s="1936"/>
      <c r="E2" s="1936"/>
      <c r="F2" s="217"/>
      <c r="G2" s="217"/>
      <c r="H2" s="269"/>
      <c r="I2" s="469"/>
      <c r="J2" s="469"/>
      <c r="K2" s="469"/>
      <c r="L2" s="469"/>
      <c r="M2" s="469"/>
      <c r="N2" s="469"/>
      <c r="O2" s="469"/>
      <c r="P2" s="469"/>
      <c r="Q2" s="469"/>
      <c r="R2" s="270"/>
      <c r="S2" s="270"/>
      <c r="T2" s="270"/>
      <c r="U2" s="270"/>
      <c r="V2" s="270"/>
      <c r="W2" s="270"/>
      <c r="X2" s="270"/>
      <c r="Y2" s="270"/>
      <c r="Z2" s="270"/>
      <c r="AA2" s="270"/>
      <c r="AB2" s="270"/>
      <c r="AC2" s="270"/>
      <c r="AD2" s="270"/>
      <c r="AE2" s="270"/>
      <c r="AF2" s="270"/>
      <c r="AG2" s="270"/>
      <c r="AH2" s="270"/>
      <c r="AI2" s="270"/>
      <c r="AJ2" s="270"/>
      <c r="AK2" s="270"/>
      <c r="AL2" s="270"/>
      <c r="AM2" s="270"/>
      <c r="AN2" s="270"/>
      <c r="AO2" s="270"/>
      <c r="AP2" s="270"/>
      <c r="AQ2" s="270"/>
      <c r="AR2" s="270"/>
      <c r="AS2" s="270"/>
      <c r="AT2" s="270"/>
      <c r="AU2" s="270"/>
      <c r="AV2" s="270"/>
      <c r="AW2" s="270"/>
      <c r="AX2" s="270"/>
      <c r="AY2" s="270"/>
      <c r="AZ2" s="270"/>
      <c r="BA2" s="270"/>
      <c r="BB2" s="270"/>
      <c r="BC2" s="270"/>
      <c r="BD2" s="270"/>
      <c r="BE2" s="270"/>
      <c r="BF2" s="270"/>
      <c r="BG2" s="270"/>
      <c r="BH2" s="270"/>
      <c r="BI2" s="270"/>
      <c r="BJ2" s="270"/>
      <c r="BK2" s="270"/>
      <c r="BL2" s="270"/>
      <c r="BM2" s="270"/>
      <c r="BN2" s="270"/>
      <c r="BO2" s="270"/>
      <c r="BP2" s="270"/>
      <c r="BQ2" s="270"/>
      <c r="BR2" s="270"/>
      <c r="BS2" s="270"/>
      <c r="BT2" s="270"/>
      <c r="BU2" s="270"/>
      <c r="BV2" s="270"/>
      <c r="BW2" s="270"/>
      <c r="BX2" s="270"/>
      <c r="BY2" s="270"/>
      <c r="BZ2" s="270"/>
      <c r="CA2" s="270"/>
      <c r="CB2" s="270"/>
      <c r="CC2" s="270"/>
      <c r="CD2" s="270"/>
      <c r="CE2" s="270"/>
      <c r="CF2" s="270"/>
      <c r="CG2" s="270"/>
      <c r="CH2" s="270"/>
      <c r="CI2" s="270"/>
      <c r="CJ2" s="270"/>
      <c r="CK2" s="270"/>
      <c r="CL2" s="270"/>
      <c r="CM2" s="270"/>
      <c r="CN2" s="270"/>
      <c r="CO2" s="270"/>
      <c r="CP2" s="270"/>
      <c r="CQ2" s="270"/>
      <c r="CR2" s="270"/>
      <c r="CS2" s="270"/>
      <c r="CT2" s="270"/>
      <c r="CU2" s="270"/>
      <c r="CV2" s="270"/>
      <c r="CW2" s="270"/>
      <c r="CX2" s="270"/>
      <c r="CY2" s="270"/>
      <c r="CZ2" s="270"/>
      <c r="DA2" s="270"/>
      <c r="DB2" s="270"/>
      <c r="DC2" s="270"/>
      <c r="DD2" s="270"/>
      <c r="DE2" s="270"/>
      <c r="DF2" s="270"/>
      <c r="DG2" s="270"/>
      <c r="DH2" s="270"/>
      <c r="DI2" s="270"/>
      <c r="DJ2" s="270"/>
      <c r="DK2" s="270"/>
      <c r="DL2" s="270"/>
      <c r="DM2" s="270"/>
      <c r="DN2" s="270"/>
      <c r="DO2" s="270"/>
      <c r="DP2" s="270"/>
      <c r="DQ2" s="270"/>
      <c r="DR2" s="270"/>
      <c r="DS2" s="270"/>
      <c r="DT2" s="270"/>
      <c r="DU2" s="270"/>
      <c r="DV2" s="270"/>
      <c r="DW2" s="270"/>
      <c r="DX2" s="270"/>
      <c r="DY2" s="270"/>
      <c r="DZ2" s="270"/>
      <c r="EA2" s="270"/>
      <c r="EB2" s="270"/>
      <c r="EC2" s="270"/>
      <c r="ED2" s="270"/>
      <c r="EE2" s="270"/>
      <c r="EF2" s="270"/>
      <c r="EG2" s="270"/>
      <c r="EH2" s="270"/>
      <c r="EI2" s="270"/>
      <c r="EJ2" s="270"/>
      <c r="EK2" s="270"/>
      <c r="EL2" s="270"/>
      <c r="EM2" s="270"/>
      <c r="EN2" s="270"/>
      <c r="EO2" s="270"/>
      <c r="EP2" s="270"/>
      <c r="EQ2" s="270"/>
      <c r="ER2" s="270"/>
      <c r="ES2" s="270"/>
      <c r="ET2" s="270"/>
      <c r="EU2" s="270"/>
      <c r="EV2" s="270"/>
      <c r="EW2" s="270"/>
      <c r="EX2" s="270"/>
      <c r="EY2" s="270"/>
      <c r="EZ2" s="270"/>
      <c r="FA2" s="270"/>
      <c r="FB2" s="270"/>
      <c r="FC2" s="270"/>
      <c r="FD2" s="270"/>
      <c r="FE2" s="270"/>
      <c r="FF2" s="270"/>
      <c r="FG2" s="270"/>
      <c r="FH2" s="270"/>
      <c r="FI2" s="270"/>
      <c r="FJ2" s="270"/>
      <c r="FK2" s="270"/>
      <c r="FL2" s="270"/>
      <c r="FM2" s="270"/>
      <c r="FN2" s="270"/>
      <c r="FO2" s="270"/>
      <c r="FP2" s="270"/>
      <c r="FQ2" s="270"/>
      <c r="FR2" s="270"/>
      <c r="FS2" s="270"/>
      <c r="FT2" s="270"/>
      <c r="FU2" s="270"/>
      <c r="FV2" s="270"/>
      <c r="FW2" s="270"/>
      <c r="FX2" s="270"/>
      <c r="FY2" s="270"/>
      <c r="FZ2" s="270"/>
      <c r="GA2" s="270"/>
      <c r="GB2" s="270"/>
      <c r="GC2" s="270"/>
      <c r="GD2" s="270"/>
      <c r="GE2" s="270"/>
      <c r="GF2" s="270"/>
      <c r="GG2" s="270"/>
      <c r="GH2" s="270"/>
      <c r="GI2" s="270"/>
      <c r="GJ2" s="270"/>
      <c r="GK2" s="270"/>
      <c r="GL2" s="270"/>
      <c r="GM2" s="270"/>
      <c r="GN2" s="270"/>
      <c r="GO2" s="270"/>
      <c r="GP2" s="270"/>
      <c r="GQ2" s="270"/>
      <c r="GR2" s="270"/>
      <c r="GS2" s="270"/>
      <c r="GT2" s="270"/>
      <c r="GU2" s="270"/>
      <c r="GV2" s="270"/>
      <c r="GW2" s="270"/>
      <c r="GX2" s="270"/>
      <c r="GY2" s="270"/>
      <c r="GZ2" s="270"/>
      <c r="HA2" s="270"/>
      <c r="HB2" s="270"/>
      <c r="HC2" s="270"/>
      <c r="HD2" s="270"/>
      <c r="HE2" s="270"/>
      <c r="HF2" s="270"/>
      <c r="HG2" s="270"/>
      <c r="HH2" s="270"/>
      <c r="HI2" s="270"/>
      <c r="HJ2" s="270"/>
      <c r="HK2" s="270"/>
      <c r="HL2" s="270"/>
      <c r="HM2" s="270"/>
      <c r="HN2" s="270"/>
      <c r="HO2" s="270"/>
      <c r="HP2" s="270"/>
      <c r="HQ2" s="270"/>
      <c r="HR2" s="270"/>
      <c r="HS2" s="270"/>
      <c r="HT2" s="270"/>
      <c r="HU2" s="270"/>
      <c r="HV2" s="270"/>
      <c r="HW2" s="270"/>
      <c r="HX2" s="270"/>
      <c r="HY2" s="270"/>
      <c r="HZ2" s="270"/>
      <c r="IA2" s="270"/>
      <c r="IB2" s="270"/>
      <c r="IC2" s="270"/>
      <c r="ID2" s="270"/>
      <c r="IE2" s="270"/>
      <c r="IF2" s="270"/>
      <c r="IG2" s="270"/>
      <c r="IH2" s="270"/>
      <c r="II2" s="270"/>
      <c r="IJ2" s="270"/>
      <c r="IK2" s="270"/>
      <c r="IL2" s="270"/>
      <c r="IM2" s="270"/>
      <c r="IN2" s="270"/>
      <c r="IO2" s="270"/>
      <c r="IP2" s="270"/>
      <c r="IQ2" s="270"/>
    </row>
    <row r="3" spans="1:262" ht="18" customHeight="1" x14ac:dyDescent="0.3">
      <c r="A3" s="500" t="s">
        <v>1099</v>
      </c>
      <c r="B3" s="500"/>
      <c r="C3" s="500"/>
      <c r="D3" s="500"/>
      <c r="E3" s="500"/>
      <c r="F3" s="217"/>
      <c r="G3" s="217"/>
      <c r="H3" s="269"/>
      <c r="I3" s="509"/>
      <c r="J3" s="509"/>
      <c r="K3" s="509"/>
      <c r="L3" s="509"/>
      <c r="M3" s="509"/>
      <c r="N3" s="509"/>
      <c r="O3" s="509"/>
      <c r="P3" s="509"/>
      <c r="Q3" s="509"/>
      <c r="R3" s="270"/>
      <c r="S3" s="270"/>
      <c r="T3" s="270"/>
      <c r="U3" s="270"/>
      <c r="V3" s="270"/>
      <c r="W3" s="270"/>
      <c r="X3" s="270"/>
      <c r="Y3" s="270"/>
      <c r="Z3" s="270"/>
      <c r="AA3" s="270"/>
      <c r="AB3" s="270"/>
      <c r="AC3" s="270"/>
      <c r="AD3" s="270"/>
      <c r="AE3" s="270"/>
      <c r="AF3" s="270"/>
      <c r="AG3" s="270"/>
      <c r="AH3" s="270"/>
      <c r="AI3" s="270"/>
      <c r="AJ3" s="270"/>
      <c r="AK3" s="270"/>
      <c r="AL3" s="270"/>
      <c r="AM3" s="270"/>
      <c r="AN3" s="270"/>
      <c r="AO3" s="270"/>
      <c r="AP3" s="270"/>
      <c r="AQ3" s="270"/>
      <c r="AR3" s="270"/>
      <c r="AS3" s="270"/>
      <c r="AT3" s="270"/>
      <c r="AU3" s="270"/>
      <c r="AV3" s="270"/>
      <c r="AW3" s="270"/>
      <c r="AX3" s="270"/>
      <c r="AY3" s="270"/>
      <c r="AZ3" s="270"/>
      <c r="BA3" s="270"/>
      <c r="BB3" s="270"/>
      <c r="BC3" s="270"/>
      <c r="BD3" s="270"/>
      <c r="BE3" s="270"/>
      <c r="BF3" s="270"/>
      <c r="BG3" s="270"/>
      <c r="BH3" s="270"/>
      <c r="BI3" s="270"/>
      <c r="BJ3" s="270"/>
      <c r="BK3" s="270"/>
      <c r="BL3" s="270"/>
      <c r="BM3" s="270"/>
      <c r="BN3" s="270"/>
      <c r="BO3" s="270"/>
      <c r="BP3" s="270"/>
      <c r="BQ3" s="270"/>
      <c r="BR3" s="270"/>
      <c r="BS3" s="270"/>
      <c r="BT3" s="270"/>
      <c r="BU3" s="270"/>
      <c r="BV3" s="270"/>
      <c r="BW3" s="270"/>
      <c r="BX3" s="270"/>
      <c r="BY3" s="270"/>
      <c r="BZ3" s="270"/>
      <c r="CA3" s="270"/>
      <c r="CB3" s="270"/>
      <c r="CC3" s="270"/>
      <c r="CD3" s="270"/>
      <c r="CE3" s="270"/>
      <c r="CF3" s="270"/>
      <c r="CG3" s="270"/>
      <c r="CH3" s="270"/>
      <c r="CI3" s="270"/>
      <c r="CJ3" s="270"/>
      <c r="CK3" s="270"/>
      <c r="CL3" s="270"/>
      <c r="CM3" s="270"/>
      <c r="CN3" s="270"/>
      <c r="CO3" s="270"/>
      <c r="CP3" s="270"/>
      <c r="CQ3" s="270"/>
      <c r="CR3" s="270"/>
      <c r="CS3" s="270"/>
      <c r="CT3" s="270"/>
      <c r="CU3" s="270"/>
      <c r="CV3" s="270"/>
      <c r="CW3" s="270"/>
      <c r="CX3" s="270"/>
      <c r="CY3" s="270"/>
      <c r="CZ3" s="270"/>
      <c r="DA3" s="270"/>
      <c r="DB3" s="270"/>
      <c r="DC3" s="270"/>
      <c r="DD3" s="270"/>
      <c r="DE3" s="270"/>
      <c r="DF3" s="270"/>
      <c r="DG3" s="270"/>
      <c r="DH3" s="270"/>
      <c r="DI3" s="270"/>
      <c r="DJ3" s="270"/>
      <c r="DK3" s="270"/>
      <c r="DL3" s="270"/>
      <c r="DM3" s="270"/>
      <c r="DN3" s="270"/>
      <c r="DO3" s="270"/>
      <c r="DP3" s="270"/>
      <c r="DQ3" s="270"/>
      <c r="DR3" s="270"/>
      <c r="DS3" s="270"/>
      <c r="DT3" s="270"/>
      <c r="DU3" s="270"/>
      <c r="DV3" s="270"/>
      <c r="DW3" s="270"/>
      <c r="DX3" s="270"/>
      <c r="DY3" s="270"/>
      <c r="DZ3" s="270"/>
      <c r="EA3" s="270"/>
      <c r="EB3" s="270"/>
      <c r="EC3" s="270"/>
      <c r="ED3" s="270"/>
      <c r="EE3" s="270"/>
      <c r="EF3" s="270"/>
      <c r="EG3" s="270"/>
      <c r="EH3" s="270"/>
      <c r="EI3" s="270"/>
      <c r="EJ3" s="270"/>
      <c r="EK3" s="270"/>
      <c r="EL3" s="270"/>
      <c r="EM3" s="270"/>
      <c r="EN3" s="270"/>
      <c r="EO3" s="270"/>
      <c r="EP3" s="270"/>
      <c r="EQ3" s="270"/>
      <c r="ER3" s="270"/>
      <c r="ES3" s="270"/>
      <c r="ET3" s="270"/>
      <c r="EU3" s="270"/>
      <c r="EV3" s="270"/>
      <c r="EW3" s="270"/>
      <c r="EX3" s="270"/>
      <c r="EY3" s="270"/>
      <c r="EZ3" s="270"/>
      <c r="FA3" s="270"/>
      <c r="FB3" s="270"/>
      <c r="FC3" s="270"/>
      <c r="FD3" s="270"/>
      <c r="FE3" s="270"/>
      <c r="FF3" s="270"/>
      <c r="FG3" s="270"/>
      <c r="FH3" s="270"/>
      <c r="FI3" s="270"/>
      <c r="FJ3" s="270"/>
      <c r="FK3" s="270"/>
      <c r="FL3" s="270"/>
      <c r="FM3" s="270"/>
      <c r="FN3" s="270"/>
      <c r="FO3" s="270"/>
      <c r="FP3" s="270"/>
      <c r="FQ3" s="270"/>
      <c r="FR3" s="270"/>
      <c r="FS3" s="270"/>
      <c r="FT3" s="270"/>
      <c r="FU3" s="270"/>
      <c r="FV3" s="270"/>
      <c r="FW3" s="270"/>
      <c r="FX3" s="270"/>
      <c r="FY3" s="270"/>
      <c r="FZ3" s="270"/>
      <c r="GA3" s="270"/>
      <c r="GB3" s="270"/>
      <c r="GC3" s="270"/>
      <c r="GD3" s="270"/>
      <c r="GE3" s="270"/>
      <c r="GF3" s="270"/>
      <c r="GG3" s="270"/>
      <c r="GH3" s="270"/>
      <c r="GI3" s="270"/>
      <c r="GJ3" s="270"/>
      <c r="GK3" s="270"/>
      <c r="GL3" s="270"/>
      <c r="GM3" s="270"/>
      <c r="GN3" s="270"/>
      <c r="GO3" s="270"/>
      <c r="GP3" s="270"/>
      <c r="GQ3" s="270"/>
      <c r="GR3" s="270"/>
      <c r="GS3" s="270"/>
      <c r="GT3" s="270"/>
      <c r="GU3" s="270"/>
      <c r="GV3" s="270"/>
      <c r="GW3" s="270"/>
      <c r="GX3" s="270"/>
      <c r="GY3" s="270"/>
      <c r="GZ3" s="270"/>
      <c r="HA3" s="270"/>
      <c r="HB3" s="270"/>
      <c r="HC3" s="270"/>
      <c r="HD3" s="270"/>
      <c r="HE3" s="270"/>
      <c r="HF3" s="270"/>
      <c r="HG3" s="270"/>
      <c r="HH3" s="270"/>
      <c r="HI3" s="270"/>
      <c r="HJ3" s="270"/>
      <c r="HK3" s="270"/>
      <c r="HL3" s="270"/>
      <c r="HM3" s="270"/>
      <c r="HN3" s="270"/>
      <c r="HO3" s="270"/>
      <c r="HP3" s="270"/>
      <c r="HQ3" s="270"/>
      <c r="HR3" s="270"/>
      <c r="HS3" s="270"/>
      <c r="HT3" s="270"/>
      <c r="HU3" s="270"/>
      <c r="HV3" s="270"/>
      <c r="HW3" s="270"/>
      <c r="HX3" s="270"/>
      <c r="HY3" s="270"/>
      <c r="HZ3" s="270"/>
      <c r="IA3" s="270"/>
      <c r="IB3" s="270"/>
      <c r="IC3" s="270"/>
      <c r="ID3" s="270"/>
      <c r="IE3" s="270"/>
      <c r="IF3" s="270"/>
      <c r="IG3" s="270"/>
      <c r="IH3" s="270"/>
      <c r="II3" s="270"/>
      <c r="IJ3" s="270"/>
      <c r="IK3" s="270"/>
      <c r="IL3" s="270"/>
      <c r="IM3" s="270"/>
      <c r="IN3" s="270"/>
      <c r="IO3" s="270"/>
      <c r="IP3" s="270"/>
      <c r="IQ3" s="270"/>
    </row>
    <row r="4" spans="1:262" ht="18" customHeight="1" x14ac:dyDescent="0.3">
      <c r="A4" s="1905" t="s">
        <v>1227</v>
      </c>
      <c r="B4" s="1886"/>
      <c r="C4" s="1886"/>
      <c r="D4" s="1886"/>
      <c r="E4" s="1886"/>
      <c r="F4" s="217"/>
      <c r="G4" s="217"/>
      <c r="H4" s="269"/>
      <c r="I4" s="1900"/>
      <c r="J4" s="1900"/>
      <c r="K4" s="1900"/>
      <c r="L4" s="1900"/>
      <c r="M4" s="1900"/>
      <c r="N4" s="1900"/>
      <c r="O4" s="1900"/>
      <c r="P4" s="1900"/>
      <c r="Q4" s="1900"/>
      <c r="R4" s="270"/>
      <c r="S4" s="270"/>
      <c r="T4" s="270"/>
      <c r="U4" s="270"/>
      <c r="V4" s="270"/>
      <c r="W4" s="270"/>
      <c r="X4" s="270"/>
      <c r="Y4" s="270"/>
      <c r="Z4" s="270"/>
      <c r="AA4" s="270"/>
      <c r="AB4" s="270"/>
      <c r="AC4" s="270"/>
      <c r="AD4" s="270"/>
      <c r="AE4" s="270"/>
      <c r="AF4" s="270"/>
      <c r="AG4" s="270"/>
      <c r="AH4" s="270"/>
      <c r="AI4" s="270"/>
      <c r="AJ4" s="270"/>
      <c r="AK4" s="270"/>
      <c r="AL4" s="270"/>
      <c r="AM4" s="270"/>
      <c r="AN4" s="270"/>
      <c r="AO4" s="270"/>
      <c r="AP4" s="270"/>
      <c r="AQ4" s="270"/>
      <c r="AR4" s="270"/>
      <c r="AS4" s="270"/>
      <c r="AT4" s="270"/>
      <c r="AU4" s="270"/>
      <c r="AV4" s="270"/>
      <c r="AW4" s="270"/>
      <c r="AX4" s="270"/>
      <c r="AY4" s="270"/>
      <c r="AZ4" s="270"/>
      <c r="BA4" s="270"/>
      <c r="BB4" s="270"/>
      <c r="BC4" s="270"/>
      <c r="BD4" s="270"/>
      <c r="BE4" s="270"/>
      <c r="BF4" s="270"/>
      <c r="BG4" s="270"/>
      <c r="BH4" s="270"/>
      <c r="BI4" s="270"/>
      <c r="BJ4" s="270"/>
      <c r="BK4" s="270"/>
      <c r="BL4" s="270"/>
      <c r="BM4" s="270"/>
      <c r="BN4" s="270"/>
      <c r="BO4" s="270"/>
      <c r="BP4" s="270"/>
      <c r="BQ4" s="270"/>
      <c r="BR4" s="270"/>
      <c r="BS4" s="270"/>
      <c r="BT4" s="270"/>
      <c r="BU4" s="270"/>
      <c r="BV4" s="270"/>
      <c r="BW4" s="270"/>
      <c r="BX4" s="270"/>
      <c r="BY4" s="270"/>
      <c r="BZ4" s="270"/>
      <c r="CA4" s="270"/>
      <c r="CB4" s="270"/>
      <c r="CC4" s="270"/>
      <c r="CD4" s="270"/>
      <c r="CE4" s="270"/>
      <c r="CF4" s="270"/>
      <c r="CG4" s="270"/>
      <c r="CH4" s="270"/>
      <c r="CI4" s="270"/>
      <c r="CJ4" s="270"/>
      <c r="CK4" s="270"/>
      <c r="CL4" s="270"/>
      <c r="CM4" s="270"/>
      <c r="CN4" s="270"/>
      <c r="CO4" s="270"/>
      <c r="CP4" s="270"/>
      <c r="CQ4" s="270"/>
      <c r="CR4" s="270"/>
      <c r="CS4" s="270"/>
      <c r="CT4" s="270"/>
      <c r="CU4" s="270"/>
      <c r="CV4" s="270"/>
      <c r="CW4" s="270"/>
      <c r="CX4" s="270"/>
      <c r="CY4" s="270"/>
      <c r="CZ4" s="270"/>
      <c r="DA4" s="270"/>
      <c r="DB4" s="270"/>
      <c r="DC4" s="270"/>
      <c r="DD4" s="270"/>
      <c r="DE4" s="270"/>
      <c r="DF4" s="270"/>
      <c r="DG4" s="270"/>
      <c r="DH4" s="270"/>
      <c r="DI4" s="270"/>
      <c r="DJ4" s="270"/>
      <c r="DK4" s="270"/>
      <c r="DL4" s="270"/>
      <c r="DM4" s="270"/>
      <c r="DN4" s="270"/>
      <c r="DO4" s="270"/>
      <c r="DP4" s="270"/>
      <c r="DQ4" s="270"/>
      <c r="DR4" s="270"/>
      <c r="DS4" s="270"/>
      <c r="DT4" s="270"/>
      <c r="DU4" s="270"/>
      <c r="DV4" s="270"/>
      <c r="DW4" s="270"/>
      <c r="DX4" s="270"/>
      <c r="DY4" s="270"/>
      <c r="DZ4" s="270"/>
      <c r="EA4" s="270"/>
      <c r="EB4" s="270"/>
      <c r="EC4" s="270"/>
      <c r="ED4" s="270"/>
      <c r="EE4" s="270"/>
      <c r="EF4" s="270"/>
      <c r="EG4" s="270"/>
      <c r="EH4" s="270"/>
      <c r="EI4" s="270"/>
      <c r="EJ4" s="270"/>
      <c r="EK4" s="270"/>
      <c r="EL4" s="270"/>
      <c r="EM4" s="270"/>
      <c r="EN4" s="270"/>
      <c r="EO4" s="270"/>
      <c r="EP4" s="270"/>
      <c r="EQ4" s="270"/>
      <c r="ER4" s="270"/>
      <c r="ES4" s="270"/>
      <c r="ET4" s="270"/>
      <c r="EU4" s="270"/>
      <c r="EV4" s="270"/>
      <c r="EW4" s="270"/>
      <c r="EX4" s="270"/>
      <c r="EY4" s="270"/>
      <c r="EZ4" s="270"/>
      <c r="FA4" s="270"/>
      <c r="FB4" s="270"/>
      <c r="FC4" s="270"/>
      <c r="FD4" s="270"/>
      <c r="FE4" s="270"/>
      <c r="FF4" s="270"/>
      <c r="FG4" s="270"/>
      <c r="FH4" s="270"/>
      <c r="FI4" s="270"/>
      <c r="FJ4" s="270"/>
      <c r="FK4" s="270"/>
      <c r="FL4" s="270"/>
      <c r="FM4" s="270"/>
      <c r="FN4" s="270"/>
      <c r="FO4" s="270"/>
      <c r="FP4" s="270"/>
      <c r="FQ4" s="270"/>
      <c r="FR4" s="270"/>
      <c r="FS4" s="270"/>
      <c r="FT4" s="270"/>
      <c r="FU4" s="270"/>
      <c r="FV4" s="270"/>
      <c r="FW4" s="270"/>
      <c r="FX4" s="270"/>
      <c r="FY4" s="270"/>
      <c r="FZ4" s="270"/>
      <c r="GA4" s="270"/>
      <c r="GB4" s="270"/>
      <c r="GC4" s="270"/>
      <c r="GD4" s="270"/>
      <c r="GE4" s="270"/>
      <c r="GF4" s="270"/>
      <c r="GG4" s="270"/>
      <c r="GH4" s="270"/>
      <c r="GI4" s="270"/>
      <c r="GJ4" s="270"/>
      <c r="GK4" s="270"/>
      <c r="GL4" s="270"/>
      <c r="GM4" s="270"/>
      <c r="GN4" s="270"/>
      <c r="GO4" s="270"/>
      <c r="GP4" s="270"/>
      <c r="GQ4" s="270"/>
      <c r="GR4" s="270"/>
      <c r="GS4" s="270"/>
      <c r="GT4" s="270"/>
      <c r="GU4" s="270"/>
      <c r="GV4" s="270"/>
      <c r="GW4" s="270"/>
      <c r="GX4" s="270"/>
      <c r="GY4" s="270"/>
      <c r="GZ4" s="270"/>
      <c r="HA4" s="270"/>
      <c r="HB4" s="270"/>
      <c r="HC4" s="270"/>
      <c r="HD4" s="270"/>
      <c r="HE4" s="270"/>
      <c r="HF4" s="270"/>
      <c r="HG4" s="270"/>
      <c r="HH4" s="270"/>
      <c r="HI4" s="270"/>
      <c r="HJ4" s="270"/>
      <c r="HK4" s="270"/>
      <c r="HL4" s="270"/>
      <c r="HM4" s="270"/>
      <c r="HN4" s="270"/>
      <c r="HO4" s="270"/>
      <c r="HP4" s="270"/>
      <c r="HQ4" s="270"/>
      <c r="HR4" s="270"/>
      <c r="HS4" s="270"/>
      <c r="HT4" s="270"/>
      <c r="HU4" s="270"/>
      <c r="HV4" s="270"/>
      <c r="HW4" s="270"/>
      <c r="HX4" s="270"/>
      <c r="HY4" s="270"/>
      <c r="HZ4" s="270"/>
      <c r="IA4" s="270"/>
      <c r="IB4" s="270"/>
      <c r="IC4" s="270"/>
      <c r="ID4" s="270"/>
      <c r="IE4" s="270"/>
      <c r="IF4" s="270"/>
      <c r="IG4" s="270"/>
      <c r="IH4" s="270"/>
      <c r="II4" s="270"/>
      <c r="IJ4" s="270"/>
      <c r="IK4" s="270"/>
      <c r="IL4" s="270"/>
      <c r="IM4" s="270"/>
      <c r="IN4" s="270"/>
      <c r="IO4" s="270"/>
      <c r="IP4" s="270"/>
      <c r="IQ4" s="270"/>
    </row>
    <row r="5" spans="1:262" ht="24.75" customHeight="1" x14ac:dyDescent="0.35">
      <c r="A5" s="2123" t="s">
        <v>14</v>
      </c>
      <c r="B5" s="2123"/>
      <c r="C5" s="2123"/>
      <c r="D5" s="2123"/>
      <c r="E5" s="2123"/>
      <c r="F5" s="2123"/>
      <c r="G5" s="2123"/>
      <c r="H5" s="2123"/>
      <c r="I5" s="2123"/>
      <c r="J5" s="2123"/>
      <c r="K5" s="2123"/>
      <c r="L5" s="2123"/>
      <c r="M5" s="2123"/>
      <c r="N5" s="2123"/>
      <c r="O5" s="2123"/>
      <c r="P5" s="2123"/>
      <c r="Q5" s="2123"/>
    </row>
    <row r="6" spans="1:262" ht="24.75" customHeight="1" x14ac:dyDescent="0.35">
      <c r="A6" s="2155" t="s">
        <v>679</v>
      </c>
      <c r="B6" s="2155"/>
      <c r="C6" s="2155"/>
      <c r="D6" s="2155"/>
      <c r="E6" s="2155"/>
      <c r="F6" s="2155"/>
      <c r="G6" s="2155"/>
      <c r="H6" s="2155"/>
      <c r="I6" s="2155"/>
      <c r="J6" s="2155"/>
      <c r="K6" s="2155"/>
      <c r="L6" s="2155"/>
      <c r="M6" s="2155"/>
      <c r="N6" s="2155"/>
      <c r="O6" s="2155"/>
      <c r="P6" s="2155"/>
      <c r="Q6" s="2155"/>
    </row>
    <row r="7" spans="1:262" s="332" customFormat="1" ht="18" customHeight="1" x14ac:dyDescent="0.3">
      <c r="A7" s="268"/>
      <c r="B7" s="268"/>
      <c r="C7" s="268"/>
      <c r="E7" s="254"/>
      <c r="F7" s="254"/>
      <c r="G7" s="254"/>
      <c r="H7" s="333"/>
      <c r="I7" s="254"/>
      <c r="J7" s="254"/>
      <c r="K7" s="254"/>
      <c r="L7" s="254"/>
      <c r="M7" s="254"/>
      <c r="N7" s="254"/>
      <c r="O7" s="254"/>
      <c r="P7" s="334"/>
      <c r="Q7" s="260" t="s">
        <v>0</v>
      </c>
    </row>
    <row r="8" spans="1:262" s="336" customFormat="1" ht="18" customHeight="1" thickBot="1" x14ac:dyDescent="0.35">
      <c r="A8" s="335"/>
      <c r="B8" s="1541" t="s">
        <v>1</v>
      </c>
      <c r="C8" s="1542" t="s">
        <v>3</v>
      </c>
      <c r="D8" s="1542" t="s">
        <v>2</v>
      </c>
      <c r="E8" s="1542" t="s">
        <v>4</v>
      </c>
      <c r="F8" s="1542" t="s">
        <v>5</v>
      </c>
      <c r="G8" s="1542" t="s">
        <v>15</v>
      </c>
      <c r="H8" s="1542" t="s">
        <v>16</v>
      </c>
      <c r="I8" s="1542" t="s">
        <v>17</v>
      </c>
      <c r="J8" s="1542" t="s">
        <v>36</v>
      </c>
      <c r="K8" s="1542" t="s">
        <v>30</v>
      </c>
      <c r="L8" s="1542" t="s">
        <v>23</v>
      </c>
      <c r="M8" s="1542" t="s">
        <v>37</v>
      </c>
      <c r="N8" s="1542" t="s">
        <v>38</v>
      </c>
      <c r="O8" s="1542" t="s">
        <v>160</v>
      </c>
      <c r="P8" s="1542" t="s">
        <v>161</v>
      </c>
      <c r="Q8" s="1542" t="s">
        <v>162</v>
      </c>
      <c r="R8" s="335"/>
      <c r="S8" s="335"/>
      <c r="T8" s="335"/>
      <c r="U8" s="335"/>
      <c r="V8" s="335"/>
      <c r="W8" s="335"/>
      <c r="X8" s="335"/>
      <c r="Y8" s="335"/>
      <c r="Z8" s="335"/>
      <c r="AA8" s="335"/>
      <c r="AB8" s="335"/>
      <c r="AC8" s="335"/>
      <c r="AD8" s="335"/>
      <c r="AE8" s="335"/>
      <c r="AF8" s="335"/>
      <c r="AG8" s="335"/>
      <c r="AH8" s="335"/>
      <c r="AI8" s="335"/>
      <c r="AJ8" s="335"/>
      <c r="AK8" s="335"/>
      <c r="AL8" s="335"/>
      <c r="AM8" s="335"/>
      <c r="AN8" s="335"/>
      <c r="AO8" s="335"/>
      <c r="AP8" s="335"/>
      <c r="AQ8" s="335"/>
      <c r="AR8" s="335"/>
      <c r="AS8" s="335"/>
      <c r="AT8" s="335"/>
      <c r="AU8" s="335"/>
      <c r="AV8" s="335"/>
      <c r="AW8" s="335"/>
      <c r="AX8" s="335"/>
      <c r="AY8" s="335"/>
      <c r="AZ8" s="335"/>
      <c r="BA8" s="335"/>
      <c r="BB8" s="335"/>
      <c r="BC8" s="335"/>
      <c r="BD8" s="335"/>
      <c r="BE8" s="335"/>
      <c r="BF8" s="335"/>
      <c r="BG8" s="335"/>
      <c r="BH8" s="335"/>
      <c r="BI8" s="335"/>
      <c r="BJ8" s="335"/>
      <c r="BK8" s="335"/>
      <c r="BL8" s="335"/>
      <c r="BM8" s="335"/>
      <c r="BN8" s="335"/>
      <c r="BO8" s="335"/>
      <c r="BP8" s="335"/>
      <c r="BQ8" s="335"/>
      <c r="BR8" s="335"/>
      <c r="BS8" s="335"/>
      <c r="BT8" s="335"/>
      <c r="BU8" s="335"/>
      <c r="BV8" s="335"/>
      <c r="BW8" s="335"/>
      <c r="BX8" s="335"/>
      <c r="BY8" s="335"/>
      <c r="BZ8" s="335"/>
      <c r="CA8" s="335"/>
      <c r="CB8" s="335"/>
      <c r="CC8" s="335"/>
      <c r="CD8" s="335"/>
      <c r="CE8" s="335"/>
      <c r="CF8" s="335"/>
      <c r="CG8" s="335"/>
      <c r="CH8" s="335"/>
      <c r="CI8" s="335"/>
      <c r="CJ8" s="335"/>
      <c r="CK8" s="335"/>
      <c r="CL8" s="335"/>
      <c r="CM8" s="335"/>
      <c r="CN8" s="335"/>
      <c r="CO8" s="335"/>
      <c r="CP8" s="335"/>
      <c r="CQ8" s="335"/>
      <c r="CR8" s="335"/>
      <c r="CS8" s="335"/>
      <c r="CT8" s="335"/>
      <c r="CU8" s="335"/>
      <c r="CV8" s="335"/>
      <c r="CW8" s="335"/>
      <c r="CX8" s="335"/>
      <c r="CY8" s="335"/>
      <c r="CZ8" s="335"/>
      <c r="DA8" s="335"/>
      <c r="DB8" s="335"/>
      <c r="DC8" s="335"/>
      <c r="DD8" s="335"/>
      <c r="DE8" s="335"/>
      <c r="DF8" s="335"/>
      <c r="DG8" s="335"/>
      <c r="DH8" s="335"/>
      <c r="DI8" s="335"/>
      <c r="DJ8" s="335"/>
      <c r="DK8" s="335"/>
      <c r="DL8" s="335"/>
      <c r="DM8" s="335"/>
      <c r="DN8" s="335"/>
      <c r="DO8" s="335"/>
      <c r="DP8" s="335"/>
      <c r="DQ8" s="335"/>
      <c r="DR8" s="335"/>
      <c r="DS8" s="335"/>
      <c r="DT8" s="335"/>
      <c r="DU8" s="335"/>
      <c r="DV8" s="335"/>
      <c r="DW8" s="335"/>
      <c r="DX8" s="335"/>
      <c r="DY8" s="335"/>
      <c r="DZ8" s="335"/>
      <c r="EA8" s="335"/>
      <c r="EB8" s="335"/>
      <c r="EC8" s="335"/>
      <c r="ED8" s="335"/>
      <c r="EE8" s="335"/>
      <c r="EF8" s="335"/>
      <c r="EG8" s="335"/>
      <c r="EH8" s="335"/>
      <c r="EI8" s="335"/>
      <c r="EJ8" s="335"/>
      <c r="EK8" s="335"/>
      <c r="EL8" s="335"/>
      <c r="EM8" s="335"/>
      <c r="EN8" s="335"/>
      <c r="EO8" s="335"/>
      <c r="EP8" s="335"/>
      <c r="EQ8" s="335"/>
      <c r="ER8" s="335"/>
      <c r="ES8" s="335"/>
      <c r="ET8" s="335"/>
      <c r="EU8" s="335"/>
      <c r="EV8" s="335"/>
      <c r="EW8" s="335"/>
      <c r="EX8" s="335"/>
      <c r="EY8" s="335"/>
      <c r="EZ8" s="335"/>
      <c r="FA8" s="335"/>
      <c r="FB8" s="335"/>
      <c r="FC8" s="335"/>
      <c r="FD8" s="335"/>
      <c r="FE8" s="335"/>
      <c r="FF8" s="335"/>
      <c r="FG8" s="335"/>
      <c r="FH8" s="335"/>
      <c r="FI8" s="335"/>
      <c r="FJ8" s="335"/>
      <c r="FK8" s="335"/>
      <c r="FL8" s="335"/>
      <c r="FM8" s="335"/>
      <c r="FN8" s="335"/>
      <c r="FO8" s="335"/>
      <c r="FP8" s="335"/>
      <c r="FQ8" s="335"/>
      <c r="FR8" s="335"/>
      <c r="FS8" s="335"/>
      <c r="FT8" s="335"/>
      <c r="FU8" s="335"/>
      <c r="FV8" s="335"/>
      <c r="FW8" s="335"/>
      <c r="FX8" s="335"/>
      <c r="FY8" s="335"/>
      <c r="FZ8" s="335"/>
      <c r="GA8" s="335"/>
      <c r="GB8" s="335"/>
      <c r="GC8" s="335"/>
      <c r="GD8" s="335"/>
      <c r="GE8" s="335"/>
      <c r="GF8" s="335"/>
      <c r="GG8" s="335"/>
      <c r="GH8" s="335"/>
      <c r="GI8" s="335"/>
      <c r="GJ8" s="335"/>
      <c r="GK8" s="335"/>
      <c r="GL8" s="335"/>
      <c r="GM8" s="335"/>
      <c r="GN8" s="335"/>
      <c r="GO8" s="335"/>
      <c r="GP8" s="335"/>
      <c r="GQ8" s="335"/>
      <c r="GR8" s="335"/>
      <c r="GS8" s="335"/>
      <c r="GT8" s="335"/>
      <c r="GU8" s="335"/>
      <c r="GV8" s="335"/>
      <c r="GW8" s="335"/>
      <c r="GX8" s="335"/>
      <c r="GY8" s="335"/>
      <c r="GZ8" s="335"/>
      <c r="HA8" s="335"/>
      <c r="HB8" s="335"/>
      <c r="HC8" s="335"/>
      <c r="HD8" s="335"/>
      <c r="HE8" s="335"/>
      <c r="HF8" s="335"/>
      <c r="HG8" s="335"/>
      <c r="HH8" s="335"/>
      <c r="HI8" s="335"/>
      <c r="HJ8" s="335"/>
      <c r="HK8" s="335"/>
      <c r="HL8" s="335"/>
      <c r="HM8" s="335"/>
      <c r="HN8" s="335"/>
      <c r="HO8" s="335"/>
      <c r="HP8" s="335"/>
      <c r="HQ8" s="335"/>
      <c r="HR8" s="335"/>
      <c r="HS8" s="335"/>
      <c r="HT8" s="335"/>
      <c r="HU8" s="335"/>
      <c r="HV8" s="335"/>
      <c r="HW8" s="335"/>
      <c r="HX8" s="335"/>
      <c r="HY8" s="335"/>
      <c r="HZ8" s="335"/>
      <c r="IA8" s="335"/>
      <c r="IB8" s="335"/>
      <c r="IC8" s="335"/>
      <c r="ID8" s="335"/>
      <c r="IE8" s="335"/>
      <c r="IF8" s="335"/>
      <c r="IG8" s="335"/>
      <c r="IH8" s="335"/>
      <c r="II8" s="335"/>
      <c r="IJ8" s="335"/>
      <c r="IK8" s="335"/>
      <c r="IL8" s="335"/>
      <c r="IM8" s="335"/>
      <c r="IN8" s="335"/>
      <c r="IO8" s="335"/>
      <c r="IP8" s="335"/>
      <c r="IQ8" s="335"/>
    </row>
    <row r="9" spans="1:262" ht="22.5" customHeight="1" x14ac:dyDescent="0.3">
      <c r="B9" s="2157" t="s">
        <v>18</v>
      </c>
      <c r="C9" s="2160" t="s">
        <v>19</v>
      </c>
      <c r="D9" s="2163" t="s">
        <v>6</v>
      </c>
      <c r="E9" s="2166" t="s">
        <v>652</v>
      </c>
      <c r="F9" s="2166" t="s">
        <v>964</v>
      </c>
      <c r="G9" s="2169" t="s">
        <v>989</v>
      </c>
      <c r="H9" s="2143" t="s">
        <v>20</v>
      </c>
      <c r="I9" s="2172" t="s">
        <v>637</v>
      </c>
      <c r="J9" s="2166"/>
      <c r="K9" s="2166"/>
      <c r="L9" s="2166"/>
      <c r="M9" s="2166"/>
      <c r="N9" s="2166"/>
      <c r="O9" s="2166"/>
      <c r="P9" s="2173"/>
      <c r="Q9" s="2174" t="s">
        <v>648</v>
      </c>
      <c r="R9" s="2156"/>
      <c r="S9" s="2156"/>
    </row>
    <row r="10" spans="1:262" ht="33" customHeight="1" x14ac:dyDescent="0.3">
      <c r="B10" s="2158"/>
      <c r="C10" s="2161"/>
      <c r="D10" s="2164"/>
      <c r="E10" s="2167"/>
      <c r="F10" s="2167"/>
      <c r="G10" s="2170"/>
      <c r="H10" s="2144"/>
      <c r="I10" s="2177" t="s">
        <v>654</v>
      </c>
      <c r="J10" s="2178"/>
      <c r="K10" s="2179"/>
      <c r="L10" s="2179"/>
      <c r="M10" s="2180" t="s">
        <v>163</v>
      </c>
      <c r="N10" s="2180"/>
      <c r="O10" s="2180"/>
      <c r="P10" s="2183" t="s">
        <v>129</v>
      </c>
      <c r="Q10" s="2175"/>
    </row>
    <row r="11" spans="1:262" ht="53.25" customHeight="1" thickBot="1" x14ac:dyDescent="0.35">
      <c r="B11" s="2159"/>
      <c r="C11" s="2162"/>
      <c r="D11" s="2165"/>
      <c r="E11" s="2168"/>
      <c r="F11" s="2168"/>
      <c r="G11" s="2171"/>
      <c r="H11" s="2145"/>
      <c r="I11" s="1543" t="s">
        <v>40</v>
      </c>
      <c r="J11" s="1544" t="s">
        <v>649</v>
      </c>
      <c r="K11" s="1545" t="s">
        <v>42</v>
      </c>
      <c r="L11" s="1545" t="s">
        <v>651</v>
      </c>
      <c r="M11" s="1544" t="s">
        <v>231</v>
      </c>
      <c r="N11" s="1544" t="s">
        <v>232</v>
      </c>
      <c r="O11" s="1544" t="s">
        <v>164</v>
      </c>
      <c r="P11" s="2184"/>
      <c r="Q11" s="2176"/>
    </row>
    <row r="12" spans="1:262" s="272" customFormat="1" ht="22.5" customHeight="1" x14ac:dyDescent="0.35">
      <c r="A12" s="1423">
        <v>1</v>
      </c>
      <c r="B12" s="1546">
        <v>18</v>
      </c>
      <c r="C12" s="1547" t="s">
        <v>14</v>
      </c>
      <c r="D12" s="1548"/>
      <c r="E12" s="1549"/>
      <c r="F12" s="1550"/>
      <c r="G12" s="1551"/>
      <c r="H12" s="1552"/>
      <c r="I12" s="1639"/>
      <c r="J12" s="1640"/>
      <c r="K12" s="1640"/>
      <c r="L12" s="1640"/>
      <c r="M12" s="1640"/>
      <c r="N12" s="1640"/>
      <c r="O12" s="1640"/>
      <c r="P12" s="1641"/>
      <c r="Q12" s="1556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  <c r="BI12" s="148"/>
      <c r="BJ12" s="148"/>
      <c r="BK12" s="148"/>
      <c r="BL12" s="148"/>
      <c r="BM12" s="148"/>
      <c r="BN12" s="148"/>
      <c r="BO12" s="148"/>
      <c r="BP12" s="148"/>
      <c r="BQ12" s="148"/>
      <c r="BR12" s="148"/>
      <c r="BS12" s="148"/>
      <c r="BT12" s="148"/>
      <c r="BU12" s="148"/>
      <c r="BV12" s="148"/>
      <c r="BW12" s="148"/>
      <c r="BX12" s="148"/>
      <c r="BY12" s="148"/>
      <c r="BZ12" s="148"/>
      <c r="CA12" s="148"/>
      <c r="CB12" s="148"/>
      <c r="CC12" s="148"/>
      <c r="CD12" s="148"/>
      <c r="CE12" s="148"/>
      <c r="CF12" s="148"/>
      <c r="CG12" s="148"/>
      <c r="CH12" s="148"/>
      <c r="CI12" s="148"/>
      <c r="CJ12" s="148"/>
      <c r="CK12" s="148"/>
      <c r="CL12" s="148"/>
      <c r="CM12" s="148"/>
      <c r="CN12" s="148"/>
      <c r="CO12" s="148"/>
      <c r="CP12" s="148"/>
      <c r="CQ12" s="148"/>
      <c r="CR12" s="148"/>
      <c r="CS12" s="148"/>
      <c r="CT12" s="148"/>
      <c r="CU12" s="148"/>
      <c r="CV12" s="148"/>
      <c r="CW12" s="148"/>
      <c r="CX12" s="148"/>
      <c r="CY12" s="148"/>
      <c r="CZ12" s="148"/>
      <c r="DA12" s="148"/>
      <c r="DB12" s="148"/>
      <c r="DC12" s="148"/>
      <c r="DD12" s="148"/>
      <c r="DE12" s="148"/>
      <c r="DF12" s="148"/>
      <c r="DG12" s="148"/>
      <c r="DH12" s="148"/>
      <c r="DI12" s="148"/>
      <c r="DJ12" s="148"/>
      <c r="DK12" s="148"/>
      <c r="DL12" s="148"/>
      <c r="DM12" s="148"/>
      <c r="DN12" s="148"/>
      <c r="DO12" s="148"/>
      <c r="DP12" s="148"/>
      <c r="DQ12" s="148"/>
      <c r="DR12" s="148"/>
      <c r="DS12" s="148"/>
      <c r="DT12" s="148"/>
      <c r="DU12" s="148"/>
      <c r="DV12" s="148"/>
      <c r="DW12" s="148"/>
      <c r="DX12" s="148"/>
      <c r="DY12" s="148"/>
      <c r="DZ12" s="148"/>
      <c r="EA12" s="148"/>
      <c r="EB12" s="148"/>
      <c r="EC12" s="148"/>
      <c r="ED12" s="148"/>
      <c r="EE12" s="148"/>
      <c r="EF12" s="148"/>
      <c r="EG12" s="148"/>
      <c r="EH12" s="148"/>
      <c r="EI12" s="148"/>
      <c r="EJ12" s="148"/>
      <c r="EK12" s="148"/>
      <c r="EL12" s="148"/>
      <c r="EM12" s="148"/>
      <c r="EN12" s="148"/>
      <c r="EO12" s="148"/>
      <c r="EP12" s="148"/>
      <c r="EQ12" s="148"/>
      <c r="ER12" s="148"/>
      <c r="ES12" s="148"/>
      <c r="ET12" s="148"/>
      <c r="EU12" s="148"/>
      <c r="EV12" s="148"/>
      <c r="EW12" s="148"/>
      <c r="EX12" s="148"/>
      <c r="EY12" s="148"/>
      <c r="EZ12" s="148"/>
      <c r="FA12" s="148"/>
      <c r="FB12" s="148"/>
      <c r="FC12" s="148"/>
      <c r="FD12" s="148"/>
      <c r="FE12" s="148"/>
      <c r="FF12" s="148"/>
      <c r="FG12" s="148"/>
      <c r="FH12" s="148"/>
      <c r="FI12" s="148"/>
      <c r="FJ12" s="148"/>
      <c r="FK12" s="148"/>
      <c r="FL12" s="148"/>
      <c r="FM12" s="148"/>
      <c r="FN12" s="148"/>
      <c r="FO12" s="148"/>
      <c r="FP12" s="148"/>
      <c r="FQ12" s="148"/>
      <c r="FR12" s="148"/>
      <c r="FS12" s="148"/>
      <c r="FT12" s="148"/>
      <c r="FU12" s="148"/>
      <c r="FV12" s="148"/>
      <c r="FW12" s="148"/>
      <c r="FX12" s="148"/>
      <c r="FY12" s="148"/>
      <c r="FZ12" s="148"/>
      <c r="GA12" s="148"/>
      <c r="GB12" s="148"/>
      <c r="GC12" s="148"/>
      <c r="GD12" s="148"/>
      <c r="GE12" s="148"/>
      <c r="GF12" s="148"/>
      <c r="GG12" s="148"/>
      <c r="GH12" s="148"/>
      <c r="GI12" s="148"/>
      <c r="GJ12" s="148"/>
      <c r="GK12" s="148"/>
      <c r="GL12" s="148"/>
      <c r="GM12" s="148"/>
      <c r="GN12" s="148"/>
      <c r="GO12" s="148"/>
      <c r="GP12" s="148"/>
      <c r="GQ12" s="148"/>
      <c r="GR12" s="148"/>
      <c r="GS12" s="148"/>
      <c r="GT12" s="148"/>
      <c r="GU12" s="148"/>
      <c r="GV12" s="148"/>
      <c r="GW12" s="148"/>
      <c r="GX12" s="148"/>
      <c r="GY12" s="148"/>
      <c r="GZ12" s="148"/>
      <c r="HA12" s="148"/>
      <c r="HB12" s="148"/>
      <c r="HC12" s="148"/>
      <c r="HD12" s="148"/>
      <c r="HE12" s="148"/>
      <c r="HF12" s="148"/>
      <c r="HG12" s="148"/>
      <c r="HH12" s="148"/>
      <c r="HI12" s="148"/>
      <c r="HJ12" s="148"/>
      <c r="HK12" s="148"/>
      <c r="HL12" s="148"/>
      <c r="HM12" s="148"/>
      <c r="HN12" s="148"/>
      <c r="HO12" s="148"/>
      <c r="HP12" s="148"/>
      <c r="HQ12" s="148"/>
      <c r="HR12" s="148"/>
      <c r="HS12" s="148"/>
      <c r="HT12" s="148"/>
      <c r="HU12" s="148"/>
      <c r="HV12" s="148"/>
      <c r="HW12" s="148"/>
      <c r="HX12" s="148"/>
      <c r="HY12" s="148"/>
      <c r="HZ12" s="148"/>
      <c r="IA12" s="148"/>
      <c r="IB12" s="148"/>
      <c r="IC12" s="148"/>
      <c r="ID12" s="148"/>
      <c r="IE12" s="148"/>
      <c r="IF12" s="148"/>
      <c r="IG12" s="148"/>
      <c r="IH12" s="148"/>
      <c r="II12" s="148"/>
      <c r="IJ12" s="148"/>
      <c r="IK12" s="148"/>
      <c r="IL12" s="148"/>
      <c r="IM12" s="148"/>
      <c r="IN12" s="148"/>
      <c r="IO12" s="148"/>
      <c r="IP12" s="148"/>
      <c r="IQ12" s="148"/>
      <c r="IR12" s="148"/>
      <c r="IS12" s="148"/>
      <c r="IT12" s="148"/>
      <c r="IU12" s="148"/>
      <c r="IV12" s="148"/>
      <c r="IW12" s="148"/>
      <c r="IX12" s="148"/>
      <c r="IY12" s="148"/>
      <c r="IZ12" s="148"/>
      <c r="JA12" s="148"/>
      <c r="JB12" s="148"/>
    </row>
    <row r="13" spans="1:262" s="272" customFormat="1" ht="18" x14ac:dyDescent="0.35">
      <c r="A13" s="1423">
        <v>2</v>
      </c>
      <c r="B13" s="1546"/>
      <c r="C13" s="1659">
        <v>1</v>
      </c>
      <c r="D13" s="1660" t="s">
        <v>759</v>
      </c>
      <c r="E13" s="1549"/>
      <c r="F13" s="1550"/>
      <c r="G13" s="1551"/>
      <c r="H13" s="1552" t="s">
        <v>24</v>
      </c>
      <c r="I13" s="1574"/>
      <c r="J13" s="1574"/>
      <c r="K13" s="1574"/>
      <c r="L13" s="1574"/>
      <c r="M13" s="1574"/>
      <c r="N13" s="1574"/>
      <c r="O13" s="1574"/>
      <c r="P13" s="1576"/>
      <c r="Q13" s="1556"/>
      <c r="R13" s="148"/>
      <c r="S13" s="148"/>
      <c r="T13" s="148"/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48"/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  <c r="BI13" s="148"/>
      <c r="BJ13" s="148"/>
      <c r="BK13" s="148"/>
      <c r="BL13" s="148"/>
      <c r="BM13" s="148"/>
      <c r="BN13" s="148"/>
      <c r="BO13" s="148"/>
      <c r="BP13" s="148"/>
      <c r="BQ13" s="148"/>
      <c r="BR13" s="148"/>
      <c r="BS13" s="148"/>
      <c r="BT13" s="148"/>
      <c r="BU13" s="148"/>
      <c r="BV13" s="148"/>
      <c r="BW13" s="148"/>
      <c r="BX13" s="148"/>
      <c r="BY13" s="148"/>
      <c r="BZ13" s="148"/>
      <c r="CA13" s="148"/>
      <c r="CB13" s="148"/>
      <c r="CC13" s="148"/>
      <c r="CD13" s="148"/>
      <c r="CE13" s="148"/>
      <c r="CF13" s="148"/>
      <c r="CG13" s="148"/>
      <c r="CH13" s="148"/>
      <c r="CI13" s="148"/>
      <c r="CJ13" s="148"/>
      <c r="CK13" s="148"/>
      <c r="CL13" s="148"/>
      <c r="CM13" s="148"/>
      <c r="CN13" s="148"/>
      <c r="CO13" s="148"/>
      <c r="CP13" s="148"/>
      <c r="CQ13" s="148"/>
      <c r="CR13" s="148"/>
      <c r="CS13" s="148"/>
      <c r="CT13" s="148"/>
      <c r="CU13" s="148"/>
      <c r="CV13" s="148"/>
      <c r="CW13" s="148"/>
      <c r="CX13" s="148"/>
      <c r="CY13" s="148"/>
      <c r="CZ13" s="148"/>
      <c r="DA13" s="148"/>
      <c r="DB13" s="148"/>
      <c r="DC13" s="148"/>
      <c r="DD13" s="148"/>
      <c r="DE13" s="148"/>
      <c r="DF13" s="148"/>
      <c r="DG13" s="148"/>
      <c r="DH13" s="148"/>
      <c r="DI13" s="148"/>
      <c r="DJ13" s="148"/>
      <c r="DK13" s="148"/>
      <c r="DL13" s="148"/>
      <c r="DM13" s="148"/>
      <c r="DN13" s="148"/>
      <c r="DO13" s="148"/>
      <c r="DP13" s="148"/>
      <c r="DQ13" s="148"/>
      <c r="DR13" s="148"/>
      <c r="DS13" s="148"/>
      <c r="DT13" s="148"/>
      <c r="DU13" s="148"/>
      <c r="DV13" s="148"/>
      <c r="DW13" s="148"/>
      <c r="DX13" s="148"/>
      <c r="DY13" s="148"/>
      <c r="DZ13" s="148"/>
      <c r="EA13" s="148"/>
      <c r="EB13" s="148"/>
      <c r="EC13" s="148"/>
      <c r="ED13" s="148"/>
      <c r="EE13" s="148"/>
      <c r="EF13" s="148"/>
      <c r="EG13" s="148"/>
      <c r="EH13" s="148"/>
      <c r="EI13" s="148"/>
      <c r="EJ13" s="148"/>
      <c r="EK13" s="148"/>
      <c r="EL13" s="148"/>
      <c r="EM13" s="148"/>
      <c r="EN13" s="148"/>
      <c r="EO13" s="148"/>
      <c r="EP13" s="148"/>
      <c r="EQ13" s="148"/>
      <c r="ER13" s="148"/>
      <c r="ES13" s="148"/>
      <c r="ET13" s="148"/>
      <c r="EU13" s="148"/>
      <c r="EV13" s="148"/>
      <c r="EW13" s="148"/>
      <c r="EX13" s="148"/>
      <c r="EY13" s="148"/>
      <c r="EZ13" s="148"/>
      <c r="FA13" s="148"/>
      <c r="FB13" s="148"/>
      <c r="FC13" s="148"/>
      <c r="FD13" s="148"/>
      <c r="FE13" s="148"/>
      <c r="FF13" s="148"/>
      <c r="FG13" s="148"/>
      <c r="FH13" s="148"/>
      <c r="FI13" s="148"/>
      <c r="FJ13" s="148"/>
      <c r="FK13" s="148"/>
      <c r="FL13" s="148"/>
      <c r="FM13" s="148"/>
      <c r="FN13" s="148"/>
      <c r="FO13" s="148"/>
      <c r="FP13" s="148"/>
      <c r="FQ13" s="148"/>
      <c r="FR13" s="148"/>
      <c r="FS13" s="148"/>
      <c r="FT13" s="148"/>
      <c r="FU13" s="148"/>
      <c r="FV13" s="148"/>
      <c r="FW13" s="148"/>
      <c r="FX13" s="148"/>
      <c r="FY13" s="148"/>
      <c r="FZ13" s="148"/>
      <c r="GA13" s="148"/>
      <c r="GB13" s="148"/>
      <c r="GC13" s="148"/>
      <c r="GD13" s="148"/>
      <c r="GE13" s="148"/>
      <c r="GF13" s="148"/>
      <c r="GG13" s="148"/>
      <c r="GH13" s="148"/>
      <c r="GI13" s="148"/>
      <c r="GJ13" s="148"/>
      <c r="GK13" s="148"/>
      <c r="GL13" s="148"/>
      <c r="GM13" s="148"/>
      <c r="GN13" s="148"/>
      <c r="GO13" s="148"/>
      <c r="GP13" s="148"/>
      <c r="GQ13" s="148"/>
      <c r="GR13" s="148"/>
      <c r="GS13" s="148"/>
      <c r="GT13" s="148"/>
      <c r="GU13" s="148"/>
      <c r="GV13" s="148"/>
      <c r="GW13" s="148"/>
      <c r="GX13" s="148"/>
      <c r="GY13" s="148"/>
      <c r="GZ13" s="148"/>
      <c r="HA13" s="148"/>
      <c r="HB13" s="148"/>
      <c r="HC13" s="148"/>
      <c r="HD13" s="148"/>
      <c r="HE13" s="148"/>
      <c r="HF13" s="148"/>
      <c r="HG13" s="148"/>
      <c r="HH13" s="148"/>
      <c r="HI13" s="148"/>
      <c r="HJ13" s="148"/>
      <c r="HK13" s="148"/>
      <c r="HL13" s="148"/>
      <c r="HM13" s="148"/>
      <c r="HN13" s="148"/>
      <c r="HO13" s="148"/>
      <c r="HP13" s="148"/>
      <c r="HQ13" s="148"/>
      <c r="HR13" s="148"/>
      <c r="HS13" s="148"/>
      <c r="HT13" s="148"/>
      <c r="HU13" s="148"/>
      <c r="HV13" s="148"/>
      <c r="HW13" s="148"/>
      <c r="HX13" s="148"/>
      <c r="HY13" s="148"/>
      <c r="HZ13" s="148"/>
      <c r="IA13" s="148"/>
      <c r="IB13" s="148"/>
      <c r="IC13" s="148"/>
      <c r="ID13" s="148"/>
      <c r="IE13" s="148"/>
      <c r="IF13" s="148"/>
      <c r="IG13" s="148"/>
      <c r="IH13" s="148"/>
      <c r="II13" s="148"/>
      <c r="IJ13" s="148"/>
      <c r="IK13" s="148"/>
      <c r="IL13" s="148"/>
      <c r="IM13" s="148"/>
      <c r="IN13" s="148"/>
      <c r="IO13" s="148"/>
      <c r="IP13" s="148"/>
      <c r="IQ13" s="148"/>
      <c r="IR13" s="148"/>
      <c r="IS13" s="148"/>
      <c r="IT13" s="148"/>
      <c r="IU13" s="148"/>
      <c r="IV13" s="148"/>
      <c r="IW13" s="148"/>
      <c r="IX13" s="148"/>
      <c r="IY13" s="148"/>
      <c r="IZ13" s="148"/>
      <c r="JA13" s="148"/>
      <c r="JB13" s="148"/>
    </row>
    <row r="14" spans="1:262" s="272" customFormat="1" x14ac:dyDescent="0.35">
      <c r="A14" s="1423">
        <v>3</v>
      </c>
      <c r="B14" s="1557"/>
      <c r="C14" s="1558"/>
      <c r="D14" s="1661" t="s">
        <v>757</v>
      </c>
      <c r="E14" s="1560"/>
      <c r="F14" s="1561"/>
      <c r="G14" s="1562"/>
      <c r="H14" s="1563"/>
      <c r="I14" s="1580"/>
      <c r="J14" s="1574"/>
      <c r="K14" s="1574"/>
      <c r="L14" s="1574"/>
      <c r="M14" s="1574"/>
      <c r="N14" s="1574"/>
      <c r="O14" s="1574"/>
      <c r="P14" s="1576"/>
      <c r="Q14" s="1567"/>
      <c r="R14" s="148"/>
      <c r="S14" s="148"/>
      <c r="T14" s="148"/>
      <c r="U14" s="148"/>
      <c r="V14" s="148"/>
      <c r="W14" s="148"/>
      <c r="X14" s="148"/>
      <c r="Y14" s="148"/>
      <c r="Z14" s="148"/>
      <c r="AA14" s="148"/>
      <c r="AB14" s="148"/>
      <c r="AC14" s="148"/>
      <c r="AD14" s="148"/>
      <c r="AE14" s="148"/>
      <c r="AF14" s="148"/>
      <c r="AG14" s="148"/>
      <c r="AH14" s="148"/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48"/>
      <c r="BB14" s="148"/>
      <c r="BC14" s="148"/>
      <c r="BD14" s="148"/>
      <c r="BE14" s="148"/>
      <c r="BF14" s="148"/>
      <c r="BG14" s="148"/>
      <c r="BH14" s="148"/>
      <c r="BI14" s="148"/>
      <c r="BJ14" s="148"/>
      <c r="BK14" s="148"/>
      <c r="BL14" s="148"/>
      <c r="BM14" s="148"/>
      <c r="BN14" s="148"/>
      <c r="BO14" s="148"/>
      <c r="BP14" s="148"/>
      <c r="BQ14" s="148"/>
      <c r="BR14" s="148"/>
      <c r="BS14" s="148"/>
      <c r="BT14" s="148"/>
      <c r="BU14" s="148"/>
      <c r="BV14" s="148"/>
      <c r="BW14" s="148"/>
      <c r="BX14" s="148"/>
      <c r="BY14" s="148"/>
      <c r="BZ14" s="148"/>
      <c r="CA14" s="148"/>
      <c r="CB14" s="148"/>
      <c r="CC14" s="148"/>
      <c r="CD14" s="148"/>
      <c r="CE14" s="148"/>
      <c r="CF14" s="148"/>
      <c r="CG14" s="148"/>
      <c r="CH14" s="148"/>
      <c r="CI14" s="148"/>
      <c r="CJ14" s="148"/>
      <c r="CK14" s="148"/>
      <c r="CL14" s="148"/>
      <c r="CM14" s="148"/>
      <c r="CN14" s="148"/>
      <c r="CO14" s="148"/>
      <c r="CP14" s="148"/>
      <c r="CQ14" s="148"/>
      <c r="CR14" s="148"/>
      <c r="CS14" s="148"/>
      <c r="CT14" s="148"/>
      <c r="CU14" s="148"/>
      <c r="CV14" s="148"/>
      <c r="CW14" s="148"/>
      <c r="CX14" s="148"/>
      <c r="CY14" s="148"/>
      <c r="CZ14" s="148"/>
      <c r="DA14" s="148"/>
      <c r="DB14" s="148"/>
      <c r="DC14" s="148"/>
      <c r="DD14" s="148"/>
      <c r="DE14" s="148"/>
      <c r="DF14" s="148"/>
      <c r="DG14" s="148"/>
      <c r="DH14" s="148"/>
      <c r="DI14" s="148"/>
      <c r="DJ14" s="148"/>
      <c r="DK14" s="148"/>
      <c r="DL14" s="148"/>
      <c r="DM14" s="148"/>
      <c r="DN14" s="148"/>
      <c r="DO14" s="148"/>
      <c r="DP14" s="148"/>
      <c r="DQ14" s="148"/>
      <c r="DR14" s="148"/>
      <c r="DS14" s="148"/>
      <c r="DT14" s="148"/>
      <c r="DU14" s="148"/>
      <c r="DV14" s="148"/>
      <c r="DW14" s="148"/>
      <c r="DX14" s="148"/>
      <c r="DY14" s="148"/>
      <c r="DZ14" s="148"/>
      <c r="EA14" s="148"/>
      <c r="EB14" s="148"/>
      <c r="EC14" s="148"/>
      <c r="ED14" s="148"/>
      <c r="EE14" s="148"/>
      <c r="EF14" s="148"/>
      <c r="EG14" s="148"/>
      <c r="EH14" s="148"/>
      <c r="EI14" s="148"/>
      <c r="EJ14" s="148"/>
      <c r="EK14" s="148"/>
      <c r="EL14" s="148"/>
      <c r="EM14" s="148"/>
      <c r="EN14" s="148"/>
      <c r="EO14" s="148"/>
      <c r="EP14" s="148"/>
      <c r="EQ14" s="148"/>
      <c r="ER14" s="148"/>
      <c r="ES14" s="148"/>
      <c r="ET14" s="148"/>
      <c r="EU14" s="148"/>
      <c r="EV14" s="148"/>
      <c r="EW14" s="148"/>
      <c r="EX14" s="148"/>
      <c r="EY14" s="148"/>
      <c r="EZ14" s="148"/>
      <c r="FA14" s="148"/>
      <c r="FB14" s="148"/>
      <c r="FC14" s="148"/>
      <c r="FD14" s="148"/>
      <c r="FE14" s="148"/>
      <c r="FF14" s="148"/>
      <c r="FG14" s="148"/>
      <c r="FH14" s="148"/>
      <c r="FI14" s="148"/>
      <c r="FJ14" s="148"/>
      <c r="FK14" s="148"/>
      <c r="FL14" s="148"/>
      <c r="FM14" s="148"/>
      <c r="FN14" s="148"/>
      <c r="FO14" s="148"/>
      <c r="FP14" s="148"/>
      <c r="FQ14" s="148"/>
      <c r="FR14" s="148"/>
      <c r="FS14" s="148"/>
      <c r="FT14" s="148"/>
      <c r="FU14" s="148"/>
      <c r="FV14" s="148"/>
      <c r="FW14" s="148"/>
      <c r="FX14" s="148"/>
      <c r="FY14" s="148"/>
      <c r="FZ14" s="148"/>
      <c r="GA14" s="148"/>
      <c r="GB14" s="148"/>
      <c r="GC14" s="148"/>
      <c r="GD14" s="148"/>
      <c r="GE14" s="148"/>
      <c r="GF14" s="148"/>
      <c r="GG14" s="148"/>
      <c r="GH14" s="148"/>
      <c r="GI14" s="148"/>
      <c r="GJ14" s="148"/>
      <c r="GK14" s="148"/>
      <c r="GL14" s="148"/>
      <c r="GM14" s="148"/>
      <c r="GN14" s="148"/>
      <c r="GO14" s="148"/>
      <c r="GP14" s="148"/>
      <c r="GQ14" s="148"/>
      <c r="GR14" s="148"/>
      <c r="GS14" s="148"/>
      <c r="GT14" s="148"/>
      <c r="GU14" s="148"/>
      <c r="GV14" s="148"/>
      <c r="GW14" s="148"/>
      <c r="GX14" s="148"/>
      <c r="GY14" s="148"/>
      <c r="GZ14" s="148"/>
      <c r="HA14" s="148"/>
      <c r="HB14" s="148"/>
      <c r="HC14" s="148"/>
      <c r="HD14" s="148"/>
      <c r="HE14" s="148"/>
      <c r="HF14" s="148"/>
      <c r="HG14" s="148"/>
      <c r="HH14" s="148"/>
      <c r="HI14" s="148"/>
      <c r="HJ14" s="148"/>
      <c r="HK14" s="148"/>
      <c r="HL14" s="148"/>
      <c r="HM14" s="148"/>
      <c r="HN14" s="148"/>
      <c r="HO14" s="148"/>
      <c r="HP14" s="148"/>
      <c r="HQ14" s="148"/>
      <c r="HR14" s="148"/>
      <c r="HS14" s="148"/>
      <c r="HT14" s="148"/>
      <c r="HU14" s="148"/>
      <c r="HV14" s="148"/>
      <c r="HW14" s="148"/>
      <c r="HX14" s="148"/>
      <c r="HY14" s="148"/>
      <c r="HZ14" s="148"/>
      <c r="IA14" s="148"/>
      <c r="IB14" s="148"/>
      <c r="IC14" s="148"/>
      <c r="ID14" s="148"/>
      <c r="IE14" s="148"/>
      <c r="IF14" s="148"/>
      <c r="IG14" s="148"/>
      <c r="IH14" s="148"/>
      <c r="II14" s="148"/>
      <c r="IJ14" s="148"/>
      <c r="IK14" s="148"/>
      <c r="IL14" s="148"/>
      <c r="IM14" s="148"/>
      <c r="IN14" s="148"/>
      <c r="IO14" s="148"/>
      <c r="IP14" s="148"/>
      <c r="IQ14" s="148"/>
      <c r="IR14" s="148"/>
      <c r="IS14" s="148"/>
      <c r="IT14" s="148"/>
      <c r="IU14" s="148"/>
      <c r="IV14" s="148"/>
      <c r="IW14" s="148"/>
      <c r="IX14" s="148"/>
      <c r="IY14" s="148"/>
      <c r="IZ14" s="148"/>
      <c r="JA14" s="148"/>
      <c r="JB14" s="148"/>
    </row>
    <row r="15" spans="1:262" s="337" customFormat="1" x14ac:dyDescent="0.35">
      <c r="A15" s="1423">
        <v>4</v>
      </c>
      <c r="B15" s="1568"/>
      <c r="C15" s="1558"/>
      <c r="D15" s="1570" t="s">
        <v>311</v>
      </c>
      <c r="E15" s="1560">
        <f>F15+G15+P18+2261</f>
        <v>335640</v>
      </c>
      <c r="F15" s="1662"/>
      <c r="G15" s="1562">
        <f>50667+10996+4445+8177+635-1891</f>
        <v>73029</v>
      </c>
      <c r="H15" s="1642"/>
      <c r="I15" s="1571">
        <v>1000</v>
      </c>
      <c r="J15" s="1572">
        <v>500</v>
      </c>
      <c r="K15" s="1572">
        <f>320196-4230-1500</f>
        <v>314466</v>
      </c>
      <c r="L15" s="1572"/>
      <c r="M15" s="1565"/>
      <c r="N15" s="1565"/>
      <c r="O15" s="1572"/>
      <c r="P15" s="1566">
        <f>SUM(I15:O15)</f>
        <v>315966</v>
      </c>
      <c r="Q15" s="1573"/>
    </row>
    <row r="16" spans="1:262" s="337" customFormat="1" x14ac:dyDescent="0.35">
      <c r="A16" s="1423">
        <v>5</v>
      </c>
      <c r="B16" s="1568"/>
      <c r="C16" s="1558"/>
      <c r="D16" s="1163" t="s">
        <v>1064</v>
      </c>
      <c r="E16" s="1560"/>
      <c r="F16" s="1662"/>
      <c r="G16" s="1562"/>
      <c r="H16" s="1642"/>
      <c r="I16" s="1577">
        <v>1000</v>
      </c>
      <c r="J16" s="1575">
        <v>500</v>
      </c>
      <c r="K16" s="1575">
        <v>303872</v>
      </c>
      <c r="L16" s="1575"/>
      <c r="M16" s="1574"/>
      <c r="N16" s="1574"/>
      <c r="O16" s="1575"/>
      <c r="P16" s="1576">
        <v>305372</v>
      </c>
      <c r="Q16" s="1573"/>
    </row>
    <row r="17" spans="1:262" s="337" customFormat="1" x14ac:dyDescent="0.35">
      <c r="A17" s="1423">
        <v>6</v>
      </c>
      <c r="B17" s="1568"/>
      <c r="C17" s="1558"/>
      <c r="D17" s="1174" t="s">
        <v>1012</v>
      </c>
      <c r="E17" s="1560"/>
      <c r="F17" s="1662"/>
      <c r="G17" s="1562"/>
      <c r="H17" s="1642"/>
      <c r="I17" s="1580"/>
      <c r="J17" s="1574"/>
      <c r="K17" s="1581">
        <v>-45022</v>
      </c>
      <c r="L17" s="1575"/>
      <c r="M17" s="1574"/>
      <c r="N17" s="1574"/>
      <c r="O17" s="1575"/>
      <c r="P17" s="1599">
        <f>SUM(I17:O17)</f>
        <v>-45022</v>
      </c>
      <c r="Q17" s="1573"/>
    </row>
    <row r="18" spans="1:262" s="337" customFormat="1" x14ac:dyDescent="0.35">
      <c r="A18" s="1423">
        <v>7</v>
      </c>
      <c r="B18" s="1568"/>
      <c r="C18" s="1558"/>
      <c r="D18" s="1163" t="s">
        <v>1116</v>
      </c>
      <c r="E18" s="1560"/>
      <c r="F18" s="1662"/>
      <c r="G18" s="1562"/>
      <c r="H18" s="1642"/>
      <c r="I18" s="1577">
        <f>SUM(I16:I17)</f>
        <v>1000</v>
      </c>
      <c r="J18" s="1577">
        <f t="shared" ref="J18:K18" si="0">SUM(J16:J17)</f>
        <v>500</v>
      </c>
      <c r="K18" s="1577">
        <f t="shared" si="0"/>
        <v>258850</v>
      </c>
      <c r="L18" s="1575"/>
      <c r="M18" s="1574"/>
      <c r="N18" s="1574"/>
      <c r="O18" s="1575"/>
      <c r="P18" s="1576">
        <f>SUM(P16:P17)</f>
        <v>260350</v>
      </c>
      <c r="Q18" s="1573"/>
    </row>
    <row r="19" spans="1:262" s="337" customFormat="1" x14ac:dyDescent="0.35">
      <c r="A19" s="1423">
        <v>8</v>
      </c>
      <c r="B19" s="1568"/>
      <c r="C19" s="1558"/>
      <c r="D19" s="1661" t="s">
        <v>758</v>
      </c>
      <c r="E19" s="1560"/>
      <c r="F19" s="1662"/>
      <c r="G19" s="1562"/>
      <c r="H19" s="1642"/>
      <c r="I19" s="1571"/>
      <c r="J19" s="1572"/>
      <c r="K19" s="1565"/>
      <c r="L19" s="1572"/>
      <c r="M19" s="1565"/>
      <c r="N19" s="1565"/>
      <c r="O19" s="1572"/>
      <c r="P19" s="1566"/>
      <c r="Q19" s="1573"/>
    </row>
    <row r="20" spans="1:262" s="337" customFormat="1" x14ac:dyDescent="0.35">
      <c r="A20" s="1423">
        <v>9</v>
      </c>
      <c r="B20" s="1568"/>
      <c r="C20" s="1558"/>
      <c r="D20" s="1559" t="s">
        <v>847</v>
      </c>
      <c r="E20" s="1560"/>
      <c r="F20" s="1662"/>
      <c r="G20" s="1562"/>
      <c r="H20" s="1642"/>
      <c r="I20" s="1571"/>
      <c r="J20" s="1572"/>
      <c r="K20" s="1565"/>
      <c r="L20" s="1572"/>
      <c r="M20" s="1565"/>
      <c r="N20" s="1565"/>
      <c r="O20" s="1572"/>
      <c r="P20" s="1566"/>
      <c r="Q20" s="1573"/>
    </row>
    <row r="21" spans="1:262" s="337" customFormat="1" x14ac:dyDescent="0.35">
      <c r="A21" s="1423">
        <v>10</v>
      </c>
      <c r="B21" s="1568"/>
      <c r="C21" s="1558"/>
      <c r="D21" s="1570" t="s">
        <v>311</v>
      </c>
      <c r="E21" s="1560">
        <f>F21+G21+P24</f>
        <v>0</v>
      </c>
      <c r="F21" s="1662"/>
      <c r="G21" s="1562"/>
      <c r="H21" s="1642"/>
      <c r="I21" s="1571"/>
      <c r="J21" s="1572"/>
      <c r="K21" s="1565"/>
      <c r="L21" s="1572"/>
      <c r="M21" s="1565"/>
      <c r="N21" s="1572">
        <v>68500</v>
      </c>
      <c r="O21" s="1572"/>
      <c r="P21" s="1566">
        <f>SUM(I21:O21)</f>
        <v>68500</v>
      </c>
      <c r="Q21" s="1573"/>
    </row>
    <row r="22" spans="1:262" s="337" customFormat="1" x14ac:dyDescent="0.35">
      <c r="A22" s="1423">
        <v>11</v>
      </c>
      <c r="B22" s="1568"/>
      <c r="C22" s="1558"/>
      <c r="D22" s="1163" t="s">
        <v>1064</v>
      </c>
      <c r="E22" s="1560"/>
      <c r="F22" s="1662"/>
      <c r="G22" s="1562"/>
      <c r="H22" s="1642"/>
      <c r="I22" s="1571"/>
      <c r="J22" s="1572"/>
      <c r="K22" s="1565"/>
      <c r="L22" s="1572"/>
      <c r="M22" s="1565"/>
      <c r="N22" s="1575">
        <v>0</v>
      </c>
      <c r="O22" s="1575"/>
      <c r="P22" s="1576">
        <f>SUM(I22:O22)</f>
        <v>0</v>
      </c>
      <c r="Q22" s="1573"/>
    </row>
    <row r="23" spans="1:262" s="337" customFormat="1" x14ac:dyDescent="0.35">
      <c r="A23" s="1423">
        <v>12</v>
      </c>
      <c r="B23" s="1568"/>
      <c r="C23" s="1558"/>
      <c r="D23" s="1174" t="s">
        <v>1012</v>
      </c>
      <c r="E23" s="1560"/>
      <c r="F23" s="1662"/>
      <c r="G23" s="1562"/>
      <c r="H23" s="1642"/>
      <c r="I23" s="1577"/>
      <c r="J23" s="1575"/>
      <c r="K23" s="1574"/>
      <c r="L23" s="1575"/>
      <c r="M23" s="1574"/>
      <c r="N23" s="1581"/>
      <c r="O23" s="1575"/>
      <c r="P23" s="1599">
        <f t="shared" ref="P23:P24" si="1">SUM(I23:O23)</f>
        <v>0</v>
      </c>
      <c r="Q23" s="1573"/>
    </row>
    <row r="24" spans="1:262" s="337" customFormat="1" x14ac:dyDescent="0.35">
      <c r="A24" s="1423">
        <v>13</v>
      </c>
      <c r="B24" s="1568"/>
      <c r="C24" s="1558"/>
      <c r="D24" s="1163" t="s">
        <v>1116</v>
      </c>
      <c r="E24" s="1560"/>
      <c r="F24" s="1662"/>
      <c r="G24" s="1562"/>
      <c r="H24" s="1642"/>
      <c r="I24" s="1577"/>
      <c r="J24" s="1575"/>
      <c r="K24" s="1574"/>
      <c r="L24" s="1575"/>
      <c r="M24" s="1574"/>
      <c r="N24" s="1575">
        <f>SUM(N22:N23)</f>
        <v>0</v>
      </c>
      <c r="O24" s="1575"/>
      <c r="P24" s="1576">
        <f t="shared" si="1"/>
        <v>0</v>
      </c>
      <c r="Q24" s="1573"/>
    </row>
    <row r="25" spans="1:262" s="337" customFormat="1" x14ac:dyDescent="0.35">
      <c r="A25" s="1423">
        <v>14</v>
      </c>
      <c r="B25" s="1568"/>
      <c r="C25" s="1558"/>
      <c r="D25" s="1559" t="s">
        <v>755</v>
      </c>
      <c r="E25" s="1560"/>
      <c r="F25" s="1662"/>
      <c r="G25" s="1562"/>
      <c r="H25" s="1642"/>
      <c r="I25" s="1571"/>
      <c r="J25" s="1572"/>
      <c r="K25" s="1565"/>
      <c r="L25" s="1572"/>
      <c r="M25" s="1565"/>
      <c r="N25" s="1565"/>
      <c r="O25" s="1572"/>
      <c r="P25" s="1566"/>
      <c r="Q25" s="1573"/>
    </row>
    <row r="26" spans="1:262" s="337" customFormat="1" x14ac:dyDescent="0.35">
      <c r="A26" s="1423">
        <v>15</v>
      </c>
      <c r="B26" s="1568"/>
      <c r="C26" s="1558"/>
      <c r="D26" s="1570" t="s">
        <v>311</v>
      </c>
      <c r="E26" s="1560">
        <f>F26+G26+P29</f>
        <v>0</v>
      </c>
      <c r="F26" s="1662"/>
      <c r="G26" s="1562"/>
      <c r="H26" s="1642"/>
      <c r="I26" s="1571"/>
      <c r="J26" s="1572"/>
      <c r="K26" s="1565"/>
      <c r="L26" s="1572"/>
      <c r="M26" s="1572">
        <v>38500</v>
      </c>
      <c r="N26" s="1565"/>
      <c r="O26" s="1572"/>
      <c r="P26" s="1566">
        <f>SUM(I26:O26)</f>
        <v>38500</v>
      </c>
      <c r="Q26" s="1573"/>
    </row>
    <row r="27" spans="1:262" s="337" customFormat="1" x14ac:dyDescent="0.35">
      <c r="A27" s="1423">
        <v>16</v>
      </c>
      <c r="B27" s="1568"/>
      <c r="C27" s="1558"/>
      <c r="D27" s="1163" t="s">
        <v>1064</v>
      </c>
      <c r="E27" s="1560"/>
      <c r="F27" s="1662"/>
      <c r="G27" s="1562"/>
      <c r="H27" s="1642"/>
      <c r="I27" s="1571"/>
      <c r="J27" s="1572"/>
      <c r="K27" s="1565"/>
      <c r="L27" s="1572"/>
      <c r="M27" s="1575">
        <v>0</v>
      </c>
      <c r="N27" s="1574"/>
      <c r="O27" s="1575"/>
      <c r="P27" s="1576">
        <f>SUM(I27:O27)</f>
        <v>0</v>
      </c>
      <c r="Q27" s="1573"/>
    </row>
    <row r="28" spans="1:262" s="337" customFormat="1" x14ac:dyDescent="0.35">
      <c r="A28" s="1423">
        <v>17</v>
      </c>
      <c r="B28" s="1568"/>
      <c r="C28" s="1558"/>
      <c r="D28" s="1174" t="s">
        <v>1012</v>
      </c>
      <c r="E28" s="1560"/>
      <c r="F28" s="1662"/>
      <c r="G28" s="1562"/>
      <c r="H28" s="1642"/>
      <c r="I28" s="1577"/>
      <c r="J28" s="1575"/>
      <c r="K28" s="1574"/>
      <c r="L28" s="1575"/>
      <c r="M28" s="1581"/>
      <c r="N28" s="1574"/>
      <c r="O28" s="1575"/>
      <c r="P28" s="1599">
        <f t="shared" ref="P28:P69" si="2">SUM(I28:O28)</f>
        <v>0</v>
      </c>
      <c r="Q28" s="1573"/>
    </row>
    <row r="29" spans="1:262" s="337" customFormat="1" x14ac:dyDescent="0.35">
      <c r="A29" s="1423">
        <v>18</v>
      </c>
      <c r="B29" s="1568"/>
      <c r="C29" s="1558"/>
      <c r="D29" s="1163" t="s">
        <v>1116</v>
      </c>
      <c r="E29" s="1560"/>
      <c r="F29" s="1662"/>
      <c r="G29" s="1562"/>
      <c r="H29" s="1642"/>
      <c r="I29" s="1577"/>
      <c r="J29" s="1575"/>
      <c r="K29" s="1574"/>
      <c r="L29" s="1575"/>
      <c r="M29" s="1575">
        <f>SUM(M27:M28)</f>
        <v>0</v>
      </c>
      <c r="N29" s="1574"/>
      <c r="O29" s="1575"/>
      <c r="P29" s="1576">
        <f>SUM(I29:O29)</f>
        <v>0</v>
      </c>
      <c r="Q29" s="1573"/>
    </row>
    <row r="30" spans="1:262" s="272" customFormat="1" x14ac:dyDescent="0.35">
      <c r="A30" s="1423">
        <v>19</v>
      </c>
      <c r="B30" s="1557"/>
      <c r="C30" s="1558"/>
      <c r="D30" s="1559" t="s">
        <v>714</v>
      </c>
      <c r="E30" s="1560"/>
      <c r="F30" s="1561"/>
      <c r="G30" s="1562"/>
      <c r="H30" s="1563"/>
      <c r="I30" s="1580"/>
      <c r="J30" s="1574"/>
      <c r="K30" s="1574"/>
      <c r="L30" s="1574"/>
      <c r="M30" s="1574"/>
      <c r="N30" s="1574"/>
      <c r="O30" s="1574"/>
      <c r="P30" s="1576"/>
      <c r="Q30" s="1567"/>
      <c r="R30" s="148"/>
      <c r="S30" s="148"/>
      <c r="T30" s="148"/>
      <c r="U30" s="148"/>
      <c r="V30" s="148"/>
      <c r="W30" s="148"/>
      <c r="X30" s="148"/>
      <c r="Y30" s="148"/>
      <c r="Z30" s="148"/>
      <c r="AA30" s="148"/>
      <c r="AB30" s="148"/>
      <c r="AC30" s="148"/>
      <c r="AD30" s="148"/>
      <c r="AE30" s="148"/>
      <c r="AF30" s="148"/>
      <c r="AG30" s="148"/>
      <c r="AH30" s="148"/>
      <c r="AI30" s="148"/>
      <c r="AJ30" s="148"/>
      <c r="AK30" s="148"/>
      <c r="AL30" s="148"/>
      <c r="AM30" s="148"/>
      <c r="AN30" s="148"/>
      <c r="AO30" s="148"/>
      <c r="AP30" s="148"/>
      <c r="AQ30" s="148"/>
      <c r="AR30" s="148"/>
      <c r="AS30" s="148"/>
      <c r="AT30" s="148"/>
      <c r="AU30" s="148"/>
      <c r="AV30" s="148"/>
      <c r="AW30" s="148"/>
      <c r="AX30" s="148"/>
      <c r="AY30" s="148"/>
      <c r="AZ30" s="148"/>
      <c r="BA30" s="148"/>
      <c r="BB30" s="148"/>
      <c r="BC30" s="148"/>
      <c r="BD30" s="148"/>
      <c r="BE30" s="148"/>
      <c r="BF30" s="148"/>
      <c r="BG30" s="148"/>
      <c r="BH30" s="148"/>
      <c r="BI30" s="148"/>
      <c r="BJ30" s="148"/>
      <c r="BK30" s="148"/>
      <c r="BL30" s="148"/>
      <c r="BM30" s="148"/>
      <c r="BN30" s="148"/>
      <c r="BO30" s="148"/>
      <c r="BP30" s="148"/>
      <c r="BQ30" s="148"/>
      <c r="BR30" s="148"/>
      <c r="BS30" s="148"/>
      <c r="BT30" s="148"/>
      <c r="BU30" s="148"/>
      <c r="BV30" s="148"/>
      <c r="BW30" s="148"/>
      <c r="BX30" s="148"/>
      <c r="BY30" s="148"/>
      <c r="BZ30" s="148"/>
      <c r="CA30" s="148"/>
      <c r="CB30" s="148"/>
      <c r="CC30" s="148"/>
      <c r="CD30" s="148"/>
      <c r="CE30" s="148"/>
      <c r="CF30" s="148"/>
      <c r="CG30" s="148"/>
      <c r="CH30" s="148"/>
      <c r="CI30" s="148"/>
      <c r="CJ30" s="148"/>
      <c r="CK30" s="148"/>
      <c r="CL30" s="148"/>
      <c r="CM30" s="148"/>
      <c r="CN30" s="148"/>
      <c r="CO30" s="148"/>
      <c r="CP30" s="148"/>
      <c r="CQ30" s="148"/>
      <c r="CR30" s="148"/>
      <c r="CS30" s="148"/>
      <c r="CT30" s="148"/>
      <c r="CU30" s="148"/>
      <c r="CV30" s="148"/>
      <c r="CW30" s="148"/>
      <c r="CX30" s="148"/>
      <c r="CY30" s="148"/>
      <c r="CZ30" s="148"/>
      <c r="DA30" s="148"/>
      <c r="DB30" s="148"/>
      <c r="DC30" s="148"/>
      <c r="DD30" s="148"/>
      <c r="DE30" s="148"/>
      <c r="DF30" s="148"/>
      <c r="DG30" s="148"/>
      <c r="DH30" s="148"/>
      <c r="DI30" s="148"/>
      <c r="DJ30" s="148"/>
      <c r="DK30" s="148"/>
      <c r="DL30" s="148"/>
      <c r="DM30" s="148"/>
      <c r="DN30" s="148"/>
      <c r="DO30" s="148"/>
      <c r="DP30" s="148"/>
      <c r="DQ30" s="148"/>
      <c r="DR30" s="148"/>
      <c r="DS30" s="148"/>
      <c r="DT30" s="148"/>
      <c r="DU30" s="148"/>
      <c r="DV30" s="148"/>
      <c r="DW30" s="148"/>
      <c r="DX30" s="148"/>
      <c r="DY30" s="148"/>
      <c r="DZ30" s="148"/>
      <c r="EA30" s="148"/>
      <c r="EB30" s="148"/>
      <c r="EC30" s="148"/>
      <c r="ED30" s="148"/>
      <c r="EE30" s="148"/>
      <c r="EF30" s="148"/>
      <c r="EG30" s="148"/>
      <c r="EH30" s="148"/>
      <c r="EI30" s="148"/>
      <c r="EJ30" s="148"/>
      <c r="EK30" s="148"/>
      <c r="EL30" s="148"/>
      <c r="EM30" s="148"/>
      <c r="EN30" s="148"/>
      <c r="EO30" s="148"/>
      <c r="EP30" s="148"/>
      <c r="EQ30" s="148"/>
      <c r="ER30" s="148"/>
      <c r="ES30" s="148"/>
      <c r="ET30" s="148"/>
      <c r="EU30" s="148"/>
      <c r="EV30" s="148"/>
      <c r="EW30" s="148"/>
      <c r="EX30" s="148"/>
      <c r="EY30" s="148"/>
      <c r="EZ30" s="148"/>
      <c r="FA30" s="148"/>
      <c r="FB30" s="148"/>
      <c r="FC30" s="148"/>
      <c r="FD30" s="148"/>
      <c r="FE30" s="148"/>
      <c r="FF30" s="148"/>
      <c r="FG30" s="148"/>
      <c r="FH30" s="148"/>
      <c r="FI30" s="148"/>
      <c r="FJ30" s="148"/>
      <c r="FK30" s="148"/>
      <c r="FL30" s="148"/>
      <c r="FM30" s="148"/>
      <c r="FN30" s="148"/>
      <c r="FO30" s="148"/>
      <c r="FP30" s="148"/>
      <c r="FQ30" s="148"/>
      <c r="FR30" s="148"/>
      <c r="FS30" s="148"/>
      <c r="FT30" s="148"/>
      <c r="FU30" s="148"/>
      <c r="FV30" s="148"/>
      <c r="FW30" s="148"/>
      <c r="FX30" s="148"/>
      <c r="FY30" s="148"/>
      <c r="FZ30" s="148"/>
      <c r="GA30" s="148"/>
      <c r="GB30" s="148"/>
      <c r="GC30" s="148"/>
      <c r="GD30" s="148"/>
      <c r="GE30" s="148"/>
      <c r="GF30" s="148"/>
      <c r="GG30" s="148"/>
      <c r="GH30" s="148"/>
      <c r="GI30" s="148"/>
      <c r="GJ30" s="148"/>
      <c r="GK30" s="148"/>
      <c r="GL30" s="148"/>
      <c r="GM30" s="148"/>
      <c r="GN30" s="148"/>
      <c r="GO30" s="148"/>
      <c r="GP30" s="148"/>
      <c r="GQ30" s="148"/>
      <c r="GR30" s="148"/>
      <c r="GS30" s="148"/>
      <c r="GT30" s="148"/>
      <c r="GU30" s="148"/>
      <c r="GV30" s="148"/>
      <c r="GW30" s="148"/>
      <c r="GX30" s="148"/>
      <c r="GY30" s="148"/>
      <c r="GZ30" s="148"/>
      <c r="HA30" s="148"/>
      <c r="HB30" s="148"/>
      <c r="HC30" s="148"/>
      <c r="HD30" s="148"/>
      <c r="HE30" s="148"/>
      <c r="HF30" s="148"/>
      <c r="HG30" s="148"/>
      <c r="HH30" s="148"/>
      <c r="HI30" s="148"/>
      <c r="HJ30" s="148"/>
      <c r="HK30" s="148"/>
      <c r="HL30" s="148"/>
      <c r="HM30" s="148"/>
      <c r="HN30" s="148"/>
      <c r="HO30" s="148"/>
      <c r="HP30" s="148"/>
      <c r="HQ30" s="148"/>
      <c r="HR30" s="148"/>
      <c r="HS30" s="148"/>
      <c r="HT30" s="148"/>
      <c r="HU30" s="148"/>
      <c r="HV30" s="148"/>
      <c r="HW30" s="148"/>
      <c r="HX30" s="148"/>
      <c r="HY30" s="148"/>
      <c r="HZ30" s="148"/>
      <c r="IA30" s="148"/>
      <c r="IB30" s="148"/>
      <c r="IC30" s="148"/>
      <c r="ID30" s="148"/>
      <c r="IE30" s="148"/>
      <c r="IF30" s="148"/>
      <c r="IG30" s="148"/>
      <c r="IH30" s="148"/>
      <c r="II30" s="148"/>
      <c r="IJ30" s="148"/>
      <c r="IK30" s="148"/>
      <c r="IL30" s="148"/>
      <c r="IM30" s="148"/>
      <c r="IN30" s="148"/>
      <c r="IO30" s="148"/>
      <c r="IP30" s="148"/>
      <c r="IQ30" s="148"/>
      <c r="IR30" s="148"/>
      <c r="IS30" s="148"/>
      <c r="IT30" s="148"/>
      <c r="IU30" s="148"/>
      <c r="IV30" s="148"/>
      <c r="IW30" s="148"/>
      <c r="IX30" s="148"/>
      <c r="IY30" s="148"/>
      <c r="IZ30" s="148"/>
      <c r="JA30" s="148"/>
      <c r="JB30" s="148"/>
    </row>
    <row r="31" spans="1:262" s="337" customFormat="1" x14ac:dyDescent="0.35">
      <c r="A31" s="1423">
        <v>20</v>
      </c>
      <c r="B31" s="1568"/>
      <c r="C31" s="1663"/>
      <c r="D31" s="1570" t="s">
        <v>311</v>
      </c>
      <c r="E31" s="1601">
        <f>F31+G31+P34</f>
        <v>6121</v>
      </c>
      <c r="F31" s="1664"/>
      <c r="G31" s="1665">
        <v>1891</v>
      </c>
      <c r="H31" s="1666"/>
      <c r="I31" s="1667"/>
      <c r="J31" s="1668"/>
      <c r="K31" s="1668">
        <v>4230</v>
      </c>
      <c r="L31" s="1668"/>
      <c r="M31" s="1668"/>
      <c r="N31" s="1668"/>
      <c r="O31" s="1668"/>
      <c r="P31" s="1669">
        <f>SUM(I31:O31)</f>
        <v>4230</v>
      </c>
      <c r="Q31" s="1670"/>
    </row>
    <row r="32" spans="1:262" s="337" customFormat="1" x14ac:dyDescent="0.35">
      <c r="A32" s="1423">
        <v>21</v>
      </c>
      <c r="B32" s="1568"/>
      <c r="C32" s="1663"/>
      <c r="D32" s="1163" t="s">
        <v>1064</v>
      </c>
      <c r="E32" s="1601"/>
      <c r="F32" s="1664"/>
      <c r="G32" s="1665"/>
      <c r="H32" s="1666"/>
      <c r="I32" s="1667"/>
      <c r="J32" s="1667"/>
      <c r="K32" s="1671">
        <v>4230</v>
      </c>
      <c r="L32" s="1671"/>
      <c r="M32" s="1671"/>
      <c r="N32" s="1671"/>
      <c r="O32" s="1671"/>
      <c r="P32" s="1672">
        <f>SUM(I32:O32)</f>
        <v>4230</v>
      </c>
      <c r="Q32" s="1670"/>
    </row>
    <row r="33" spans="1:17" s="337" customFormat="1" x14ac:dyDescent="0.35">
      <c r="A33" s="1423">
        <v>22</v>
      </c>
      <c r="B33" s="1568"/>
      <c r="C33" s="1558"/>
      <c r="D33" s="1174" t="s">
        <v>1012</v>
      </c>
      <c r="E33" s="1560"/>
      <c r="F33" s="1662"/>
      <c r="G33" s="1562"/>
      <c r="H33" s="1642"/>
      <c r="I33" s="1577"/>
      <c r="J33" s="1577"/>
      <c r="K33" s="1580"/>
      <c r="L33" s="1577"/>
      <c r="M33" s="1577"/>
      <c r="N33" s="1577"/>
      <c r="O33" s="1577"/>
      <c r="P33" s="1576">
        <f>SUM(I33:O33)</f>
        <v>0</v>
      </c>
      <c r="Q33" s="1573"/>
    </row>
    <row r="34" spans="1:17" s="337" customFormat="1" x14ac:dyDescent="0.35">
      <c r="A34" s="1423">
        <v>23</v>
      </c>
      <c r="B34" s="1568"/>
      <c r="C34" s="1673"/>
      <c r="D34" s="1163" t="s">
        <v>1116</v>
      </c>
      <c r="E34" s="1674"/>
      <c r="F34" s="1675"/>
      <c r="G34" s="1676"/>
      <c r="H34" s="1677"/>
      <c r="I34" s="1678"/>
      <c r="J34" s="1678"/>
      <c r="K34" s="1678">
        <f>SUM(K32:K33)</f>
        <v>4230</v>
      </c>
      <c r="L34" s="1678"/>
      <c r="M34" s="1678"/>
      <c r="N34" s="1678"/>
      <c r="O34" s="1678"/>
      <c r="P34" s="1576">
        <f>SUM(I34:O34)</f>
        <v>4230</v>
      </c>
      <c r="Q34" s="1679"/>
    </row>
    <row r="35" spans="1:17" s="337" customFormat="1" x14ac:dyDescent="0.35">
      <c r="A35" s="1423"/>
      <c r="B35" s="1568"/>
      <c r="C35" s="1558"/>
      <c r="D35" s="1559" t="s">
        <v>1223</v>
      </c>
      <c r="E35" s="1560"/>
      <c r="F35" s="1662"/>
      <c r="G35" s="1562"/>
      <c r="H35" s="1642"/>
      <c r="I35" s="1577"/>
      <c r="J35" s="1577"/>
      <c r="K35" s="1577"/>
      <c r="L35" s="1577"/>
      <c r="M35" s="1577"/>
      <c r="N35" s="1577"/>
      <c r="O35" s="1577"/>
      <c r="P35" s="1576"/>
      <c r="Q35" s="1573"/>
    </row>
    <row r="36" spans="1:17" s="337" customFormat="1" x14ac:dyDescent="0.35">
      <c r="A36" s="1423"/>
      <c r="B36" s="1568"/>
      <c r="C36" s="1673"/>
      <c r="D36" s="1174" t="s">
        <v>1012</v>
      </c>
      <c r="E36" s="1560"/>
      <c r="F36" s="1662"/>
      <c r="G36" s="1562"/>
      <c r="H36" s="1642"/>
      <c r="I36" s="1577"/>
      <c r="J36" s="1577"/>
      <c r="K36" s="1577"/>
      <c r="L36" s="1577"/>
      <c r="M36" s="1596">
        <v>45022</v>
      </c>
      <c r="N36" s="1577"/>
      <c r="O36" s="1577"/>
      <c r="P36" s="1599">
        <f>SUM(I36:O36)</f>
        <v>45022</v>
      </c>
      <c r="Q36" s="1573"/>
    </row>
    <row r="37" spans="1:17" s="337" customFormat="1" x14ac:dyDescent="0.35">
      <c r="A37" s="1423"/>
      <c r="B37" s="1568"/>
      <c r="C37" s="1558"/>
      <c r="D37" s="1163" t="s">
        <v>1116</v>
      </c>
      <c r="E37" s="1674"/>
      <c r="F37" s="1675"/>
      <c r="G37" s="1676"/>
      <c r="H37" s="1677"/>
      <c r="I37" s="1678"/>
      <c r="J37" s="1678"/>
      <c r="K37" s="1678"/>
      <c r="L37" s="1678"/>
      <c r="M37" s="1678">
        <f>SUM(M36)</f>
        <v>45022</v>
      </c>
      <c r="N37" s="1678"/>
      <c r="O37" s="1678"/>
      <c r="P37" s="1576">
        <f>SUM(I37:O37)</f>
        <v>45022</v>
      </c>
      <c r="Q37" s="1679"/>
    </row>
    <row r="38" spans="1:17" s="337" customFormat="1" x14ac:dyDescent="0.35">
      <c r="A38" s="1423">
        <v>24</v>
      </c>
      <c r="B38" s="1568"/>
      <c r="C38" s="1558"/>
      <c r="D38" s="1559" t="s">
        <v>991</v>
      </c>
      <c r="E38" s="1560"/>
      <c r="F38" s="1662"/>
      <c r="G38" s="1562"/>
      <c r="H38" s="1642"/>
      <c r="I38" s="1577"/>
      <c r="J38" s="1575"/>
      <c r="K38" s="1574"/>
      <c r="L38" s="1575"/>
      <c r="M38" s="1574"/>
      <c r="N38" s="1574"/>
      <c r="O38" s="1575"/>
      <c r="P38" s="1576"/>
      <c r="Q38" s="1573"/>
    </row>
    <row r="39" spans="1:17" s="337" customFormat="1" x14ac:dyDescent="0.35">
      <c r="A39" s="1423">
        <v>25</v>
      </c>
      <c r="B39" s="1568"/>
      <c r="C39" s="1558"/>
      <c r="D39" s="1163" t="s">
        <v>1064</v>
      </c>
      <c r="E39" s="1601">
        <f>F39+G39+P41</f>
        <v>86233</v>
      </c>
      <c r="F39" s="1662"/>
      <c r="G39" s="1562"/>
      <c r="H39" s="1642"/>
      <c r="I39" s="1577"/>
      <c r="J39" s="1575"/>
      <c r="K39" s="1574"/>
      <c r="L39" s="1575"/>
      <c r="M39" s="1575">
        <v>86233</v>
      </c>
      <c r="N39" s="1574"/>
      <c r="O39" s="1575"/>
      <c r="P39" s="1672">
        <f>SUM(I39:O39)</f>
        <v>86233</v>
      </c>
      <c r="Q39" s="1573"/>
    </row>
    <row r="40" spans="1:17" s="337" customFormat="1" x14ac:dyDescent="0.35">
      <c r="A40" s="1423">
        <v>26</v>
      </c>
      <c r="B40" s="1568"/>
      <c r="C40" s="1558"/>
      <c r="D40" s="1174" t="s">
        <v>1012</v>
      </c>
      <c r="E40" s="1560"/>
      <c r="F40" s="1662"/>
      <c r="G40" s="1562"/>
      <c r="H40" s="1642"/>
      <c r="I40" s="1577"/>
      <c r="J40" s="1575"/>
      <c r="K40" s="1574"/>
      <c r="L40" s="1575"/>
      <c r="M40" s="1581"/>
      <c r="N40" s="1574"/>
      <c r="O40" s="1575"/>
      <c r="P40" s="1599">
        <f t="shared" si="2"/>
        <v>0</v>
      </c>
      <c r="Q40" s="1573"/>
    </row>
    <row r="41" spans="1:17" s="337" customFormat="1" x14ac:dyDescent="0.35">
      <c r="A41" s="1423">
        <v>27</v>
      </c>
      <c r="B41" s="1568"/>
      <c r="C41" s="1558"/>
      <c r="D41" s="1163" t="s">
        <v>1116</v>
      </c>
      <c r="E41" s="1560"/>
      <c r="F41" s="1662"/>
      <c r="G41" s="1562"/>
      <c r="H41" s="1642"/>
      <c r="I41" s="1577"/>
      <c r="J41" s="1575"/>
      <c r="K41" s="1574"/>
      <c r="L41" s="1575"/>
      <c r="M41" s="1575">
        <f>SUM(M39:M40)</f>
        <v>86233</v>
      </c>
      <c r="N41" s="1574"/>
      <c r="O41" s="1575"/>
      <c r="P41" s="1576">
        <f t="shared" si="2"/>
        <v>86233</v>
      </c>
      <c r="Q41" s="1573"/>
    </row>
    <row r="42" spans="1:17" s="337" customFormat="1" x14ac:dyDescent="0.35">
      <c r="A42" s="1423">
        <v>28</v>
      </c>
      <c r="B42" s="1568"/>
      <c r="C42" s="1558"/>
      <c r="D42" s="1559" t="s">
        <v>992</v>
      </c>
      <c r="E42" s="1560"/>
      <c r="F42" s="1662"/>
      <c r="G42" s="1562"/>
      <c r="H42" s="1642"/>
      <c r="I42" s="1577"/>
      <c r="J42" s="1575"/>
      <c r="K42" s="1574"/>
      <c r="L42" s="1575"/>
      <c r="M42" s="1574"/>
      <c r="N42" s="1574"/>
      <c r="O42" s="1575"/>
      <c r="P42" s="1576"/>
      <c r="Q42" s="1573"/>
    </row>
    <row r="43" spans="1:17" s="337" customFormat="1" x14ac:dyDescent="0.35">
      <c r="A43" s="1423">
        <v>29</v>
      </c>
      <c r="B43" s="1568"/>
      <c r="C43" s="1558"/>
      <c r="D43" s="1163" t="s">
        <v>1064</v>
      </c>
      <c r="E43" s="1601">
        <f>F43+G43+P45</f>
        <v>4328</v>
      </c>
      <c r="F43" s="1662"/>
      <c r="G43" s="1562"/>
      <c r="H43" s="1642"/>
      <c r="I43" s="1577"/>
      <c r="J43" s="1575"/>
      <c r="K43" s="1575"/>
      <c r="L43" s="1575"/>
      <c r="M43" s="1575">
        <v>4328</v>
      </c>
      <c r="N43" s="1574"/>
      <c r="O43" s="1575"/>
      <c r="P43" s="1672">
        <f>SUM(I43:O43)</f>
        <v>4328</v>
      </c>
      <c r="Q43" s="1573"/>
    </row>
    <row r="44" spans="1:17" s="337" customFormat="1" x14ac:dyDescent="0.35">
      <c r="A44" s="1423">
        <v>30</v>
      </c>
      <c r="B44" s="1568"/>
      <c r="C44" s="1558"/>
      <c r="D44" s="1174" t="s">
        <v>1012</v>
      </c>
      <c r="E44" s="1560"/>
      <c r="F44" s="1662"/>
      <c r="G44" s="1562"/>
      <c r="H44" s="1642"/>
      <c r="I44" s="1577"/>
      <c r="J44" s="1575"/>
      <c r="K44" s="1581"/>
      <c r="L44" s="1575"/>
      <c r="M44" s="1581"/>
      <c r="N44" s="1574"/>
      <c r="O44" s="1575"/>
      <c r="P44" s="1599">
        <f t="shared" si="2"/>
        <v>0</v>
      </c>
      <c r="Q44" s="1573"/>
    </row>
    <row r="45" spans="1:17" s="337" customFormat="1" x14ac:dyDescent="0.35">
      <c r="A45" s="1423">
        <v>31</v>
      </c>
      <c r="B45" s="1568"/>
      <c r="C45" s="1558"/>
      <c r="D45" s="1163" t="s">
        <v>1116</v>
      </c>
      <c r="E45" s="1560"/>
      <c r="F45" s="1662"/>
      <c r="G45" s="1562"/>
      <c r="H45" s="1642"/>
      <c r="I45" s="1577"/>
      <c r="J45" s="1575"/>
      <c r="K45" s="1575"/>
      <c r="L45" s="1575"/>
      <c r="M45" s="1575">
        <f>SUM(M43:M44)</f>
        <v>4328</v>
      </c>
      <c r="N45" s="1574"/>
      <c r="O45" s="1575"/>
      <c r="P45" s="1576">
        <f t="shared" si="2"/>
        <v>4328</v>
      </c>
      <c r="Q45" s="1573"/>
    </row>
    <row r="46" spans="1:17" s="337" customFormat="1" x14ac:dyDescent="0.35">
      <c r="A46" s="1423">
        <v>32</v>
      </c>
      <c r="B46" s="1568"/>
      <c r="C46" s="1558"/>
      <c r="D46" s="1559" t="s">
        <v>993</v>
      </c>
      <c r="E46" s="1560"/>
      <c r="F46" s="1662"/>
      <c r="G46" s="1562"/>
      <c r="H46" s="1642"/>
      <c r="I46" s="1577"/>
      <c r="J46" s="1575"/>
      <c r="K46" s="1574"/>
      <c r="L46" s="1575"/>
      <c r="M46" s="1574"/>
      <c r="N46" s="1574"/>
      <c r="O46" s="1575"/>
      <c r="P46" s="1576"/>
      <c r="Q46" s="1573"/>
    </row>
    <row r="47" spans="1:17" s="337" customFormat="1" x14ac:dyDescent="0.35">
      <c r="A47" s="1423">
        <v>33</v>
      </c>
      <c r="B47" s="1568"/>
      <c r="C47" s="1558"/>
      <c r="D47" s="1163" t="s">
        <v>1064</v>
      </c>
      <c r="E47" s="1601">
        <f>F47+G47+P49</f>
        <v>3021</v>
      </c>
      <c r="F47" s="1662"/>
      <c r="G47" s="1562"/>
      <c r="H47" s="1642"/>
      <c r="I47" s="1577"/>
      <c r="J47" s="1575"/>
      <c r="K47" s="1575"/>
      <c r="L47" s="1575"/>
      <c r="M47" s="1575">
        <v>3021</v>
      </c>
      <c r="N47" s="1574"/>
      <c r="O47" s="1575"/>
      <c r="P47" s="1672">
        <f>SUM(I47:O47)</f>
        <v>3021</v>
      </c>
      <c r="Q47" s="1573"/>
    </row>
    <row r="48" spans="1:17" s="337" customFormat="1" x14ac:dyDescent="0.35">
      <c r="A48" s="1423">
        <v>34</v>
      </c>
      <c r="B48" s="1568"/>
      <c r="C48" s="1558"/>
      <c r="D48" s="1174" t="s">
        <v>990</v>
      </c>
      <c r="E48" s="1560"/>
      <c r="F48" s="1662"/>
      <c r="G48" s="1562"/>
      <c r="H48" s="1642"/>
      <c r="I48" s="1577"/>
      <c r="J48" s="1575"/>
      <c r="K48" s="1581"/>
      <c r="L48" s="1575"/>
      <c r="M48" s="1581"/>
      <c r="N48" s="1574"/>
      <c r="O48" s="1575"/>
      <c r="P48" s="1599">
        <f t="shared" si="2"/>
        <v>0</v>
      </c>
      <c r="Q48" s="1573"/>
    </row>
    <row r="49" spans="1:17" s="337" customFormat="1" x14ac:dyDescent="0.35">
      <c r="A49" s="1423">
        <v>35</v>
      </c>
      <c r="B49" s="1568"/>
      <c r="C49" s="1558"/>
      <c r="D49" s="1163" t="s">
        <v>1116</v>
      </c>
      <c r="E49" s="1560"/>
      <c r="F49" s="1662"/>
      <c r="G49" s="1562"/>
      <c r="H49" s="1642"/>
      <c r="I49" s="1577"/>
      <c r="J49" s="1575"/>
      <c r="K49" s="1575"/>
      <c r="L49" s="1575"/>
      <c r="M49" s="1575">
        <f>SUM(M47:M48)</f>
        <v>3021</v>
      </c>
      <c r="N49" s="1574"/>
      <c r="O49" s="1575"/>
      <c r="P49" s="1576">
        <f t="shared" si="2"/>
        <v>3021</v>
      </c>
      <c r="Q49" s="1573"/>
    </row>
    <row r="50" spans="1:17" s="337" customFormat="1" x14ac:dyDescent="0.35">
      <c r="A50" s="1423">
        <v>36</v>
      </c>
      <c r="B50" s="1568"/>
      <c r="C50" s="1558"/>
      <c r="D50" s="1559" t="s">
        <v>994</v>
      </c>
      <c r="E50" s="1560"/>
      <c r="F50" s="1662"/>
      <c r="G50" s="1562"/>
      <c r="H50" s="1642"/>
      <c r="I50" s="1577"/>
      <c r="J50" s="1575"/>
      <c r="K50" s="1575"/>
      <c r="L50" s="1575"/>
      <c r="M50" s="1575"/>
      <c r="N50" s="1574"/>
      <c r="O50" s="1575"/>
      <c r="P50" s="1576"/>
      <c r="Q50" s="1573"/>
    </row>
    <row r="51" spans="1:17" s="337" customFormat="1" x14ac:dyDescent="0.35">
      <c r="A51" s="1423">
        <v>37</v>
      </c>
      <c r="B51" s="1568"/>
      <c r="C51" s="1558"/>
      <c r="D51" s="1163" t="s">
        <v>1064</v>
      </c>
      <c r="E51" s="1601">
        <f>F51+G51+P53</f>
        <v>1397</v>
      </c>
      <c r="F51" s="1662"/>
      <c r="G51" s="1562"/>
      <c r="H51" s="1642"/>
      <c r="I51" s="1577"/>
      <c r="J51" s="1575"/>
      <c r="K51" s="1575"/>
      <c r="L51" s="1575"/>
      <c r="M51" s="1575">
        <v>1397</v>
      </c>
      <c r="N51" s="1574"/>
      <c r="O51" s="1575"/>
      <c r="P51" s="1672">
        <f>SUM(I51:O51)</f>
        <v>1397</v>
      </c>
      <c r="Q51" s="1573"/>
    </row>
    <row r="52" spans="1:17" s="337" customFormat="1" x14ac:dyDescent="0.35">
      <c r="A52" s="1423">
        <v>38</v>
      </c>
      <c r="B52" s="1568"/>
      <c r="C52" s="1558"/>
      <c r="D52" s="1174" t="s">
        <v>1012</v>
      </c>
      <c r="E52" s="1560"/>
      <c r="F52" s="1662"/>
      <c r="G52" s="1562"/>
      <c r="H52" s="1642"/>
      <c r="I52" s="1577"/>
      <c r="J52" s="1575"/>
      <c r="K52" s="1575"/>
      <c r="L52" s="1575"/>
      <c r="M52" s="1581"/>
      <c r="N52" s="1574"/>
      <c r="O52" s="1575"/>
      <c r="P52" s="1599">
        <f t="shared" si="2"/>
        <v>0</v>
      </c>
      <c r="Q52" s="1573"/>
    </row>
    <row r="53" spans="1:17" s="337" customFormat="1" x14ac:dyDescent="0.35">
      <c r="A53" s="1423">
        <v>39</v>
      </c>
      <c r="B53" s="1568"/>
      <c r="C53" s="1558"/>
      <c r="D53" s="1163" t="s">
        <v>1116</v>
      </c>
      <c r="E53" s="1560"/>
      <c r="F53" s="1662"/>
      <c r="G53" s="1562"/>
      <c r="H53" s="1642"/>
      <c r="I53" s="1577"/>
      <c r="J53" s="1575"/>
      <c r="K53" s="1575"/>
      <c r="L53" s="1575"/>
      <c r="M53" s="1575">
        <f>SUM(M51:M52)</f>
        <v>1397</v>
      </c>
      <c r="N53" s="1574"/>
      <c r="O53" s="1575"/>
      <c r="P53" s="1576">
        <f t="shared" si="2"/>
        <v>1397</v>
      </c>
      <c r="Q53" s="1573"/>
    </row>
    <row r="54" spans="1:17" s="337" customFormat="1" x14ac:dyDescent="0.35">
      <c r="A54" s="1423">
        <v>40</v>
      </c>
      <c r="B54" s="1568"/>
      <c r="C54" s="1558"/>
      <c r="D54" s="1559" t="s">
        <v>995</v>
      </c>
      <c r="E54" s="1560"/>
      <c r="F54" s="1662"/>
      <c r="G54" s="1562"/>
      <c r="H54" s="1642"/>
      <c r="I54" s="1577"/>
      <c r="J54" s="1575"/>
      <c r="K54" s="1575"/>
      <c r="L54" s="1575"/>
      <c r="M54" s="1575"/>
      <c r="N54" s="1574"/>
      <c r="O54" s="1575"/>
      <c r="P54" s="1576"/>
      <c r="Q54" s="1573"/>
    </row>
    <row r="55" spans="1:17" s="337" customFormat="1" x14ac:dyDescent="0.35">
      <c r="A55" s="1423">
        <v>41</v>
      </c>
      <c r="B55" s="1568"/>
      <c r="C55" s="1558"/>
      <c r="D55" s="1163" t="s">
        <v>1064</v>
      </c>
      <c r="E55" s="1601">
        <f>F55+G55+P57</f>
        <v>7318</v>
      </c>
      <c r="F55" s="1662"/>
      <c r="G55" s="1562"/>
      <c r="H55" s="1642"/>
      <c r="I55" s="1577"/>
      <c r="J55" s="1575"/>
      <c r="K55" s="1575"/>
      <c r="L55" s="1575"/>
      <c r="M55" s="1575">
        <v>7318</v>
      </c>
      <c r="N55" s="1574"/>
      <c r="O55" s="1575"/>
      <c r="P55" s="1672">
        <f>SUM(I55:O55)</f>
        <v>7318</v>
      </c>
      <c r="Q55" s="1573"/>
    </row>
    <row r="56" spans="1:17" s="337" customFormat="1" x14ac:dyDescent="0.35">
      <c r="A56" s="1423">
        <v>42</v>
      </c>
      <c r="B56" s="1568"/>
      <c r="C56" s="1558"/>
      <c r="D56" s="1174" t="s">
        <v>1012</v>
      </c>
      <c r="E56" s="1560"/>
      <c r="F56" s="1662"/>
      <c r="G56" s="1562"/>
      <c r="H56" s="1642"/>
      <c r="I56" s="1577"/>
      <c r="J56" s="1575"/>
      <c r="K56" s="1575"/>
      <c r="L56" s="1575"/>
      <c r="M56" s="1581"/>
      <c r="N56" s="1574"/>
      <c r="O56" s="1575"/>
      <c r="P56" s="1599">
        <f t="shared" si="2"/>
        <v>0</v>
      </c>
      <c r="Q56" s="1573"/>
    </row>
    <row r="57" spans="1:17" s="337" customFormat="1" x14ac:dyDescent="0.35">
      <c r="A57" s="1423">
        <v>43</v>
      </c>
      <c r="B57" s="1568"/>
      <c r="C57" s="1558"/>
      <c r="D57" s="1163" t="s">
        <v>1116</v>
      </c>
      <c r="E57" s="1560"/>
      <c r="F57" s="1662"/>
      <c r="G57" s="1562"/>
      <c r="H57" s="1642"/>
      <c r="I57" s="1577"/>
      <c r="J57" s="1575"/>
      <c r="K57" s="1575"/>
      <c r="L57" s="1575"/>
      <c r="M57" s="1575">
        <f>SUM(M55:M56)</f>
        <v>7318</v>
      </c>
      <c r="N57" s="1574"/>
      <c r="O57" s="1575"/>
      <c r="P57" s="1576">
        <f t="shared" si="2"/>
        <v>7318</v>
      </c>
      <c r="Q57" s="1573"/>
    </row>
    <row r="58" spans="1:17" s="337" customFormat="1" x14ac:dyDescent="0.35">
      <c r="A58" s="1423">
        <v>44</v>
      </c>
      <c r="B58" s="1568"/>
      <c r="C58" s="1558"/>
      <c r="D58" s="1559" t="s">
        <v>996</v>
      </c>
      <c r="E58" s="1560"/>
      <c r="F58" s="1662"/>
      <c r="G58" s="1562"/>
      <c r="H58" s="1642"/>
      <c r="I58" s="1577"/>
      <c r="J58" s="1575"/>
      <c r="K58" s="1575"/>
      <c r="L58" s="1575"/>
      <c r="M58" s="1575"/>
      <c r="N58" s="1574"/>
      <c r="O58" s="1575"/>
      <c r="P58" s="1576"/>
      <c r="Q58" s="1573"/>
    </row>
    <row r="59" spans="1:17" s="337" customFormat="1" x14ac:dyDescent="0.35">
      <c r="A59" s="1423">
        <v>45</v>
      </c>
      <c r="B59" s="1568"/>
      <c r="C59" s="1558"/>
      <c r="D59" s="1163" t="s">
        <v>1064</v>
      </c>
      <c r="E59" s="1601">
        <f>F59+G59+P61</f>
        <v>1016</v>
      </c>
      <c r="F59" s="1662"/>
      <c r="G59" s="1562"/>
      <c r="H59" s="1642"/>
      <c r="I59" s="1577"/>
      <c r="J59" s="1575"/>
      <c r="K59" s="1575"/>
      <c r="L59" s="1575"/>
      <c r="M59" s="1575">
        <v>1016</v>
      </c>
      <c r="N59" s="1574"/>
      <c r="O59" s="1575"/>
      <c r="P59" s="1672">
        <f>SUM(I59:O59)</f>
        <v>1016</v>
      </c>
      <c r="Q59" s="1573"/>
    </row>
    <row r="60" spans="1:17" s="337" customFormat="1" x14ac:dyDescent="0.35">
      <c r="A60" s="1423">
        <v>46</v>
      </c>
      <c r="B60" s="1568"/>
      <c r="C60" s="1558"/>
      <c r="D60" s="1174" t="s">
        <v>1012</v>
      </c>
      <c r="E60" s="1560"/>
      <c r="F60" s="1662"/>
      <c r="G60" s="1562"/>
      <c r="H60" s="1642"/>
      <c r="I60" s="1577"/>
      <c r="J60" s="1575"/>
      <c r="K60" s="1575"/>
      <c r="L60" s="1575"/>
      <c r="M60" s="1581"/>
      <c r="N60" s="1574"/>
      <c r="O60" s="1575"/>
      <c r="P60" s="1599">
        <f t="shared" si="2"/>
        <v>0</v>
      </c>
      <c r="Q60" s="1573"/>
    </row>
    <row r="61" spans="1:17" s="337" customFormat="1" x14ac:dyDescent="0.35">
      <c r="A61" s="1423">
        <v>47</v>
      </c>
      <c r="B61" s="1568"/>
      <c r="C61" s="1558"/>
      <c r="D61" s="1163" t="s">
        <v>1116</v>
      </c>
      <c r="E61" s="1560"/>
      <c r="F61" s="1662"/>
      <c r="G61" s="1562"/>
      <c r="H61" s="1642"/>
      <c r="I61" s="1577"/>
      <c r="J61" s="1575"/>
      <c r="K61" s="1575"/>
      <c r="L61" s="1575"/>
      <c r="M61" s="1575">
        <f>SUM(M59:M60)</f>
        <v>1016</v>
      </c>
      <c r="N61" s="1574"/>
      <c r="O61" s="1575"/>
      <c r="P61" s="1576">
        <f t="shared" si="2"/>
        <v>1016</v>
      </c>
      <c r="Q61" s="1573"/>
    </row>
    <row r="62" spans="1:17" s="337" customFormat="1" x14ac:dyDescent="0.35">
      <c r="A62" s="1423">
        <v>48</v>
      </c>
      <c r="B62" s="1568"/>
      <c r="C62" s="1558"/>
      <c r="D62" s="1559" t="s">
        <v>997</v>
      </c>
      <c r="E62" s="1560"/>
      <c r="F62" s="1662"/>
      <c r="G62" s="1562"/>
      <c r="H62" s="1642"/>
      <c r="I62" s="1577"/>
      <c r="J62" s="1575"/>
      <c r="K62" s="1575"/>
      <c r="L62" s="1575"/>
      <c r="M62" s="1575"/>
      <c r="N62" s="1574"/>
      <c r="O62" s="1575"/>
      <c r="P62" s="1576"/>
      <c r="Q62" s="1573"/>
    </row>
    <row r="63" spans="1:17" s="337" customFormat="1" x14ac:dyDescent="0.35">
      <c r="A63" s="1423">
        <v>49</v>
      </c>
      <c r="B63" s="1568"/>
      <c r="C63" s="1558"/>
      <c r="D63" s="1163" t="s">
        <v>1064</v>
      </c>
      <c r="E63" s="1601">
        <f>F63+G63+P65</f>
        <v>1206</v>
      </c>
      <c r="F63" s="1662"/>
      <c r="G63" s="1562"/>
      <c r="H63" s="1642"/>
      <c r="I63" s="1577"/>
      <c r="J63" s="1575"/>
      <c r="K63" s="1575"/>
      <c r="L63" s="1575"/>
      <c r="M63" s="1575">
        <v>1206</v>
      </c>
      <c r="N63" s="1574"/>
      <c r="O63" s="1575"/>
      <c r="P63" s="1672">
        <f>SUM(I63:O63)</f>
        <v>1206</v>
      </c>
      <c r="Q63" s="1573"/>
    </row>
    <row r="64" spans="1:17" s="337" customFormat="1" x14ac:dyDescent="0.35">
      <c r="A64" s="1423">
        <v>50</v>
      </c>
      <c r="B64" s="1568"/>
      <c r="C64" s="1558"/>
      <c r="D64" s="1174" t="s">
        <v>1012</v>
      </c>
      <c r="E64" s="1560"/>
      <c r="F64" s="1662"/>
      <c r="G64" s="1562"/>
      <c r="H64" s="1642"/>
      <c r="I64" s="1577"/>
      <c r="J64" s="1575"/>
      <c r="K64" s="1575"/>
      <c r="L64" s="1575"/>
      <c r="M64" s="1581"/>
      <c r="N64" s="1574"/>
      <c r="O64" s="1575"/>
      <c r="P64" s="1599">
        <f t="shared" si="2"/>
        <v>0</v>
      </c>
      <c r="Q64" s="1573"/>
    </row>
    <row r="65" spans="1:262" s="337" customFormat="1" x14ac:dyDescent="0.35">
      <c r="A65" s="1423">
        <v>51</v>
      </c>
      <c r="B65" s="1568"/>
      <c r="C65" s="1558"/>
      <c r="D65" s="1163" t="s">
        <v>1116</v>
      </c>
      <c r="E65" s="1560"/>
      <c r="F65" s="1662"/>
      <c r="G65" s="1562"/>
      <c r="H65" s="1642"/>
      <c r="I65" s="1577"/>
      <c r="J65" s="1575"/>
      <c r="K65" s="1575"/>
      <c r="L65" s="1575"/>
      <c r="M65" s="1575">
        <f>SUM(M63:M64)</f>
        <v>1206</v>
      </c>
      <c r="N65" s="1574"/>
      <c r="O65" s="1575"/>
      <c r="P65" s="1576">
        <f>SUM(I65:O65)</f>
        <v>1206</v>
      </c>
      <c r="Q65" s="1573"/>
    </row>
    <row r="66" spans="1:262" s="337" customFormat="1" x14ac:dyDescent="0.35">
      <c r="A66" s="1423">
        <v>52</v>
      </c>
      <c r="B66" s="1568"/>
      <c r="C66" s="1558"/>
      <c r="D66" s="1559" t="s">
        <v>1100</v>
      </c>
      <c r="E66" s="1560"/>
      <c r="F66" s="1662"/>
      <c r="G66" s="1562"/>
      <c r="H66" s="1642"/>
      <c r="I66" s="1577"/>
      <c r="J66" s="1575"/>
      <c r="K66" s="1575"/>
      <c r="L66" s="1575"/>
      <c r="M66" s="1575"/>
      <c r="N66" s="1574"/>
      <c r="O66" s="1575"/>
      <c r="P66" s="1672"/>
      <c r="Q66" s="1573"/>
    </row>
    <row r="67" spans="1:262" s="337" customFormat="1" x14ac:dyDescent="0.35">
      <c r="A67" s="1423">
        <v>53</v>
      </c>
      <c r="B67" s="1568"/>
      <c r="C67" s="1558"/>
      <c r="D67" s="1163" t="s">
        <v>1064</v>
      </c>
      <c r="E67" s="1601">
        <f>F67+G67+P69</f>
        <v>502</v>
      </c>
      <c r="F67" s="1662"/>
      <c r="G67" s="1562"/>
      <c r="H67" s="1642"/>
      <c r="I67" s="1577"/>
      <c r="J67" s="1575"/>
      <c r="K67" s="1575"/>
      <c r="L67" s="1575"/>
      <c r="M67" s="1575">
        <v>502</v>
      </c>
      <c r="N67" s="1574"/>
      <c r="O67" s="1575"/>
      <c r="P67" s="1672">
        <f>SUM(I67:O67)</f>
        <v>502</v>
      </c>
      <c r="Q67" s="1573"/>
    </row>
    <row r="68" spans="1:262" s="337" customFormat="1" x14ac:dyDescent="0.35">
      <c r="A68" s="1423">
        <v>54</v>
      </c>
      <c r="B68" s="1568"/>
      <c r="C68" s="1558"/>
      <c r="D68" s="1174" t="s">
        <v>1012</v>
      </c>
      <c r="E68" s="1560"/>
      <c r="F68" s="1662"/>
      <c r="G68" s="1562"/>
      <c r="H68" s="1642"/>
      <c r="I68" s="1577"/>
      <c r="J68" s="1575"/>
      <c r="K68" s="1575"/>
      <c r="L68" s="1575"/>
      <c r="M68" s="1581"/>
      <c r="N68" s="1574"/>
      <c r="O68" s="1575"/>
      <c r="P68" s="1599">
        <f t="shared" si="2"/>
        <v>0</v>
      </c>
      <c r="Q68" s="1573"/>
    </row>
    <row r="69" spans="1:262" s="337" customFormat="1" x14ac:dyDescent="0.35">
      <c r="A69" s="1423">
        <v>55</v>
      </c>
      <c r="B69" s="1568"/>
      <c r="C69" s="1558"/>
      <c r="D69" s="1163" t="s">
        <v>1116</v>
      </c>
      <c r="E69" s="1560"/>
      <c r="F69" s="1662"/>
      <c r="G69" s="1562"/>
      <c r="H69" s="1642"/>
      <c r="I69" s="1577"/>
      <c r="J69" s="1575"/>
      <c r="K69" s="1575"/>
      <c r="L69" s="1575"/>
      <c r="M69" s="1575">
        <f>SUM(M67:M68)</f>
        <v>502</v>
      </c>
      <c r="N69" s="1574"/>
      <c r="O69" s="1575"/>
      <c r="P69" s="1576">
        <f t="shared" si="2"/>
        <v>502</v>
      </c>
      <c r="Q69" s="1573"/>
    </row>
    <row r="70" spans="1:262" s="337" customFormat="1" x14ac:dyDescent="0.35">
      <c r="A70" s="1423">
        <v>56</v>
      </c>
      <c r="B70" s="1568"/>
      <c r="C70" s="1558"/>
      <c r="D70" s="1559" t="s">
        <v>998</v>
      </c>
      <c r="E70" s="1560"/>
      <c r="F70" s="1662"/>
      <c r="G70" s="1562"/>
      <c r="H70" s="1642"/>
      <c r="I70" s="1577"/>
      <c r="J70" s="1575"/>
      <c r="K70" s="1574"/>
      <c r="L70" s="1575"/>
      <c r="M70" s="1574"/>
      <c r="N70" s="1574"/>
      <c r="O70" s="1575"/>
      <c r="P70" s="1576"/>
      <c r="Q70" s="1573"/>
    </row>
    <row r="71" spans="1:262" s="337" customFormat="1" x14ac:dyDescent="0.35">
      <c r="A71" s="1423">
        <v>57</v>
      </c>
      <c r="B71" s="1568"/>
      <c r="C71" s="1558"/>
      <c r="D71" s="1163" t="s">
        <v>1064</v>
      </c>
      <c r="E71" s="1601">
        <f>F71+G71+P73</f>
        <v>12573</v>
      </c>
      <c r="F71" s="1662"/>
      <c r="G71" s="1562"/>
      <c r="H71" s="1642"/>
      <c r="I71" s="1577"/>
      <c r="J71" s="1575"/>
      <c r="K71" s="1574"/>
      <c r="L71" s="1575"/>
      <c r="M71" s="1575">
        <v>12573</v>
      </c>
      <c r="N71" s="1574"/>
      <c r="O71" s="1575"/>
      <c r="P71" s="1672">
        <f>SUM(I71:O71)</f>
        <v>12573</v>
      </c>
      <c r="Q71" s="1573"/>
    </row>
    <row r="72" spans="1:262" s="337" customFormat="1" x14ac:dyDescent="0.35">
      <c r="A72" s="1423">
        <v>58</v>
      </c>
      <c r="B72" s="1568"/>
      <c r="C72" s="1558"/>
      <c r="D72" s="1174" t="s">
        <v>1012</v>
      </c>
      <c r="E72" s="1560"/>
      <c r="F72" s="1662"/>
      <c r="G72" s="1562"/>
      <c r="H72" s="1642"/>
      <c r="I72" s="1577"/>
      <c r="J72" s="1575"/>
      <c r="K72" s="1574"/>
      <c r="L72" s="1575"/>
      <c r="M72" s="1581"/>
      <c r="N72" s="1574"/>
      <c r="O72" s="1575"/>
      <c r="P72" s="1599">
        <f t="shared" ref="P72:P73" si="3">SUM(I72:O72)</f>
        <v>0</v>
      </c>
      <c r="Q72" s="1573"/>
    </row>
    <row r="73" spans="1:262" s="337" customFormat="1" ht="18" thickBot="1" x14ac:dyDescent="0.4">
      <c r="A73" s="1423">
        <v>59</v>
      </c>
      <c r="B73" s="1568"/>
      <c r="C73" s="1558"/>
      <c r="D73" s="1163" t="s">
        <v>1116</v>
      </c>
      <c r="E73" s="1560"/>
      <c r="F73" s="1662"/>
      <c r="G73" s="1562"/>
      <c r="H73" s="1642"/>
      <c r="I73" s="1577"/>
      <c r="J73" s="1575"/>
      <c r="K73" s="1574"/>
      <c r="L73" s="1575"/>
      <c r="M73" s="1575">
        <f>SUM(M71:M72)</f>
        <v>12573</v>
      </c>
      <c r="N73" s="1574"/>
      <c r="O73" s="1575"/>
      <c r="P73" s="1576">
        <f t="shared" si="3"/>
        <v>12573</v>
      </c>
      <c r="Q73" s="1573"/>
    </row>
    <row r="74" spans="1:262" s="337" customFormat="1" ht="19.5" thickTop="1" thickBot="1" x14ac:dyDescent="0.4">
      <c r="A74" s="1423">
        <v>60</v>
      </c>
      <c r="B74" s="1568"/>
      <c r="C74" s="1680"/>
      <c r="D74" s="1681" t="s">
        <v>851</v>
      </c>
      <c r="E74" s="1682">
        <f>E31+E26+E21+E15+E39+E43+E47+E51+E55+E59+E63+E67+E71</f>
        <v>459355</v>
      </c>
      <c r="F74" s="1682">
        <f>F31+F26+F21+F15+F14</f>
        <v>0</v>
      </c>
      <c r="G74" s="1682">
        <f>G31+G26+G21+G15</f>
        <v>74920</v>
      </c>
      <c r="H74" s="1683"/>
      <c r="I74" s="1684"/>
      <c r="J74" s="1684"/>
      <c r="K74" s="1684"/>
      <c r="L74" s="1684"/>
      <c r="M74" s="1684"/>
      <c r="N74" s="1684"/>
      <c r="O74" s="1684"/>
      <c r="P74" s="1684"/>
      <c r="Q74" s="1685"/>
    </row>
    <row r="75" spans="1:262" s="337" customFormat="1" ht="18" thickTop="1" x14ac:dyDescent="0.35">
      <c r="A75" s="1423">
        <v>61</v>
      </c>
      <c r="B75" s="1568"/>
      <c r="C75" s="1686"/>
      <c r="D75" s="1509" t="s">
        <v>311</v>
      </c>
      <c r="E75" s="1687"/>
      <c r="F75" s="1687"/>
      <c r="G75" s="1688"/>
      <c r="H75" s="1689"/>
      <c r="I75" s="1690">
        <f t="shared" ref="I75:O75" si="4">I31+I26+I21+I15</f>
        <v>1000</v>
      </c>
      <c r="J75" s="1690">
        <f t="shared" si="4"/>
        <v>500</v>
      </c>
      <c r="K75" s="1690">
        <f t="shared" si="4"/>
        <v>318696</v>
      </c>
      <c r="L75" s="1690">
        <f t="shared" si="4"/>
        <v>0</v>
      </c>
      <c r="M75" s="1690">
        <f t="shared" si="4"/>
        <v>38500</v>
      </c>
      <c r="N75" s="1690">
        <f t="shared" si="4"/>
        <v>68500</v>
      </c>
      <c r="O75" s="1690">
        <f t="shared" si="4"/>
        <v>0</v>
      </c>
      <c r="P75" s="1691">
        <f>P31+P26+P21+P15</f>
        <v>427196</v>
      </c>
      <c r="Q75" s="1692"/>
    </row>
    <row r="76" spans="1:262" s="337" customFormat="1" x14ac:dyDescent="0.35">
      <c r="A76" s="1423">
        <v>62</v>
      </c>
      <c r="B76" s="1568"/>
      <c r="C76" s="1673"/>
      <c r="D76" s="1163" t="s">
        <v>1064</v>
      </c>
      <c r="E76" s="1550"/>
      <c r="F76" s="1550"/>
      <c r="G76" s="1693"/>
      <c r="H76" s="1694"/>
      <c r="I76" s="1695">
        <f>I32+I27+I22+I16+I71+I67+I63+I59+I55+I51+I47+I43+I39</f>
        <v>1000</v>
      </c>
      <c r="J76" s="1695">
        <f t="shared" ref="J76:O76" si="5">J32+J27+J22+J16+J71+J67+J63+J59+J55+J51+J47+J43+J39</f>
        <v>500</v>
      </c>
      <c r="K76" s="1695">
        <f t="shared" si="5"/>
        <v>308102</v>
      </c>
      <c r="L76" s="1695">
        <f t="shared" si="5"/>
        <v>0</v>
      </c>
      <c r="M76" s="1695">
        <f t="shared" si="5"/>
        <v>117594</v>
      </c>
      <c r="N76" s="1695">
        <f t="shared" si="5"/>
        <v>0</v>
      </c>
      <c r="O76" s="1695">
        <f t="shared" si="5"/>
        <v>0</v>
      </c>
      <c r="P76" s="1576">
        <f>SUM(I76:O76)</f>
        <v>427196</v>
      </c>
      <c r="Q76" s="1696"/>
    </row>
    <row r="77" spans="1:262" s="272" customFormat="1" x14ac:dyDescent="0.35">
      <c r="A77" s="1423">
        <v>63</v>
      </c>
      <c r="B77" s="1568"/>
      <c r="C77" s="1558"/>
      <c r="D77" s="1514" t="s">
        <v>999</v>
      </c>
      <c r="E77" s="1561"/>
      <c r="F77" s="1561"/>
      <c r="G77" s="1697"/>
      <c r="H77" s="1698"/>
      <c r="I77" s="1581">
        <f>I33+I28+I23+I17+I40+I44+I48+I72+I68+I64+I60+I56+I52+I36</f>
        <v>0</v>
      </c>
      <c r="J77" s="1581">
        <f t="shared" ref="J77:O77" si="6">J33+J28+J23+J17+J40+J44+J48+J72+J68+J64+J60+J56+J52+J36</f>
        <v>0</v>
      </c>
      <c r="K77" s="1581">
        <f t="shared" si="6"/>
        <v>-45022</v>
      </c>
      <c r="L77" s="1581">
        <f t="shared" si="6"/>
        <v>0</v>
      </c>
      <c r="M77" s="1581">
        <f t="shared" si="6"/>
        <v>45022</v>
      </c>
      <c r="N77" s="1581">
        <f t="shared" si="6"/>
        <v>0</v>
      </c>
      <c r="O77" s="1581">
        <f t="shared" si="6"/>
        <v>0</v>
      </c>
      <c r="P77" s="1599">
        <f t="shared" ref="P77" si="7">SUM(I77:O77)</f>
        <v>0</v>
      </c>
      <c r="Q77" s="1699"/>
      <c r="R77" s="148"/>
      <c r="S77" s="148"/>
      <c r="T77" s="148"/>
      <c r="U77" s="148"/>
      <c r="V77" s="148"/>
      <c r="W77" s="148"/>
      <c r="X77" s="148"/>
      <c r="Y77" s="148"/>
      <c r="Z77" s="148"/>
      <c r="AA77" s="148"/>
      <c r="AB77" s="148"/>
      <c r="AC77" s="148"/>
      <c r="AD77" s="148"/>
      <c r="AE77" s="148"/>
      <c r="AF77" s="148"/>
      <c r="AG77" s="148"/>
      <c r="AH77" s="148"/>
      <c r="AI77" s="148"/>
      <c r="AJ77" s="148"/>
      <c r="AK77" s="148"/>
      <c r="AL77" s="148"/>
      <c r="AM77" s="148"/>
      <c r="AN77" s="148"/>
      <c r="AO77" s="148"/>
      <c r="AP77" s="148"/>
      <c r="AQ77" s="148"/>
      <c r="AR77" s="148"/>
      <c r="AS77" s="148"/>
      <c r="AT77" s="148"/>
      <c r="AU77" s="148"/>
      <c r="AV77" s="148"/>
      <c r="AW77" s="148"/>
      <c r="AX77" s="148"/>
      <c r="AY77" s="148"/>
      <c r="AZ77" s="148"/>
      <c r="BA77" s="148"/>
      <c r="BB77" s="148"/>
      <c r="BC77" s="148"/>
      <c r="BD77" s="148"/>
      <c r="BE77" s="148"/>
      <c r="BF77" s="148"/>
      <c r="BG77" s="148"/>
      <c r="BH77" s="148"/>
      <c r="BI77" s="148"/>
      <c r="BJ77" s="148"/>
      <c r="BK77" s="148"/>
      <c r="BL77" s="148"/>
      <c r="BM77" s="148"/>
      <c r="BN77" s="148"/>
      <c r="BO77" s="148"/>
      <c r="BP77" s="148"/>
      <c r="BQ77" s="148"/>
      <c r="BR77" s="148"/>
      <c r="BS77" s="148"/>
      <c r="BT77" s="148"/>
      <c r="BU77" s="148"/>
      <c r="BV77" s="148"/>
      <c r="BW77" s="148"/>
      <c r="BX77" s="148"/>
      <c r="BY77" s="148"/>
      <c r="BZ77" s="148"/>
      <c r="CA77" s="148"/>
      <c r="CB77" s="148"/>
      <c r="CC77" s="148"/>
      <c r="CD77" s="148"/>
      <c r="CE77" s="148"/>
      <c r="CF77" s="148"/>
      <c r="CG77" s="148"/>
      <c r="CH77" s="148"/>
      <c r="CI77" s="148"/>
      <c r="CJ77" s="148"/>
      <c r="CK77" s="148"/>
      <c r="CL77" s="148"/>
      <c r="CM77" s="148"/>
      <c r="CN77" s="148"/>
      <c r="CO77" s="148"/>
      <c r="CP77" s="148"/>
      <c r="CQ77" s="148"/>
      <c r="CR77" s="148"/>
      <c r="CS77" s="148"/>
      <c r="CT77" s="148"/>
      <c r="CU77" s="148"/>
      <c r="CV77" s="148"/>
      <c r="CW77" s="148"/>
      <c r="CX77" s="148"/>
      <c r="CY77" s="148"/>
      <c r="CZ77" s="148"/>
      <c r="DA77" s="148"/>
      <c r="DB77" s="148"/>
      <c r="DC77" s="148"/>
      <c r="DD77" s="148"/>
      <c r="DE77" s="148"/>
      <c r="DF77" s="148"/>
      <c r="DG77" s="148"/>
      <c r="DH77" s="148"/>
      <c r="DI77" s="148"/>
      <c r="DJ77" s="148"/>
      <c r="DK77" s="148"/>
      <c r="DL77" s="148"/>
      <c r="DM77" s="148"/>
      <c r="DN77" s="148"/>
      <c r="DO77" s="148"/>
      <c r="DP77" s="148"/>
      <c r="DQ77" s="148"/>
      <c r="DR77" s="148"/>
      <c r="DS77" s="148"/>
      <c r="DT77" s="148"/>
      <c r="DU77" s="148"/>
      <c r="DV77" s="148"/>
      <c r="DW77" s="148"/>
      <c r="DX77" s="148"/>
      <c r="DY77" s="148"/>
      <c r="DZ77" s="148"/>
      <c r="EA77" s="148"/>
      <c r="EB77" s="148"/>
      <c r="EC77" s="148"/>
      <c r="ED77" s="148"/>
      <c r="EE77" s="148"/>
      <c r="EF77" s="148"/>
      <c r="EG77" s="148"/>
      <c r="EH77" s="148"/>
      <c r="EI77" s="148"/>
      <c r="EJ77" s="148"/>
      <c r="EK77" s="148"/>
      <c r="EL77" s="148"/>
      <c r="EM77" s="148"/>
      <c r="EN77" s="148"/>
      <c r="EO77" s="148"/>
      <c r="EP77" s="148"/>
      <c r="EQ77" s="148"/>
      <c r="ER77" s="148"/>
      <c r="ES77" s="148"/>
      <c r="ET77" s="148"/>
      <c r="EU77" s="148"/>
      <c r="EV77" s="148"/>
      <c r="EW77" s="148"/>
      <c r="EX77" s="148"/>
      <c r="EY77" s="148"/>
      <c r="EZ77" s="148"/>
      <c r="FA77" s="148"/>
      <c r="FB77" s="148"/>
      <c r="FC77" s="148"/>
      <c r="FD77" s="148"/>
      <c r="FE77" s="148"/>
      <c r="FF77" s="148"/>
      <c r="FG77" s="148"/>
      <c r="FH77" s="148"/>
      <c r="FI77" s="148"/>
      <c r="FJ77" s="148"/>
      <c r="FK77" s="148"/>
      <c r="FL77" s="148"/>
      <c r="FM77" s="148"/>
      <c r="FN77" s="148"/>
      <c r="FO77" s="148"/>
      <c r="FP77" s="148"/>
      <c r="FQ77" s="148"/>
      <c r="FR77" s="148"/>
      <c r="FS77" s="148"/>
      <c r="FT77" s="148"/>
      <c r="FU77" s="148"/>
      <c r="FV77" s="148"/>
      <c r="FW77" s="148"/>
      <c r="FX77" s="148"/>
      <c r="FY77" s="148"/>
      <c r="FZ77" s="148"/>
      <c r="GA77" s="148"/>
      <c r="GB77" s="148"/>
      <c r="GC77" s="148"/>
      <c r="GD77" s="148"/>
      <c r="GE77" s="148"/>
      <c r="GF77" s="148"/>
      <c r="GG77" s="148"/>
      <c r="GH77" s="148"/>
      <c r="GI77" s="148"/>
      <c r="GJ77" s="148"/>
      <c r="GK77" s="148"/>
      <c r="GL77" s="148"/>
      <c r="GM77" s="148"/>
      <c r="GN77" s="148"/>
      <c r="GO77" s="148"/>
      <c r="GP77" s="148"/>
      <c r="GQ77" s="148"/>
      <c r="GR77" s="148"/>
      <c r="GS77" s="148"/>
      <c r="GT77" s="148"/>
      <c r="GU77" s="148"/>
      <c r="GV77" s="148"/>
      <c r="GW77" s="148"/>
      <c r="GX77" s="148"/>
      <c r="GY77" s="148"/>
      <c r="GZ77" s="148"/>
      <c r="HA77" s="148"/>
      <c r="HB77" s="148"/>
      <c r="HC77" s="148"/>
      <c r="HD77" s="148"/>
      <c r="HE77" s="148"/>
      <c r="HF77" s="148"/>
      <c r="HG77" s="148"/>
      <c r="HH77" s="148"/>
      <c r="HI77" s="148"/>
      <c r="HJ77" s="148"/>
      <c r="HK77" s="148"/>
      <c r="HL77" s="148"/>
      <c r="HM77" s="148"/>
      <c r="HN77" s="148"/>
      <c r="HO77" s="148"/>
      <c r="HP77" s="148"/>
      <c r="HQ77" s="148"/>
      <c r="HR77" s="148"/>
      <c r="HS77" s="148"/>
      <c r="HT77" s="148"/>
      <c r="HU77" s="148"/>
      <c r="HV77" s="148"/>
      <c r="HW77" s="148"/>
      <c r="HX77" s="148"/>
      <c r="HY77" s="148"/>
      <c r="HZ77" s="148"/>
      <c r="IA77" s="148"/>
      <c r="IB77" s="148"/>
      <c r="IC77" s="148"/>
      <c r="ID77" s="148"/>
      <c r="IE77" s="148"/>
      <c r="IF77" s="148"/>
      <c r="IG77" s="148"/>
      <c r="IH77" s="148"/>
      <c r="II77" s="148"/>
      <c r="IJ77" s="148"/>
      <c r="IK77" s="148"/>
      <c r="IL77" s="148"/>
      <c r="IM77" s="148"/>
      <c r="IN77" s="148"/>
      <c r="IO77" s="148"/>
      <c r="IP77" s="148"/>
      <c r="IQ77" s="148"/>
      <c r="IR77" s="148"/>
      <c r="IS77" s="148"/>
      <c r="IT77" s="148"/>
      <c r="IU77" s="148"/>
      <c r="IV77" s="148"/>
      <c r="IW77" s="148"/>
      <c r="IX77" s="148"/>
      <c r="IY77" s="148"/>
      <c r="IZ77" s="148"/>
      <c r="JA77" s="148"/>
      <c r="JB77" s="148"/>
    </row>
    <row r="78" spans="1:262" s="337" customFormat="1" ht="18" thickBot="1" x14ac:dyDescent="0.4">
      <c r="A78" s="1423">
        <v>64</v>
      </c>
      <c r="B78" s="1568"/>
      <c r="C78" s="1700"/>
      <c r="D78" s="1536" t="s">
        <v>1116</v>
      </c>
      <c r="E78" s="1650"/>
      <c r="F78" s="1650"/>
      <c r="G78" s="1701"/>
      <c r="H78" s="1702"/>
      <c r="I78" s="1652">
        <f>SUM(I76:I77)</f>
        <v>1000</v>
      </c>
      <c r="J78" s="1652">
        <f t="shared" ref="J78:O78" si="8">SUM(J76:J77)</f>
        <v>500</v>
      </c>
      <c r="K78" s="1652">
        <f t="shared" si="8"/>
        <v>263080</v>
      </c>
      <c r="L78" s="1652">
        <f t="shared" si="8"/>
        <v>0</v>
      </c>
      <c r="M78" s="1652">
        <f t="shared" si="8"/>
        <v>162616</v>
      </c>
      <c r="N78" s="1652">
        <f t="shared" si="8"/>
        <v>0</v>
      </c>
      <c r="O78" s="1652">
        <f t="shared" si="8"/>
        <v>0</v>
      </c>
      <c r="P78" s="1631">
        <f>SUM(P76:P77)</f>
        <v>427196</v>
      </c>
      <c r="Q78" s="1703"/>
    </row>
    <row r="79" spans="1:262" s="337" customFormat="1" ht="18" x14ac:dyDescent="0.35">
      <c r="A79" s="1423">
        <v>65</v>
      </c>
      <c r="B79" s="1568"/>
      <c r="C79" s="1659">
        <v>2</v>
      </c>
      <c r="D79" s="1704" t="s">
        <v>756</v>
      </c>
      <c r="E79" s="1603"/>
      <c r="F79" s="1705"/>
      <c r="G79" s="1706"/>
      <c r="H79" s="1552" t="s">
        <v>24</v>
      </c>
      <c r="I79" s="1707"/>
      <c r="J79" s="1708"/>
      <c r="K79" s="1709"/>
      <c r="L79" s="1708"/>
      <c r="M79" s="1708"/>
      <c r="N79" s="1708"/>
      <c r="O79" s="1708"/>
      <c r="P79" s="1710"/>
      <c r="Q79" s="1711"/>
    </row>
    <row r="80" spans="1:262" s="337" customFormat="1" x14ac:dyDescent="0.35">
      <c r="A80" s="1423">
        <v>66</v>
      </c>
      <c r="B80" s="1557"/>
      <c r="C80" s="1558"/>
      <c r="D80" s="1661" t="s">
        <v>757</v>
      </c>
      <c r="E80" s="1560">
        <f>F80+G80+P84</f>
        <v>2450</v>
      </c>
      <c r="F80" s="1561"/>
      <c r="G80" s="1562"/>
      <c r="H80" s="1563"/>
      <c r="I80" s="1580"/>
      <c r="J80" s="1574"/>
      <c r="K80" s="1574"/>
      <c r="L80" s="1574"/>
      <c r="M80" s="1574"/>
      <c r="N80" s="1574"/>
      <c r="O80" s="1574"/>
      <c r="P80" s="1576"/>
      <c r="Q80" s="1567"/>
    </row>
    <row r="81" spans="1:17" s="337" customFormat="1" x14ac:dyDescent="0.35">
      <c r="A81" s="1423">
        <v>67</v>
      </c>
      <c r="B81" s="1568"/>
      <c r="C81" s="1558"/>
      <c r="D81" s="1570" t="s">
        <v>311</v>
      </c>
      <c r="E81" s="1712"/>
      <c r="F81" s="1713"/>
      <c r="G81" s="1714"/>
      <c r="H81" s="1642"/>
      <c r="I81" s="1571"/>
      <c r="J81" s="1572"/>
      <c r="K81" s="1572">
        <f>197850-25400</f>
        <v>172450</v>
      </c>
      <c r="L81" s="1572">
        <v>165075</v>
      </c>
      <c r="M81" s="1572"/>
      <c r="N81" s="1572"/>
      <c r="O81" s="1572"/>
      <c r="P81" s="1566">
        <f>SUM(I81:O81)</f>
        <v>337525</v>
      </c>
      <c r="Q81" s="1573"/>
    </row>
    <row r="82" spans="1:17" s="337" customFormat="1" x14ac:dyDescent="0.35">
      <c r="A82" s="1423">
        <v>68</v>
      </c>
      <c r="B82" s="1568"/>
      <c r="C82" s="1558"/>
      <c r="D82" s="1163" t="s">
        <v>1064</v>
      </c>
      <c r="E82" s="1712"/>
      <c r="F82" s="1713"/>
      <c r="G82" s="1714"/>
      <c r="H82" s="1642"/>
      <c r="I82" s="1571"/>
      <c r="J82" s="1572"/>
      <c r="K82" s="1575">
        <v>2450</v>
      </c>
      <c r="L82" s="1575">
        <v>0</v>
      </c>
      <c r="M82" s="1575"/>
      <c r="N82" s="1575"/>
      <c r="O82" s="1575"/>
      <c r="P82" s="1576">
        <f>SUM(I82:O82)</f>
        <v>2450</v>
      </c>
      <c r="Q82" s="1573"/>
    </row>
    <row r="83" spans="1:17" s="337" customFormat="1" x14ac:dyDescent="0.35">
      <c r="A83" s="1423">
        <v>69</v>
      </c>
      <c r="B83" s="1568"/>
      <c r="C83" s="1558"/>
      <c r="D83" s="1174" t="s">
        <v>1012</v>
      </c>
      <c r="E83" s="1712"/>
      <c r="F83" s="1713"/>
      <c r="G83" s="1714"/>
      <c r="H83" s="1642"/>
      <c r="I83" s="1577"/>
      <c r="J83" s="1575"/>
      <c r="K83" s="1581"/>
      <c r="L83" s="1581"/>
      <c r="M83" s="1715"/>
      <c r="N83" s="1715"/>
      <c r="O83" s="1715"/>
      <c r="P83" s="1599">
        <f>SUM(I83:O83)</f>
        <v>0</v>
      </c>
      <c r="Q83" s="1573"/>
    </row>
    <row r="84" spans="1:17" s="337" customFormat="1" x14ac:dyDescent="0.35">
      <c r="A84" s="1423">
        <v>70</v>
      </c>
      <c r="B84" s="1568"/>
      <c r="C84" s="1558"/>
      <c r="D84" s="1163" t="s">
        <v>1116</v>
      </c>
      <c r="E84" s="1712"/>
      <c r="F84" s="1713"/>
      <c r="G84" s="1714"/>
      <c r="H84" s="1642"/>
      <c r="I84" s="1577"/>
      <c r="J84" s="1575"/>
      <c r="K84" s="1575">
        <f>SUM(K82:K83)</f>
        <v>2450</v>
      </c>
      <c r="L84" s="1575">
        <f>SUM(L82:L83)</f>
        <v>0</v>
      </c>
      <c r="M84" s="1575"/>
      <c r="N84" s="1575"/>
      <c r="O84" s="1575"/>
      <c r="P84" s="1575">
        <f>SUM(P82:P83)</f>
        <v>2450</v>
      </c>
      <c r="Q84" s="1573"/>
    </row>
    <row r="85" spans="1:17" s="337" customFormat="1" x14ac:dyDescent="0.35">
      <c r="A85" s="1423">
        <v>71</v>
      </c>
      <c r="B85" s="1568"/>
      <c r="C85" s="1558"/>
      <c r="D85" s="1559" t="s">
        <v>1101</v>
      </c>
      <c r="E85" s="1560">
        <f>F85+G85+P88</f>
        <v>10160</v>
      </c>
      <c r="F85" s="1713"/>
      <c r="G85" s="1714"/>
      <c r="H85" s="1642"/>
      <c r="I85" s="1577"/>
      <c r="J85" s="1575"/>
      <c r="K85" s="1575"/>
      <c r="L85" s="1575"/>
      <c r="M85" s="1575"/>
      <c r="N85" s="1575"/>
      <c r="O85" s="1575"/>
      <c r="P85" s="1716"/>
      <c r="Q85" s="1573"/>
    </row>
    <row r="86" spans="1:17" s="337" customFormat="1" x14ac:dyDescent="0.35">
      <c r="A86" s="1423">
        <v>72</v>
      </c>
      <c r="B86" s="1568"/>
      <c r="C86" s="1558"/>
      <c r="D86" s="1163" t="s">
        <v>1064</v>
      </c>
      <c r="E86" s="1712"/>
      <c r="F86" s="1713"/>
      <c r="G86" s="1714"/>
      <c r="H86" s="1642"/>
      <c r="I86" s="1577"/>
      <c r="J86" s="1575"/>
      <c r="K86" s="1575"/>
      <c r="L86" s="1575"/>
      <c r="M86" s="1575"/>
      <c r="N86" s="1575">
        <v>10160</v>
      </c>
      <c r="O86" s="1575"/>
      <c r="P86" s="1575">
        <f>SUM(P84:P85)</f>
        <v>2450</v>
      </c>
      <c r="Q86" s="1573"/>
    </row>
    <row r="87" spans="1:17" s="337" customFormat="1" x14ac:dyDescent="0.35">
      <c r="A87" s="1423">
        <v>73</v>
      </c>
      <c r="B87" s="1568"/>
      <c r="C87" s="1558"/>
      <c r="D87" s="1174" t="s">
        <v>1012</v>
      </c>
      <c r="E87" s="1712"/>
      <c r="F87" s="1713"/>
      <c r="G87" s="1714"/>
      <c r="H87" s="1642"/>
      <c r="I87" s="1577"/>
      <c r="J87" s="1575"/>
      <c r="K87" s="1575"/>
      <c r="L87" s="1575"/>
      <c r="M87" s="1575"/>
      <c r="N87" s="1581"/>
      <c r="O87" s="1575"/>
      <c r="P87" s="1599">
        <f>SUM(I87:O87)</f>
        <v>0</v>
      </c>
      <c r="Q87" s="1573"/>
    </row>
    <row r="88" spans="1:17" s="337" customFormat="1" x14ac:dyDescent="0.35">
      <c r="A88" s="1423">
        <v>74</v>
      </c>
      <c r="B88" s="1568"/>
      <c r="C88" s="1558"/>
      <c r="D88" s="1163" t="s">
        <v>1116</v>
      </c>
      <c r="E88" s="1712"/>
      <c r="F88" s="1713"/>
      <c r="G88" s="1714"/>
      <c r="H88" s="1642"/>
      <c r="I88" s="1577"/>
      <c r="J88" s="1575"/>
      <c r="K88" s="1575"/>
      <c r="L88" s="1575"/>
      <c r="M88" s="1575"/>
      <c r="N88" s="1575">
        <f>SUM(N86:N87)</f>
        <v>10160</v>
      </c>
      <c r="O88" s="1575"/>
      <c r="P88" s="1576">
        <f>SUM(I88:O88)</f>
        <v>10160</v>
      </c>
      <c r="Q88" s="1573"/>
    </row>
    <row r="89" spans="1:17" s="337" customFormat="1" x14ac:dyDescent="0.35">
      <c r="A89" s="1423">
        <v>75</v>
      </c>
      <c r="B89" s="1568"/>
      <c r="C89" s="1558"/>
      <c r="D89" s="1559" t="s">
        <v>1102</v>
      </c>
      <c r="E89" s="1560">
        <f>F89+G89+P92</f>
        <v>37846</v>
      </c>
      <c r="F89" s="1713"/>
      <c r="G89" s="1714"/>
      <c r="H89" s="1642"/>
      <c r="I89" s="1577"/>
      <c r="J89" s="1575"/>
      <c r="K89" s="1575"/>
      <c r="L89" s="1575"/>
      <c r="M89" s="1575"/>
      <c r="N89" s="1575"/>
      <c r="O89" s="1575"/>
      <c r="P89" s="1716"/>
      <c r="Q89" s="1573"/>
    </row>
    <row r="90" spans="1:17" s="337" customFormat="1" x14ac:dyDescent="0.35">
      <c r="A90" s="1423">
        <v>76</v>
      </c>
      <c r="B90" s="1568"/>
      <c r="C90" s="1558"/>
      <c r="D90" s="1163" t="s">
        <v>1064</v>
      </c>
      <c r="E90" s="1712"/>
      <c r="F90" s="1713"/>
      <c r="G90" s="1714"/>
      <c r="H90" s="1642"/>
      <c r="I90" s="1577"/>
      <c r="J90" s="1575"/>
      <c r="K90" s="1575"/>
      <c r="L90" s="1575"/>
      <c r="M90" s="1575"/>
      <c r="N90" s="1575">
        <v>37846</v>
      </c>
      <c r="O90" s="1575"/>
      <c r="P90" s="1575">
        <f>SUM(P87:P89)</f>
        <v>10160</v>
      </c>
      <c r="Q90" s="1573"/>
    </row>
    <row r="91" spans="1:17" s="337" customFormat="1" x14ac:dyDescent="0.35">
      <c r="A91" s="1423">
        <v>77</v>
      </c>
      <c r="B91" s="1568"/>
      <c r="C91" s="1558"/>
      <c r="D91" s="1174" t="s">
        <v>1012</v>
      </c>
      <c r="E91" s="1712"/>
      <c r="F91" s="1713"/>
      <c r="G91" s="1714"/>
      <c r="H91" s="1642"/>
      <c r="I91" s="1577"/>
      <c r="J91" s="1575"/>
      <c r="K91" s="1575"/>
      <c r="L91" s="1575"/>
      <c r="M91" s="1575"/>
      <c r="N91" s="1581"/>
      <c r="O91" s="1575"/>
      <c r="P91" s="1599">
        <f>SUM(I91:O91)</f>
        <v>0</v>
      </c>
      <c r="Q91" s="1573"/>
    </row>
    <row r="92" spans="1:17" s="337" customFormat="1" x14ac:dyDescent="0.35">
      <c r="A92" s="1423">
        <v>78</v>
      </c>
      <c r="B92" s="1568"/>
      <c r="C92" s="1558"/>
      <c r="D92" s="1163" t="s">
        <v>1116</v>
      </c>
      <c r="E92" s="1712"/>
      <c r="F92" s="1713"/>
      <c r="G92" s="1714"/>
      <c r="H92" s="1642"/>
      <c r="I92" s="1577"/>
      <c r="J92" s="1575"/>
      <c r="K92" s="1575"/>
      <c r="L92" s="1575"/>
      <c r="M92" s="1575"/>
      <c r="N92" s="1575">
        <f>SUM(N90:N91)</f>
        <v>37846</v>
      </c>
      <c r="O92" s="1575"/>
      <c r="P92" s="1576">
        <f>SUM(I92:O92)</f>
        <v>37846</v>
      </c>
      <c r="Q92" s="1573"/>
    </row>
    <row r="93" spans="1:17" s="337" customFormat="1" x14ac:dyDescent="0.35">
      <c r="A93" s="1423">
        <v>79</v>
      </c>
      <c r="B93" s="1568"/>
      <c r="C93" s="1558"/>
      <c r="D93" s="1559" t="s">
        <v>1103</v>
      </c>
      <c r="E93" s="1560">
        <f>F93+G93+P96</f>
        <v>85090</v>
      </c>
      <c r="F93" s="1713"/>
      <c r="G93" s="1714"/>
      <c r="H93" s="1642"/>
      <c r="I93" s="1577"/>
      <c r="J93" s="1575"/>
      <c r="K93" s="1575"/>
      <c r="L93" s="1575"/>
      <c r="M93" s="1575"/>
      <c r="N93" s="1575"/>
      <c r="O93" s="1575"/>
      <c r="P93" s="1716"/>
      <c r="Q93" s="1573"/>
    </row>
    <row r="94" spans="1:17" s="337" customFormat="1" x14ac:dyDescent="0.35">
      <c r="A94" s="1423">
        <v>80</v>
      </c>
      <c r="B94" s="1568"/>
      <c r="C94" s="1558"/>
      <c r="D94" s="1163" t="s">
        <v>1064</v>
      </c>
      <c r="E94" s="1712"/>
      <c r="F94" s="1713"/>
      <c r="G94" s="1714"/>
      <c r="H94" s="1642"/>
      <c r="I94" s="1577"/>
      <c r="J94" s="1575"/>
      <c r="K94" s="1575"/>
      <c r="L94" s="1575"/>
      <c r="M94" s="1575"/>
      <c r="N94" s="1575">
        <v>85090</v>
      </c>
      <c r="O94" s="1575"/>
      <c r="P94" s="1575">
        <f>SUM(P91:P93)</f>
        <v>37846</v>
      </c>
      <c r="Q94" s="1573"/>
    </row>
    <row r="95" spans="1:17" s="337" customFormat="1" x14ac:dyDescent="0.35">
      <c r="A95" s="1423">
        <v>81</v>
      </c>
      <c r="B95" s="1568"/>
      <c r="C95" s="1558"/>
      <c r="D95" s="1174" t="s">
        <v>1012</v>
      </c>
      <c r="E95" s="1712"/>
      <c r="F95" s="1713"/>
      <c r="G95" s="1714"/>
      <c r="H95" s="1642"/>
      <c r="I95" s="1577"/>
      <c r="J95" s="1575"/>
      <c r="K95" s="1575"/>
      <c r="L95" s="1575"/>
      <c r="M95" s="1575"/>
      <c r="N95" s="1581"/>
      <c r="O95" s="1575"/>
      <c r="P95" s="1599">
        <f>SUM(I95:O95)</f>
        <v>0</v>
      </c>
      <c r="Q95" s="1573"/>
    </row>
    <row r="96" spans="1:17" s="337" customFormat="1" x14ac:dyDescent="0.35">
      <c r="A96" s="1423">
        <v>82</v>
      </c>
      <c r="B96" s="1568"/>
      <c r="C96" s="1558"/>
      <c r="D96" s="1163" t="s">
        <v>1116</v>
      </c>
      <c r="E96" s="1712"/>
      <c r="F96" s="1713"/>
      <c r="G96" s="1714"/>
      <c r="H96" s="1642"/>
      <c r="I96" s="1577"/>
      <c r="J96" s="1575"/>
      <c r="K96" s="1575"/>
      <c r="L96" s="1575"/>
      <c r="M96" s="1575"/>
      <c r="N96" s="1575">
        <f>SUM(N94:N95)</f>
        <v>85090</v>
      </c>
      <c r="O96" s="1575"/>
      <c r="P96" s="1576">
        <f>SUM(I96:O96)</f>
        <v>85090</v>
      </c>
      <c r="Q96" s="1573"/>
    </row>
    <row r="97" spans="1:262" s="337" customFormat="1" x14ac:dyDescent="0.35">
      <c r="A97" s="1423">
        <v>83</v>
      </c>
      <c r="B97" s="1568"/>
      <c r="C97" s="1558"/>
      <c r="D97" s="1559" t="s">
        <v>1104</v>
      </c>
      <c r="E97" s="1560">
        <f>F97+G97+P100</f>
        <v>25860</v>
      </c>
      <c r="F97" s="1713"/>
      <c r="G97" s="1714"/>
      <c r="H97" s="1642"/>
      <c r="I97" s="1577"/>
      <c r="J97" s="1575"/>
      <c r="K97" s="1575"/>
      <c r="L97" s="1575"/>
      <c r="M97" s="1575"/>
      <c r="N97" s="1575"/>
      <c r="O97" s="1575"/>
      <c r="P97" s="1716"/>
      <c r="Q97" s="1573"/>
    </row>
    <row r="98" spans="1:262" s="337" customFormat="1" x14ac:dyDescent="0.35">
      <c r="A98" s="1423">
        <v>84</v>
      </c>
      <c r="B98" s="1568"/>
      <c r="C98" s="1558"/>
      <c r="D98" s="1163" t="s">
        <v>1064</v>
      </c>
      <c r="E98" s="1712"/>
      <c r="F98" s="1713"/>
      <c r="G98" s="1714"/>
      <c r="H98" s="1642"/>
      <c r="I98" s="1577"/>
      <c r="J98" s="1575"/>
      <c r="K98" s="1575"/>
      <c r="L98" s="1575"/>
      <c r="M98" s="1575"/>
      <c r="N98" s="1575">
        <v>25860</v>
      </c>
      <c r="O98" s="1575"/>
      <c r="P98" s="1575">
        <f>SUM(P95:P97)</f>
        <v>85090</v>
      </c>
      <c r="Q98" s="1573"/>
    </row>
    <row r="99" spans="1:262" s="337" customFormat="1" x14ac:dyDescent="0.35">
      <c r="A99" s="1423">
        <v>85</v>
      </c>
      <c r="B99" s="1568"/>
      <c r="C99" s="1558"/>
      <c r="D99" s="1174" t="s">
        <v>1012</v>
      </c>
      <c r="E99" s="1712"/>
      <c r="F99" s="1713"/>
      <c r="G99" s="1714"/>
      <c r="H99" s="1642"/>
      <c r="I99" s="1577"/>
      <c r="J99" s="1575"/>
      <c r="K99" s="1575"/>
      <c r="L99" s="1575"/>
      <c r="M99" s="1575"/>
      <c r="N99" s="1581"/>
      <c r="O99" s="1575"/>
      <c r="P99" s="1599">
        <f>SUM(I99:O99)</f>
        <v>0</v>
      </c>
      <c r="Q99" s="1573"/>
    </row>
    <row r="100" spans="1:262" s="337" customFormat="1" x14ac:dyDescent="0.35">
      <c r="A100" s="1423">
        <v>86</v>
      </c>
      <c r="B100" s="1568"/>
      <c r="C100" s="1558"/>
      <c r="D100" s="1163" t="s">
        <v>1116</v>
      </c>
      <c r="E100" s="1712"/>
      <c r="F100" s="1713"/>
      <c r="G100" s="1714"/>
      <c r="H100" s="1642"/>
      <c r="I100" s="1577"/>
      <c r="J100" s="1575"/>
      <c r="K100" s="1575"/>
      <c r="L100" s="1575"/>
      <c r="M100" s="1575"/>
      <c r="N100" s="1575">
        <f>SUM(N98:N99)</f>
        <v>25860</v>
      </c>
      <c r="O100" s="1575"/>
      <c r="P100" s="1576">
        <f>SUM(I100:O100)</f>
        <v>25860</v>
      </c>
      <c r="Q100" s="1573"/>
    </row>
    <row r="101" spans="1:262" s="337" customFormat="1" x14ac:dyDescent="0.35">
      <c r="A101" s="1423">
        <v>87</v>
      </c>
      <c r="B101" s="1568"/>
      <c r="C101" s="1558"/>
      <c r="D101" s="1559" t="s">
        <v>1105</v>
      </c>
      <c r="E101" s="1560">
        <f>F101+G101+P104</f>
        <v>51000</v>
      </c>
      <c r="F101" s="1713"/>
      <c r="G101" s="1714"/>
      <c r="H101" s="1642"/>
      <c r="I101" s="1577"/>
      <c r="J101" s="1575"/>
      <c r="K101" s="1575"/>
      <c r="L101" s="1575"/>
      <c r="M101" s="1575"/>
      <c r="N101" s="1575"/>
      <c r="O101" s="1575"/>
      <c r="P101" s="1716"/>
      <c r="Q101" s="1573"/>
    </row>
    <row r="102" spans="1:262" s="337" customFormat="1" x14ac:dyDescent="0.35">
      <c r="A102" s="1423">
        <v>88</v>
      </c>
      <c r="B102" s="1568"/>
      <c r="C102" s="1558"/>
      <c r="D102" s="1163" t="s">
        <v>1064</v>
      </c>
      <c r="E102" s="1712"/>
      <c r="F102" s="1713"/>
      <c r="G102" s="1714"/>
      <c r="H102" s="1642"/>
      <c r="I102" s="1577"/>
      <c r="J102" s="1575"/>
      <c r="K102" s="1575"/>
      <c r="L102" s="1575"/>
      <c r="M102" s="1575"/>
      <c r="N102" s="1575">
        <v>51000</v>
      </c>
      <c r="O102" s="1575"/>
      <c r="P102" s="1575">
        <f>SUM(P99:P101)</f>
        <v>25860</v>
      </c>
      <c r="Q102" s="1573"/>
    </row>
    <row r="103" spans="1:262" s="272" customFormat="1" x14ac:dyDescent="0.35">
      <c r="A103" s="1423">
        <v>89</v>
      </c>
      <c r="B103" s="1568"/>
      <c r="C103" s="1558"/>
      <c r="D103" s="1174" t="s">
        <v>1012</v>
      </c>
      <c r="E103" s="1712"/>
      <c r="F103" s="1713"/>
      <c r="G103" s="1714"/>
      <c r="H103" s="1642"/>
      <c r="I103" s="1577"/>
      <c r="J103" s="1575"/>
      <c r="K103" s="1575"/>
      <c r="L103" s="1575"/>
      <c r="M103" s="1575"/>
      <c r="N103" s="1581"/>
      <c r="O103" s="1575"/>
      <c r="P103" s="1599">
        <f>SUM(I103:O103)</f>
        <v>0</v>
      </c>
      <c r="Q103" s="1573"/>
      <c r="R103" s="148"/>
      <c r="S103" s="148"/>
      <c r="T103" s="148"/>
      <c r="U103" s="148"/>
      <c r="V103" s="148"/>
      <c r="W103" s="148"/>
      <c r="X103" s="148"/>
      <c r="Y103" s="148"/>
      <c r="Z103" s="148"/>
      <c r="AA103" s="148"/>
      <c r="AB103" s="148"/>
      <c r="AC103" s="148"/>
      <c r="AD103" s="148"/>
      <c r="AE103" s="148"/>
      <c r="AF103" s="148"/>
      <c r="AG103" s="148"/>
      <c r="AH103" s="148"/>
      <c r="AI103" s="148"/>
      <c r="AJ103" s="148"/>
      <c r="AK103" s="148"/>
      <c r="AL103" s="148"/>
      <c r="AM103" s="148"/>
      <c r="AN103" s="148"/>
      <c r="AO103" s="148"/>
      <c r="AP103" s="148"/>
      <c r="AQ103" s="148"/>
      <c r="AR103" s="148"/>
      <c r="AS103" s="148"/>
      <c r="AT103" s="148"/>
      <c r="AU103" s="148"/>
      <c r="AV103" s="148"/>
      <c r="AW103" s="148"/>
      <c r="AX103" s="148"/>
      <c r="AY103" s="148"/>
      <c r="AZ103" s="148"/>
      <c r="BA103" s="148"/>
      <c r="BB103" s="148"/>
      <c r="BC103" s="148"/>
      <c r="BD103" s="148"/>
      <c r="BE103" s="148"/>
      <c r="BF103" s="148"/>
      <c r="BG103" s="148"/>
      <c r="BH103" s="148"/>
      <c r="BI103" s="148"/>
      <c r="BJ103" s="148"/>
      <c r="BK103" s="148"/>
      <c r="BL103" s="148"/>
      <c r="BM103" s="148"/>
      <c r="BN103" s="148"/>
      <c r="BO103" s="148"/>
      <c r="BP103" s="148"/>
      <c r="BQ103" s="148"/>
      <c r="BR103" s="148"/>
      <c r="BS103" s="148"/>
      <c r="BT103" s="148"/>
      <c r="BU103" s="148"/>
      <c r="BV103" s="148"/>
      <c r="BW103" s="148"/>
      <c r="BX103" s="148"/>
      <c r="BY103" s="148"/>
      <c r="BZ103" s="148"/>
      <c r="CA103" s="148"/>
      <c r="CB103" s="148"/>
      <c r="CC103" s="148"/>
      <c r="CD103" s="148"/>
      <c r="CE103" s="148"/>
      <c r="CF103" s="148"/>
      <c r="CG103" s="148"/>
      <c r="CH103" s="148"/>
      <c r="CI103" s="148"/>
      <c r="CJ103" s="148"/>
      <c r="CK103" s="148"/>
      <c r="CL103" s="148"/>
      <c r="CM103" s="148"/>
      <c r="CN103" s="148"/>
      <c r="CO103" s="148"/>
      <c r="CP103" s="148"/>
      <c r="CQ103" s="148"/>
      <c r="CR103" s="148"/>
      <c r="CS103" s="148"/>
      <c r="CT103" s="148"/>
      <c r="CU103" s="148"/>
      <c r="CV103" s="148"/>
      <c r="CW103" s="148"/>
      <c r="CX103" s="148"/>
      <c r="CY103" s="148"/>
      <c r="CZ103" s="148"/>
      <c r="DA103" s="148"/>
      <c r="DB103" s="148"/>
      <c r="DC103" s="148"/>
      <c r="DD103" s="148"/>
      <c r="DE103" s="148"/>
      <c r="DF103" s="148"/>
      <c r="DG103" s="148"/>
      <c r="DH103" s="148"/>
      <c r="DI103" s="148"/>
      <c r="DJ103" s="148"/>
      <c r="DK103" s="148"/>
      <c r="DL103" s="148"/>
      <c r="DM103" s="148"/>
      <c r="DN103" s="148"/>
      <c r="DO103" s="148"/>
      <c r="DP103" s="148"/>
      <c r="DQ103" s="148"/>
      <c r="DR103" s="148"/>
      <c r="DS103" s="148"/>
      <c r="DT103" s="148"/>
      <c r="DU103" s="148"/>
      <c r="DV103" s="148"/>
      <c r="DW103" s="148"/>
      <c r="DX103" s="148"/>
      <c r="DY103" s="148"/>
      <c r="DZ103" s="148"/>
      <c r="EA103" s="148"/>
      <c r="EB103" s="148"/>
      <c r="EC103" s="148"/>
      <c r="ED103" s="148"/>
      <c r="EE103" s="148"/>
      <c r="EF103" s="148"/>
      <c r="EG103" s="148"/>
      <c r="EH103" s="148"/>
      <c r="EI103" s="148"/>
      <c r="EJ103" s="148"/>
      <c r="EK103" s="148"/>
      <c r="EL103" s="148"/>
      <c r="EM103" s="148"/>
      <c r="EN103" s="148"/>
      <c r="EO103" s="148"/>
      <c r="EP103" s="148"/>
      <c r="EQ103" s="148"/>
      <c r="ER103" s="148"/>
      <c r="ES103" s="148"/>
      <c r="ET103" s="148"/>
      <c r="EU103" s="148"/>
      <c r="EV103" s="148"/>
      <c r="EW103" s="148"/>
      <c r="EX103" s="148"/>
      <c r="EY103" s="148"/>
      <c r="EZ103" s="148"/>
      <c r="FA103" s="148"/>
      <c r="FB103" s="148"/>
      <c r="FC103" s="148"/>
      <c r="FD103" s="148"/>
      <c r="FE103" s="148"/>
      <c r="FF103" s="148"/>
      <c r="FG103" s="148"/>
      <c r="FH103" s="148"/>
      <c r="FI103" s="148"/>
      <c r="FJ103" s="148"/>
      <c r="FK103" s="148"/>
      <c r="FL103" s="148"/>
      <c r="FM103" s="148"/>
      <c r="FN103" s="148"/>
      <c r="FO103" s="148"/>
      <c r="FP103" s="148"/>
      <c r="FQ103" s="148"/>
      <c r="FR103" s="148"/>
      <c r="FS103" s="148"/>
      <c r="FT103" s="148"/>
      <c r="FU103" s="148"/>
      <c r="FV103" s="148"/>
      <c r="FW103" s="148"/>
      <c r="FX103" s="148"/>
      <c r="FY103" s="148"/>
      <c r="FZ103" s="148"/>
      <c r="GA103" s="148"/>
      <c r="GB103" s="148"/>
      <c r="GC103" s="148"/>
      <c r="GD103" s="148"/>
      <c r="GE103" s="148"/>
      <c r="GF103" s="148"/>
      <c r="GG103" s="148"/>
      <c r="GH103" s="148"/>
      <c r="GI103" s="148"/>
      <c r="GJ103" s="148"/>
      <c r="GK103" s="148"/>
      <c r="GL103" s="148"/>
      <c r="GM103" s="148"/>
      <c r="GN103" s="148"/>
      <c r="GO103" s="148"/>
      <c r="GP103" s="148"/>
      <c r="GQ103" s="148"/>
      <c r="GR103" s="148"/>
      <c r="GS103" s="148"/>
      <c r="GT103" s="148"/>
      <c r="GU103" s="148"/>
      <c r="GV103" s="148"/>
      <c r="GW103" s="148"/>
      <c r="GX103" s="148"/>
      <c r="GY103" s="148"/>
      <c r="GZ103" s="148"/>
      <c r="HA103" s="148"/>
      <c r="HB103" s="148"/>
      <c r="HC103" s="148"/>
      <c r="HD103" s="148"/>
      <c r="HE103" s="148"/>
      <c r="HF103" s="148"/>
      <c r="HG103" s="148"/>
      <c r="HH103" s="148"/>
      <c r="HI103" s="148"/>
      <c r="HJ103" s="148"/>
      <c r="HK103" s="148"/>
      <c r="HL103" s="148"/>
      <c r="HM103" s="148"/>
      <c r="HN103" s="148"/>
      <c r="HO103" s="148"/>
      <c r="HP103" s="148"/>
      <c r="HQ103" s="148"/>
      <c r="HR103" s="148"/>
      <c r="HS103" s="148"/>
      <c r="HT103" s="148"/>
      <c r="HU103" s="148"/>
      <c r="HV103" s="148"/>
      <c r="HW103" s="148"/>
      <c r="HX103" s="148"/>
      <c r="HY103" s="148"/>
      <c r="HZ103" s="148"/>
      <c r="IA103" s="148"/>
      <c r="IB103" s="148"/>
      <c r="IC103" s="148"/>
      <c r="ID103" s="148"/>
      <c r="IE103" s="148"/>
      <c r="IF103" s="148"/>
      <c r="IG103" s="148"/>
      <c r="IH103" s="148"/>
      <c r="II103" s="148"/>
      <c r="IJ103" s="148"/>
      <c r="IK103" s="148"/>
      <c r="IL103" s="148"/>
      <c r="IM103" s="148"/>
      <c r="IN103" s="148"/>
      <c r="IO103" s="148"/>
      <c r="IP103" s="148"/>
      <c r="IQ103" s="148"/>
      <c r="IR103" s="148"/>
      <c r="IS103" s="148"/>
      <c r="IT103" s="148"/>
      <c r="IU103" s="148"/>
      <c r="IV103" s="148"/>
      <c r="IW103" s="148"/>
      <c r="IX103" s="148"/>
      <c r="IY103" s="148"/>
      <c r="IZ103" s="148"/>
      <c r="JA103" s="148"/>
      <c r="JB103" s="148"/>
    </row>
    <row r="104" spans="1:262" s="272" customFormat="1" x14ac:dyDescent="0.35">
      <c r="A104" s="1423">
        <v>90</v>
      </c>
      <c r="B104" s="1568"/>
      <c r="C104" s="1558"/>
      <c r="D104" s="1163" t="s">
        <v>1116</v>
      </c>
      <c r="E104" s="1712"/>
      <c r="F104" s="1713"/>
      <c r="G104" s="1714"/>
      <c r="H104" s="1642"/>
      <c r="I104" s="1577"/>
      <c r="J104" s="1575"/>
      <c r="K104" s="1575"/>
      <c r="L104" s="1575"/>
      <c r="M104" s="1575"/>
      <c r="N104" s="1575">
        <f>SUM(N102:N103)</f>
        <v>51000</v>
      </c>
      <c r="O104" s="1575"/>
      <c r="P104" s="1576">
        <f>SUM(I104:O104)</f>
        <v>51000</v>
      </c>
      <c r="Q104" s="1573"/>
      <c r="R104" s="148"/>
      <c r="S104" s="148"/>
      <c r="T104" s="148"/>
      <c r="U104" s="148"/>
      <c r="V104" s="148"/>
      <c r="W104" s="148"/>
      <c r="X104" s="148"/>
      <c r="Y104" s="148"/>
      <c r="Z104" s="148"/>
      <c r="AA104" s="148"/>
      <c r="AB104" s="148"/>
      <c r="AC104" s="148"/>
      <c r="AD104" s="148"/>
      <c r="AE104" s="148"/>
      <c r="AF104" s="148"/>
      <c r="AG104" s="148"/>
      <c r="AH104" s="148"/>
      <c r="AI104" s="148"/>
      <c r="AJ104" s="148"/>
      <c r="AK104" s="148"/>
      <c r="AL104" s="148"/>
      <c r="AM104" s="148"/>
      <c r="AN104" s="148"/>
      <c r="AO104" s="148"/>
      <c r="AP104" s="148"/>
      <c r="AQ104" s="148"/>
      <c r="AR104" s="148"/>
      <c r="AS104" s="148"/>
      <c r="AT104" s="148"/>
      <c r="AU104" s="148"/>
      <c r="AV104" s="148"/>
      <c r="AW104" s="148"/>
      <c r="AX104" s="148"/>
      <c r="AY104" s="148"/>
      <c r="AZ104" s="148"/>
      <c r="BA104" s="148"/>
      <c r="BB104" s="148"/>
      <c r="BC104" s="148"/>
      <c r="BD104" s="148"/>
      <c r="BE104" s="148"/>
      <c r="BF104" s="148"/>
      <c r="BG104" s="148"/>
      <c r="BH104" s="148"/>
      <c r="BI104" s="148"/>
      <c r="BJ104" s="148"/>
      <c r="BK104" s="148"/>
      <c r="BL104" s="148"/>
      <c r="BM104" s="148"/>
      <c r="BN104" s="148"/>
      <c r="BO104" s="148"/>
      <c r="BP104" s="148"/>
      <c r="BQ104" s="148"/>
      <c r="BR104" s="148"/>
      <c r="BS104" s="148"/>
      <c r="BT104" s="148"/>
      <c r="BU104" s="148"/>
      <c r="BV104" s="148"/>
      <c r="BW104" s="148"/>
      <c r="BX104" s="148"/>
      <c r="BY104" s="148"/>
      <c r="BZ104" s="148"/>
      <c r="CA104" s="148"/>
      <c r="CB104" s="148"/>
      <c r="CC104" s="148"/>
      <c r="CD104" s="148"/>
      <c r="CE104" s="148"/>
      <c r="CF104" s="148"/>
      <c r="CG104" s="148"/>
      <c r="CH104" s="148"/>
      <c r="CI104" s="148"/>
      <c r="CJ104" s="148"/>
      <c r="CK104" s="148"/>
      <c r="CL104" s="148"/>
      <c r="CM104" s="148"/>
      <c r="CN104" s="148"/>
      <c r="CO104" s="148"/>
      <c r="CP104" s="148"/>
      <c r="CQ104" s="148"/>
      <c r="CR104" s="148"/>
      <c r="CS104" s="148"/>
      <c r="CT104" s="148"/>
      <c r="CU104" s="148"/>
      <c r="CV104" s="148"/>
      <c r="CW104" s="148"/>
      <c r="CX104" s="148"/>
      <c r="CY104" s="148"/>
      <c r="CZ104" s="148"/>
      <c r="DA104" s="148"/>
      <c r="DB104" s="148"/>
      <c r="DC104" s="148"/>
      <c r="DD104" s="148"/>
      <c r="DE104" s="148"/>
      <c r="DF104" s="148"/>
      <c r="DG104" s="148"/>
      <c r="DH104" s="148"/>
      <c r="DI104" s="148"/>
      <c r="DJ104" s="148"/>
      <c r="DK104" s="148"/>
      <c r="DL104" s="148"/>
      <c r="DM104" s="148"/>
      <c r="DN104" s="148"/>
      <c r="DO104" s="148"/>
      <c r="DP104" s="148"/>
      <c r="DQ104" s="148"/>
      <c r="DR104" s="148"/>
      <c r="DS104" s="148"/>
      <c r="DT104" s="148"/>
      <c r="DU104" s="148"/>
      <c r="DV104" s="148"/>
      <c r="DW104" s="148"/>
      <c r="DX104" s="148"/>
      <c r="DY104" s="148"/>
      <c r="DZ104" s="148"/>
      <c r="EA104" s="148"/>
      <c r="EB104" s="148"/>
      <c r="EC104" s="148"/>
      <c r="ED104" s="148"/>
      <c r="EE104" s="148"/>
      <c r="EF104" s="148"/>
      <c r="EG104" s="148"/>
      <c r="EH104" s="148"/>
      <c r="EI104" s="148"/>
      <c r="EJ104" s="148"/>
      <c r="EK104" s="148"/>
      <c r="EL104" s="148"/>
      <c r="EM104" s="148"/>
      <c r="EN104" s="148"/>
      <c r="EO104" s="148"/>
      <c r="EP104" s="148"/>
      <c r="EQ104" s="148"/>
      <c r="ER104" s="148"/>
      <c r="ES104" s="148"/>
      <c r="ET104" s="148"/>
      <c r="EU104" s="148"/>
      <c r="EV104" s="148"/>
      <c r="EW104" s="148"/>
      <c r="EX104" s="148"/>
      <c r="EY104" s="148"/>
      <c r="EZ104" s="148"/>
      <c r="FA104" s="148"/>
      <c r="FB104" s="148"/>
      <c r="FC104" s="148"/>
      <c r="FD104" s="148"/>
      <c r="FE104" s="148"/>
      <c r="FF104" s="148"/>
      <c r="FG104" s="148"/>
      <c r="FH104" s="148"/>
      <c r="FI104" s="148"/>
      <c r="FJ104" s="148"/>
      <c r="FK104" s="148"/>
      <c r="FL104" s="148"/>
      <c r="FM104" s="148"/>
      <c r="FN104" s="148"/>
      <c r="FO104" s="148"/>
      <c r="FP104" s="148"/>
      <c r="FQ104" s="148"/>
      <c r="FR104" s="148"/>
      <c r="FS104" s="148"/>
      <c r="FT104" s="148"/>
      <c r="FU104" s="148"/>
      <c r="FV104" s="148"/>
      <c r="FW104" s="148"/>
      <c r="FX104" s="148"/>
      <c r="FY104" s="148"/>
      <c r="FZ104" s="148"/>
      <c r="GA104" s="148"/>
      <c r="GB104" s="148"/>
      <c r="GC104" s="148"/>
      <c r="GD104" s="148"/>
      <c r="GE104" s="148"/>
      <c r="GF104" s="148"/>
      <c r="GG104" s="148"/>
      <c r="GH104" s="148"/>
      <c r="GI104" s="148"/>
      <c r="GJ104" s="148"/>
      <c r="GK104" s="148"/>
      <c r="GL104" s="148"/>
      <c r="GM104" s="148"/>
      <c r="GN104" s="148"/>
      <c r="GO104" s="148"/>
      <c r="GP104" s="148"/>
      <c r="GQ104" s="148"/>
      <c r="GR104" s="148"/>
      <c r="GS104" s="148"/>
      <c r="GT104" s="148"/>
      <c r="GU104" s="148"/>
      <c r="GV104" s="148"/>
      <c r="GW104" s="148"/>
      <c r="GX104" s="148"/>
      <c r="GY104" s="148"/>
      <c r="GZ104" s="148"/>
      <c r="HA104" s="148"/>
      <c r="HB104" s="148"/>
      <c r="HC104" s="148"/>
      <c r="HD104" s="148"/>
      <c r="HE104" s="148"/>
      <c r="HF104" s="148"/>
      <c r="HG104" s="148"/>
      <c r="HH104" s="148"/>
      <c r="HI104" s="148"/>
      <c r="HJ104" s="148"/>
      <c r="HK104" s="148"/>
      <c r="HL104" s="148"/>
      <c r="HM104" s="148"/>
      <c r="HN104" s="148"/>
      <c r="HO104" s="148"/>
      <c r="HP104" s="148"/>
      <c r="HQ104" s="148"/>
      <c r="HR104" s="148"/>
      <c r="HS104" s="148"/>
      <c r="HT104" s="148"/>
      <c r="HU104" s="148"/>
      <c r="HV104" s="148"/>
      <c r="HW104" s="148"/>
      <c r="HX104" s="148"/>
      <c r="HY104" s="148"/>
      <c r="HZ104" s="148"/>
      <c r="IA104" s="148"/>
      <c r="IB104" s="148"/>
      <c r="IC104" s="148"/>
      <c r="ID104" s="148"/>
      <c r="IE104" s="148"/>
      <c r="IF104" s="148"/>
      <c r="IG104" s="148"/>
      <c r="IH104" s="148"/>
      <c r="II104" s="148"/>
      <c r="IJ104" s="148"/>
      <c r="IK104" s="148"/>
      <c r="IL104" s="148"/>
      <c r="IM104" s="148"/>
      <c r="IN104" s="148"/>
      <c r="IO104" s="148"/>
      <c r="IP104" s="148"/>
      <c r="IQ104" s="148"/>
      <c r="IR104" s="148"/>
      <c r="IS104" s="148"/>
      <c r="IT104" s="148"/>
      <c r="IU104" s="148"/>
      <c r="IV104" s="148"/>
      <c r="IW104" s="148"/>
      <c r="IX104" s="148"/>
      <c r="IY104" s="148"/>
      <c r="IZ104" s="148"/>
      <c r="JA104" s="148"/>
      <c r="JB104" s="148"/>
    </row>
    <row r="105" spans="1:262" s="272" customFormat="1" x14ac:dyDescent="0.35">
      <c r="A105" s="1423">
        <v>91</v>
      </c>
      <c r="B105" s="1568"/>
      <c r="C105" s="1558"/>
      <c r="D105" s="1559" t="s">
        <v>789</v>
      </c>
      <c r="E105" s="1560"/>
      <c r="F105" s="1713"/>
      <c r="G105" s="1714"/>
      <c r="H105" s="1642"/>
      <c r="I105" s="1571"/>
      <c r="J105" s="1572"/>
      <c r="K105" s="1565"/>
      <c r="L105" s="1565"/>
      <c r="M105" s="1572"/>
      <c r="N105" s="1572"/>
      <c r="O105" s="1572"/>
      <c r="P105" s="1566"/>
      <c r="Q105" s="1573"/>
      <c r="R105" s="148"/>
      <c r="S105" s="148"/>
      <c r="T105" s="148"/>
      <c r="U105" s="148"/>
      <c r="V105" s="148"/>
      <c r="W105" s="148"/>
      <c r="X105" s="148"/>
      <c r="Y105" s="148"/>
      <c r="Z105" s="148"/>
      <c r="AA105" s="148"/>
      <c r="AB105" s="148"/>
      <c r="AC105" s="148"/>
      <c r="AD105" s="148"/>
      <c r="AE105" s="148"/>
      <c r="AF105" s="148"/>
      <c r="AG105" s="148"/>
      <c r="AH105" s="148"/>
      <c r="AI105" s="148"/>
      <c r="AJ105" s="148"/>
      <c r="AK105" s="148"/>
      <c r="AL105" s="148"/>
      <c r="AM105" s="148"/>
      <c r="AN105" s="148"/>
      <c r="AO105" s="148"/>
      <c r="AP105" s="148"/>
      <c r="AQ105" s="148"/>
      <c r="AR105" s="148"/>
      <c r="AS105" s="148"/>
      <c r="AT105" s="148"/>
      <c r="AU105" s="148"/>
      <c r="AV105" s="148"/>
      <c r="AW105" s="148"/>
      <c r="AX105" s="148"/>
      <c r="AY105" s="148"/>
      <c r="AZ105" s="148"/>
      <c r="BA105" s="148"/>
      <c r="BB105" s="148"/>
      <c r="BC105" s="148"/>
      <c r="BD105" s="148"/>
      <c r="BE105" s="148"/>
      <c r="BF105" s="148"/>
      <c r="BG105" s="148"/>
      <c r="BH105" s="148"/>
      <c r="BI105" s="148"/>
      <c r="BJ105" s="148"/>
      <c r="BK105" s="148"/>
      <c r="BL105" s="148"/>
      <c r="BM105" s="148"/>
      <c r="BN105" s="148"/>
      <c r="BO105" s="148"/>
      <c r="BP105" s="148"/>
      <c r="BQ105" s="148"/>
      <c r="BR105" s="148"/>
      <c r="BS105" s="148"/>
      <c r="BT105" s="148"/>
      <c r="BU105" s="148"/>
      <c r="BV105" s="148"/>
      <c r="BW105" s="148"/>
      <c r="BX105" s="148"/>
      <c r="BY105" s="148"/>
      <c r="BZ105" s="148"/>
      <c r="CA105" s="148"/>
      <c r="CB105" s="148"/>
      <c r="CC105" s="148"/>
      <c r="CD105" s="148"/>
      <c r="CE105" s="148"/>
      <c r="CF105" s="148"/>
      <c r="CG105" s="148"/>
      <c r="CH105" s="148"/>
      <c r="CI105" s="148"/>
      <c r="CJ105" s="148"/>
      <c r="CK105" s="148"/>
      <c r="CL105" s="148"/>
      <c r="CM105" s="148"/>
      <c r="CN105" s="148"/>
      <c r="CO105" s="148"/>
      <c r="CP105" s="148"/>
      <c r="CQ105" s="148"/>
      <c r="CR105" s="148"/>
      <c r="CS105" s="148"/>
      <c r="CT105" s="148"/>
      <c r="CU105" s="148"/>
      <c r="CV105" s="148"/>
      <c r="CW105" s="148"/>
      <c r="CX105" s="148"/>
      <c r="CY105" s="148"/>
      <c r="CZ105" s="148"/>
      <c r="DA105" s="148"/>
      <c r="DB105" s="148"/>
      <c r="DC105" s="148"/>
      <c r="DD105" s="148"/>
      <c r="DE105" s="148"/>
      <c r="DF105" s="148"/>
      <c r="DG105" s="148"/>
      <c r="DH105" s="148"/>
      <c r="DI105" s="148"/>
      <c r="DJ105" s="148"/>
      <c r="DK105" s="148"/>
      <c r="DL105" s="148"/>
      <c r="DM105" s="148"/>
      <c r="DN105" s="148"/>
      <c r="DO105" s="148"/>
      <c r="DP105" s="148"/>
      <c r="DQ105" s="148"/>
      <c r="DR105" s="148"/>
      <c r="DS105" s="148"/>
      <c r="DT105" s="148"/>
      <c r="DU105" s="148"/>
      <c r="DV105" s="148"/>
      <c r="DW105" s="148"/>
      <c r="DX105" s="148"/>
      <c r="DY105" s="148"/>
      <c r="DZ105" s="148"/>
      <c r="EA105" s="148"/>
      <c r="EB105" s="148"/>
      <c r="EC105" s="148"/>
      <c r="ED105" s="148"/>
      <c r="EE105" s="148"/>
      <c r="EF105" s="148"/>
      <c r="EG105" s="148"/>
      <c r="EH105" s="148"/>
      <c r="EI105" s="148"/>
      <c r="EJ105" s="148"/>
      <c r="EK105" s="148"/>
      <c r="EL105" s="148"/>
      <c r="EM105" s="148"/>
      <c r="EN105" s="148"/>
      <c r="EO105" s="148"/>
      <c r="EP105" s="148"/>
      <c r="EQ105" s="148"/>
      <c r="ER105" s="148"/>
      <c r="ES105" s="148"/>
      <c r="ET105" s="148"/>
      <c r="EU105" s="148"/>
      <c r="EV105" s="148"/>
      <c r="EW105" s="148"/>
      <c r="EX105" s="148"/>
      <c r="EY105" s="148"/>
      <c r="EZ105" s="148"/>
      <c r="FA105" s="148"/>
      <c r="FB105" s="148"/>
      <c r="FC105" s="148"/>
      <c r="FD105" s="148"/>
      <c r="FE105" s="148"/>
      <c r="FF105" s="148"/>
      <c r="FG105" s="148"/>
      <c r="FH105" s="148"/>
      <c r="FI105" s="148"/>
      <c r="FJ105" s="148"/>
      <c r="FK105" s="148"/>
      <c r="FL105" s="148"/>
      <c r="FM105" s="148"/>
      <c r="FN105" s="148"/>
      <c r="FO105" s="148"/>
      <c r="FP105" s="148"/>
      <c r="FQ105" s="148"/>
      <c r="FR105" s="148"/>
      <c r="FS105" s="148"/>
      <c r="FT105" s="148"/>
      <c r="FU105" s="148"/>
      <c r="FV105" s="148"/>
      <c r="FW105" s="148"/>
      <c r="FX105" s="148"/>
      <c r="FY105" s="148"/>
      <c r="FZ105" s="148"/>
      <c r="GA105" s="148"/>
      <c r="GB105" s="148"/>
      <c r="GC105" s="148"/>
      <c r="GD105" s="148"/>
      <c r="GE105" s="148"/>
      <c r="GF105" s="148"/>
      <c r="GG105" s="148"/>
      <c r="GH105" s="148"/>
      <c r="GI105" s="148"/>
      <c r="GJ105" s="148"/>
      <c r="GK105" s="148"/>
      <c r="GL105" s="148"/>
      <c r="GM105" s="148"/>
      <c r="GN105" s="148"/>
      <c r="GO105" s="148"/>
      <c r="GP105" s="148"/>
      <c r="GQ105" s="148"/>
      <c r="GR105" s="148"/>
      <c r="GS105" s="148"/>
      <c r="GT105" s="148"/>
      <c r="GU105" s="148"/>
      <c r="GV105" s="148"/>
      <c r="GW105" s="148"/>
      <c r="GX105" s="148"/>
      <c r="GY105" s="148"/>
      <c r="GZ105" s="148"/>
      <c r="HA105" s="148"/>
      <c r="HB105" s="148"/>
      <c r="HC105" s="148"/>
      <c r="HD105" s="148"/>
      <c r="HE105" s="148"/>
      <c r="HF105" s="148"/>
      <c r="HG105" s="148"/>
      <c r="HH105" s="148"/>
      <c r="HI105" s="148"/>
      <c r="HJ105" s="148"/>
      <c r="HK105" s="148"/>
      <c r="HL105" s="148"/>
      <c r="HM105" s="148"/>
      <c r="HN105" s="148"/>
      <c r="HO105" s="148"/>
      <c r="HP105" s="148"/>
      <c r="HQ105" s="148"/>
      <c r="HR105" s="148"/>
      <c r="HS105" s="148"/>
      <c r="HT105" s="148"/>
      <c r="HU105" s="148"/>
      <c r="HV105" s="148"/>
      <c r="HW105" s="148"/>
      <c r="HX105" s="148"/>
      <c r="HY105" s="148"/>
      <c r="HZ105" s="148"/>
      <c r="IA105" s="148"/>
      <c r="IB105" s="148"/>
      <c r="IC105" s="148"/>
      <c r="ID105" s="148"/>
      <c r="IE105" s="148"/>
      <c r="IF105" s="148"/>
      <c r="IG105" s="148"/>
      <c r="IH105" s="148"/>
      <c r="II105" s="148"/>
      <c r="IJ105" s="148"/>
      <c r="IK105" s="148"/>
      <c r="IL105" s="148"/>
      <c r="IM105" s="148"/>
      <c r="IN105" s="148"/>
      <c r="IO105" s="148"/>
      <c r="IP105" s="148"/>
      <c r="IQ105" s="148"/>
      <c r="IR105" s="148"/>
      <c r="IS105" s="148"/>
      <c r="IT105" s="148"/>
      <c r="IU105" s="148"/>
      <c r="IV105" s="148"/>
      <c r="IW105" s="148"/>
      <c r="IX105" s="148"/>
      <c r="IY105" s="148"/>
      <c r="IZ105" s="148"/>
      <c r="JA105" s="148"/>
      <c r="JB105" s="148"/>
    </row>
    <row r="106" spans="1:262" s="272" customFormat="1" x14ac:dyDescent="0.35">
      <c r="A106" s="1423">
        <v>92</v>
      </c>
      <c r="B106" s="1568"/>
      <c r="C106" s="1558"/>
      <c r="D106" s="1570" t="s">
        <v>311</v>
      </c>
      <c r="E106" s="1712"/>
      <c r="F106" s="1713"/>
      <c r="G106" s="1714"/>
      <c r="H106" s="1642"/>
      <c r="I106" s="1571"/>
      <c r="J106" s="1572"/>
      <c r="K106" s="1572">
        <v>25400</v>
      </c>
      <c r="L106" s="1565"/>
      <c r="M106" s="1572"/>
      <c r="N106" s="1572"/>
      <c r="O106" s="1572"/>
      <c r="P106" s="1566">
        <f>SUM(I106:O106)</f>
        <v>25400</v>
      </c>
      <c r="Q106" s="1573"/>
      <c r="R106" s="148"/>
      <c r="S106" s="148"/>
      <c r="T106" s="148"/>
      <c r="U106" s="148"/>
      <c r="V106" s="148"/>
      <c r="W106" s="148"/>
      <c r="X106" s="148"/>
      <c r="Y106" s="148"/>
      <c r="Z106" s="148"/>
      <c r="AA106" s="148"/>
      <c r="AB106" s="148"/>
      <c r="AC106" s="148"/>
      <c r="AD106" s="148"/>
      <c r="AE106" s="148"/>
      <c r="AF106" s="148"/>
      <c r="AG106" s="148"/>
      <c r="AH106" s="148"/>
      <c r="AI106" s="148"/>
      <c r="AJ106" s="148"/>
      <c r="AK106" s="148"/>
      <c r="AL106" s="148"/>
      <c r="AM106" s="148"/>
      <c r="AN106" s="148"/>
      <c r="AO106" s="148"/>
      <c r="AP106" s="148"/>
      <c r="AQ106" s="148"/>
      <c r="AR106" s="148"/>
      <c r="AS106" s="148"/>
      <c r="AT106" s="148"/>
      <c r="AU106" s="148"/>
      <c r="AV106" s="148"/>
      <c r="AW106" s="148"/>
      <c r="AX106" s="148"/>
      <c r="AY106" s="148"/>
      <c r="AZ106" s="148"/>
      <c r="BA106" s="148"/>
      <c r="BB106" s="148"/>
      <c r="BC106" s="148"/>
      <c r="BD106" s="148"/>
      <c r="BE106" s="148"/>
      <c r="BF106" s="148"/>
      <c r="BG106" s="148"/>
      <c r="BH106" s="148"/>
      <c r="BI106" s="148"/>
      <c r="BJ106" s="148"/>
      <c r="BK106" s="148"/>
      <c r="BL106" s="148"/>
      <c r="BM106" s="148"/>
      <c r="BN106" s="148"/>
      <c r="BO106" s="148"/>
      <c r="BP106" s="148"/>
      <c r="BQ106" s="148"/>
      <c r="BR106" s="148"/>
      <c r="BS106" s="148"/>
      <c r="BT106" s="148"/>
      <c r="BU106" s="148"/>
      <c r="BV106" s="148"/>
      <c r="BW106" s="148"/>
      <c r="BX106" s="148"/>
      <c r="BY106" s="148"/>
      <c r="BZ106" s="148"/>
      <c r="CA106" s="148"/>
      <c r="CB106" s="148"/>
      <c r="CC106" s="148"/>
      <c r="CD106" s="148"/>
      <c r="CE106" s="148"/>
      <c r="CF106" s="148"/>
      <c r="CG106" s="148"/>
      <c r="CH106" s="148"/>
      <c r="CI106" s="148"/>
      <c r="CJ106" s="148"/>
      <c r="CK106" s="148"/>
      <c r="CL106" s="148"/>
      <c r="CM106" s="148"/>
      <c r="CN106" s="148"/>
      <c r="CO106" s="148"/>
      <c r="CP106" s="148"/>
      <c r="CQ106" s="148"/>
      <c r="CR106" s="148"/>
      <c r="CS106" s="148"/>
      <c r="CT106" s="148"/>
      <c r="CU106" s="148"/>
      <c r="CV106" s="148"/>
      <c r="CW106" s="148"/>
      <c r="CX106" s="148"/>
      <c r="CY106" s="148"/>
      <c r="CZ106" s="148"/>
      <c r="DA106" s="148"/>
      <c r="DB106" s="148"/>
      <c r="DC106" s="148"/>
      <c r="DD106" s="148"/>
      <c r="DE106" s="148"/>
      <c r="DF106" s="148"/>
      <c r="DG106" s="148"/>
      <c r="DH106" s="148"/>
      <c r="DI106" s="148"/>
      <c r="DJ106" s="148"/>
      <c r="DK106" s="148"/>
      <c r="DL106" s="148"/>
      <c r="DM106" s="148"/>
      <c r="DN106" s="148"/>
      <c r="DO106" s="148"/>
      <c r="DP106" s="148"/>
      <c r="DQ106" s="148"/>
      <c r="DR106" s="148"/>
      <c r="DS106" s="148"/>
      <c r="DT106" s="148"/>
      <c r="DU106" s="148"/>
      <c r="DV106" s="148"/>
      <c r="DW106" s="148"/>
      <c r="DX106" s="148"/>
      <c r="DY106" s="148"/>
      <c r="DZ106" s="148"/>
      <c r="EA106" s="148"/>
      <c r="EB106" s="148"/>
      <c r="EC106" s="148"/>
      <c r="ED106" s="148"/>
      <c r="EE106" s="148"/>
      <c r="EF106" s="148"/>
      <c r="EG106" s="148"/>
      <c r="EH106" s="148"/>
      <c r="EI106" s="148"/>
      <c r="EJ106" s="148"/>
      <c r="EK106" s="148"/>
      <c r="EL106" s="148"/>
      <c r="EM106" s="148"/>
      <c r="EN106" s="148"/>
      <c r="EO106" s="148"/>
      <c r="EP106" s="148"/>
      <c r="EQ106" s="148"/>
      <c r="ER106" s="148"/>
      <c r="ES106" s="148"/>
      <c r="ET106" s="148"/>
      <c r="EU106" s="148"/>
      <c r="EV106" s="148"/>
      <c r="EW106" s="148"/>
      <c r="EX106" s="148"/>
      <c r="EY106" s="148"/>
      <c r="EZ106" s="148"/>
      <c r="FA106" s="148"/>
      <c r="FB106" s="148"/>
      <c r="FC106" s="148"/>
      <c r="FD106" s="148"/>
      <c r="FE106" s="148"/>
      <c r="FF106" s="148"/>
      <c r="FG106" s="148"/>
      <c r="FH106" s="148"/>
      <c r="FI106" s="148"/>
      <c r="FJ106" s="148"/>
      <c r="FK106" s="148"/>
      <c r="FL106" s="148"/>
      <c r="FM106" s="148"/>
      <c r="FN106" s="148"/>
      <c r="FO106" s="148"/>
      <c r="FP106" s="148"/>
      <c r="FQ106" s="148"/>
      <c r="FR106" s="148"/>
      <c r="FS106" s="148"/>
      <c r="FT106" s="148"/>
      <c r="FU106" s="148"/>
      <c r="FV106" s="148"/>
      <c r="FW106" s="148"/>
      <c r="FX106" s="148"/>
      <c r="FY106" s="148"/>
      <c r="FZ106" s="148"/>
      <c r="GA106" s="148"/>
      <c r="GB106" s="148"/>
      <c r="GC106" s="148"/>
      <c r="GD106" s="148"/>
      <c r="GE106" s="148"/>
      <c r="GF106" s="148"/>
      <c r="GG106" s="148"/>
      <c r="GH106" s="148"/>
      <c r="GI106" s="148"/>
      <c r="GJ106" s="148"/>
      <c r="GK106" s="148"/>
      <c r="GL106" s="148"/>
      <c r="GM106" s="148"/>
      <c r="GN106" s="148"/>
      <c r="GO106" s="148"/>
      <c r="GP106" s="148"/>
      <c r="GQ106" s="148"/>
      <c r="GR106" s="148"/>
      <c r="GS106" s="148"/>
      <c r="GT106" s="148"/>
      <c r="GU106" s="148"/>
      <c r="GV106" s="148"/>
      <c r="GW106" s="148"/>
      <c r="GX106" s="148"/>
      <c r="GY106" s="148"/>
      <c r="GZ106" s="148"/>
      <c r="HA106" s="148"/>
      <c r="HB106" s="148"/>
      <c r="HC106" s="148"/>
      <c r="HD106" s="148"/>
      <c r="HE106" s="148"/>
      <c r="HF106" s="148"/>
      <c r="HG106" s="148"/>
      <c r="HH106" s="148"/>
      <c r="HI106" s="148"/>
      <c r="HJ106" s="148"/>
      <c r="HK106" s="148"/>
      <c r="HL106" s="148"/>
      <c r="HM106" s="148"/>
      <c r="HN106" s="148"/>
      <c r="HO106" s="148"/>
      <c r="HP106" s="148"/>
      <c r="HQ106" s="148"/>
      <c r="HR106" s="148"/>
      <c r="HS106" s="148"/>
      <c r="HT106" s="148"/>
      <c r="HU106" s="148"/>
      <c r="HV106" s="148"/>
      <c r="HW106" s="148"/>
      <c r="HX106" s="148"/>
      <c r="HY106" s="148"/>
      <c r="HZ106" s="148"/>
      <c r="IA106" s="148"/>
      <c r="IB106" s="148"/>
      <c r="IC106" s="148"/>
      <c r="ID106" s="148"/>
      <c r="IE106" s="148"/>
      <c r="IF106" s="148"/>
      <c r="IG106" s="148"/>
      <c r="IH106" s="148"/>
      <c r="II106" s="148"/>
      <c r="IJ106" s="148"/>
      <c r="IK106" s="148"/>
      <c r="IL106" s="148"/>
      <c r="IM106" s="148"/>
      <c r="IN106" s="148"/>
      <c r="IO106" s="148"/>
      <c r="IP106" s="148"/>
      <c r="IQ106" s="148"/>
      <c r="IR106" s="148"/>
      <c r="IS106" s="148"/>
      <c r="IT106" s="148"/>
      <c r="IU106" s="148"/>
      <c r="IV106" s="148"/>
      <c r="IW106" s="148"/>
      <c r="IX106" s="148"/>
      <c r="IY106" s="148"/>
      <c r="IZ106" s="148"/>
      <c r="JA106" s="148"/>
      <c r="JB106" s="148"/>
    </row>
    <row r="107" spans="1:262" s="272" customFormat="1" x14ac:dyDescent="0.35">
      <c r="A107" s="1423">
        <v>93</v>
      </c>
      <c r="B107" s="1568"/>
      <c r="C107" s="1558"/>
      <c r="D107" s="1163" t="s">
        <v>1064</v>
      </c>
      <c r="E107" s="1712"/>
      <c r="F107" s="1713"/>
      <c r="G107" s="1714"/>
      <c r="H107" s="1642"/>
      <c r="I107" s="1571"/>
      <c r="J107" s="1572"/>
      <c r="K107" s="1575">
        <v>0</v>
      </c>
      <c r="L107" s="1565"/>
      <c r="M107" s="1572"/>
      <c r="N107" s="1572"/>
      <c r="O107" s="1572"/>
      <c r="P107" s="1576">
        <f>SUM(I107:O107)</f>
        <v>0</v>
      </c>
      <c r="Q107" s="1573"/>
      <c r="R107" s="148"/>
      <c r="S107" s="148"/>
      <c r="T107" s="148"/>
      <c r="U107" s="148"/>
      <c r="V107" s="148"/>
      <c r="W107" s="148"/>
      <c r="X107" s="148"/>
      <c r="Y107" s="148"/>
      <c r="Z107" s="148"/>
      <c r="AA107" s="148"/>
      <c r="AB107" s="148"/>
      <c r="AC107" s="148"/>
      <c r="AD107" s="148"/>
      <c r="AE107" s="148"/>
      <c r="AF107" s="148"/>
      <c r="AG107" s="148"/>
      <c r="AH107" s="148"/>
      <c r="AI107" s="148"/>
      <c r="AJ107" s="148"/>
      <c r="AK107" s="148"/>
      <c r="AL107" s="148"/>
      <c r="AM107" s="148"/>
      <c r="AN107" s="148"/>
      <c r="AO107" s="148"/>
      <c r="AP107" s="148"/>
      <c r="AQ107" s="148"/>
      <c r="AR107" s="148"/>
      <c r="AS107" s="148"/>
      <c r="AT107" s="148"/>
      <c r="AU107" s="148"/>
      <c r="AV107" s="148"/>
      <c r="AW107" s="148"/>
      <c r="AX107" s="148"/>
      <c r="AY107" s="148"/>
      <c r="AZ107" s="148"/>
      <c r="BA107" s="148"/>
      <c r="BB107" s="148"/>
      <c r="BC107" s="148"/>
      <c r="BD107" s="148"/>
      <c r="BE107" s="148"/>
      <c r="BF107" s="148"/>
      <c r="BG107" s="148"/>
      <c r="BH107" s="148"/>
      <c r="BI107" s="148"/>
      <c r="BJ107" s="148"/>
      <c r="BK107" s="148"/>
      <c r="BL107" s="148"/>
      <c r="BM107" s="148"/>
      <c r="BN107" s="148"/>
      <c r="BO107" s="148"/>
      <c r="BP107" s="148"/>
      <c r="BQ107" s="148"/>
      <c r="BR107" s="148"/>
      <c r="BS107" s="148"/>
      <c r="BT107" s="148"/>
      <c r="BU107" s="148"/>
      <c r="BV107" s="148"/>
      <c r="BW107" s="148"/>
      <c r="BX107" s="148"/>
      <c r="BY107" s="148"/>
      <c r="BZ107" s="148"/>
      <c r="CA107" s="148"/>
      <c r="CB107" s="148"/>
      <c r="CC107" s="148"/>
      <c r="CD107" s="148"/>
      <c r="CE107" s="148"/>
      <c r="CF107" s="148"/>
      <c r="CG107" s="148"/>
      <c r="CH107" s="148"/>
      <c r="CI107" s="148"/>
      <c r="CJ107" s="148"/>
      <c r="CK107" s="148"/>
      <c r="CL107" s="148"/>
      <c r="CM107" s="148"/>
      <c r="CN107" s="148"/>
      <c r="CO107" s="148"/>
      <c r="CP107" s="148"/>
      <c r="CQ107" s="148"/>
      <c r="CR107" s="148"/>
      <c r="CS107" s="148"/>
      <c r="CT107" s="148"/>
      <c r="CU107" s="148"/>
      <c r="CV107" s="148"/>
      <c r="CW107" s="148"/>
      <c r="CX107" s="148"/>
      <c r="CY107" s="148"/>
      <c r="CZ107" s="148"/>
      <c r="DA107" s="148"/>
      <c r="DB107" s="148"/>
      <c r="DC107" s="148"/>
      <c r="DD107" s="148"/>
      <c r="DE107" s="148"/>
      <c r="DF107" s="148"/>
      <c r="DG107" s="148"/>
      <c r="DH107" s="148"/>
      <c r="DI107" s="148"/>
      <c r="DJ107" s="148"/>
      <c r="DK107" s="148"/>
      <c r="DL107" s="148"/>
      <c r="DM107" s="148"/>
      <c r="DN107" s="148"/>
      <c r="DO107" s="148"/>
      <c r="DP107" s="148"/>
      <c r="DQ107" s="148"/>
      <c r="DR107" s="148"/>
      <c r="DS107" s="148"/>
      <c r="DT107" s="148"/>
      <c r="DU107" s="148"/>
      <c r="DV107" s="148"/>
      <c r="DW107" s="148"/>
      <c r="DX107" s="148"/>
      <c r="DY107" s="148"/>
      <c r="DZ107" s="148"/>
      <c r="EA107" s="148"/>
      <c r="EB107" s="148"/>
      <c r="EC107" s="148"/>
      <c r="ED107" s="148"/>
      <c r="EE107" s="148"/>
      <c r="EF107" s="148"/>
      <c r="EG107" s="148"/>
      <c r="EH107" s="148"/>
      <c r="EI107" s="148"/>
      <c r="EJ107" s="148"/>
      <c r="EK107" s="148"/>
      <c r="EL107" s="148"/>
      <c r="EM107" s="148"/>
      <c r="EN107" s="148"/>
      <c r="EO107" s="148"/>
      <c r="EP107" s="148"/>
      <c r="EQ107" s="148"/>
      <c r="ER107" s="148"/>
      <c r="ES107" s="148"/>
      <c r="ET107" s="148"/>
      <c r="EU107" s="148"/>
      <c r="EV107" s="148"/>
      <c r="EW107" s="148"/>
      <c r="EX107" s="148"/>
      <c r="EY107" s="148"/>
      <c r="EZ107" s="148"/>
      <c r="FA107" s="148"/>
      <c r="FB107" s="148"/>
      <c r="FC107" s="148"/>
      <c r="FD107" s="148"/>
      <c r="FE107" s="148"/>
      <c r="FF107" s="148"/>
      <c r="FG107" s="148"/>
      <c r="FH107" s="148"/>
      <c r="FI107" s="148"/>
      <c r="FJ107" s="148"/>
      <c r="FK107" s="148"/>
      <c r="FL107" s="148"/>
      <c r="FM107" s="148"/>
      <c r="FN107" s="148"/>
      <c r="FO107" s="148"/>
      <c r="FP107" s="148"/>
      <c r="FQ107" s="148"/>
      <c r="FR107" s="148"/>
      <c r="FS107" s="148"/>
      <c r="FT107" s="148"/>
      <c r="FU107" s="148"/>
      <c r="FV107" s="148"/>
      <c r="FW107" s="148"/>
      <c r="FX107" s="148"/>
      <c r="FY107" s="148"/>
      <c r="FZ107" s="148"/>
      <c r="GA107" s="148"/>
      <c r="GB107" s="148"/>
      <c r="GC107" s="148"/>
      <c r="GD107" s="148"/>
      <c r="GE107" s="148"/>
      <c r="GF107" s="148"/>
      <c r="GG107" s="148"/>
      <c r="GH107" s="148"/>
      <c r="GI107" s="148"/>
      <c r="GJ107" s="148"/>
      <c r="GK107" s="148"/>
      <c r="GL107" s="148"/>
      <c r="GM107" s="148"/>
      <c r="GN107" s="148"/>
      <c r="GO107" s="148"/>
      <c r="GP107" s="148"/>
      <c r="GQ107" s="148"/>
      <c r="GR107" s="148"/>
      <c r="GS107" s="148"/>
      <c r="GT107" s="148"/>
      <c r="GU107" s="148"/>
      <c r="GV107" s="148"/>
      <c r="GW107" s="148"/>
      <c r="GX107" s="148"/>
      <c r="GY107" s="148"/>
      <c r="GZ107" s="148"/>
      <c r="HA107" s="148"/>
      <c r="HB107" s="148"/>
      <c r="HC107" s="148"/>
      <c r="HD107" s="148"/>
      <c r="HE107" s="148"/>
      <c r="HF107" s="148"/>
      <c r="HG107" s="148"/>
      <c r="HH107" s="148"/>
      <c r="HI107" s="148"/>
      <c r="HJ107" s="148"/>
      <c r="HK107" s="148"/>
      <c r="HL107" s="148"/>
      <c r="HM107" s="148"/>
      <c r="HN107" s="148"/>
      <c r="HO107" s="148"/>
      <c r="HP107" s="148"/>
      <c r="HQ107" s="148"/>
      <c r="HR107" s="148"/>
      <c r="HS107" s="148"/>
      <c r="HT107" s="148"/>
      <c r="HU107" s="148"/>
      <c r="HV107" s="148"/>
      <c r="HW107" s="148"/>
      <c r="HX107" s="148"/>
      <c r="HY107" s="148"/>
      <c r="HZ107" s="148"/>
      <c r="IA107" s="148"/>
      <c r="IB107" s="148"/>
      <c r="IC107" s="148"/>
      <c r="ID107" s="148"/>
      <c r="IE107" s="148"/>
      <c r="IF107" s="148"/>
      <c r="IG107" s="148"/>
      <c r="IH107" s="148"/>
      <c r="II107" s="148"/>
      <c r="IJ107" s="148"/>
      <c r="IK107" s="148"/>
      <c r="IL107" s="148"/>
      <c r="IM107" s="148"/>
      <c r="IN107" s="148"/>
      <c r="IO107" s="148"/>
      <c r="IP107" s="148"/>
      <c r="IQ107" s="148"/>
      <c r="IR107" s="148"/>
      <c r="IS107" s="148"/>
      <c r="IT107" s="148"/>
      <c r="IU107" s="148"/>
      <c r="IV107" s="148"/>
      <c r="IW107" s="148"/>
      <c r="IX107" s="148"/>
      <c r="IY107" s="148"/>
      <c r="IZ107" s="148"/>
      <c r="JA107" s="148"/>
      <c r="JB107" s="148"/>
    </row>
    <row r="108" spans="1:262" s="272" customFormat="1" x14ac:dyDescent="0.35">
      <c r="A108" s="1423">
        <v>94</v>
      </c>
      <c r="B108" s="1568"/>
      <c r="C108" s="1558"/>
      <c r="D108" s="1174" t="s">
        <v>999</v>
      </c>
      <c r="E108" s="1712"/>
      <c r="F108" s="1713"/>
      <c r="G108" s="1714"/>
      <c r="H108" s="1642"/>
      <c r="I108" s="1577"/>
      <c r="J108" s="1575"/>
      <c r="K108" s="1574"/>
      <c r="L108" s="1574"/>
      <c r="M108" s="1575"/>
      <c r="N108" s="1575"/>
      <c r="O108" s="1575"/>
      <c r="P108" s="1576">
        <f>SUM(I108:O108)</f>
        <v>0</v>
      </c>
      <c r="Q108" s="1573"/>
      <c r="R108" s="148"/>
      <c r="S108" s="148"/>
      <c r="T108" s="148"/>
      <c r="U108" s="148"/>
      <c r="V108" s="148"/>
      <c r="W108" s="148"/>
      <c r="X108" s="148"/>
      <c r="Y108" s="148"/>
      <c r="Z108" s="148"/>
      <c r="AA108" s="148"/>
      <c r="AB108" s="148"/>
      <c r="AC108" s="148"/>
      <c r="AD108" s="148"/>
      <c r="AE108" s="148"/>
      <c r="AF108" s="148"/>
      <c r="AG108" s="148"/>
      <c r="AH108" s="148"/>
      <c r="AI108" s="148"/>
      <c r="AJ108" s="148"/>
      <c r="AK108" s="148"/>
      <c r="AL108" s="148"/>
      <c r="AM108" s="148"/>
      <c r="AN108" s="148"/>
      <c r="AO108" s="148"/>
      <c r="AP108" s="148"/>
      <c r="AQ108" s="148"/>
      <c r="AR108" s="148"/>
      <c r="AS108" s="148"/>
      <c r="AT108" s="148"/>
      <c r="AU108" s="148"/>
      <c r="AV108" s="148"/>
      <c r="AW108" s="148"/>
      <c r="AX108" s="148"/>
      <c r="AY108" s="148"/>
      <c r="AZ108" s="148"/>
      <c r="BA108" s="148"/>
      <c r="BB108" s="148"/>
      <c r="BC108" s="148"/>
      <c r="BD108" s="148"/>
      <c r="BE108" s="148"/>
      <c r="BF108" s="148"/>
      <c r="BG108" s="148"/>
      <c r="BH108" s="148"/>
      <c r="BI108" s="148"/>
      <c r="BJ108" s="148"/>
      <c r="BK108" s="148"/>
      <c r="BL108" s="148"/>
      <c r="BM108" s="148"/>
      <c r="BN108" s="148"/>
      <c r="BO108" s="148"/>
      <c r="BP108" s="148"/>
      <c r="BQ108" s="148"/>
      <c r="BR108" s="148"/>
      <c r="BS108" s="148"/>
      <c r="BT108" s="148"/>
      <c r="BU108" s="148"/>
      <c r="BV108" s="148"/>
      <c r="BW108" s="148"/>
      <c r="BX108" s="148"/>
      <c r="BY108" s="148"/>
      <c r="BZ108" s="148"/>
      <c r="CA108" s="148"/>
      <c r="CB108" s="148"/>
      <c r="CC108" s="148"/>
      <c r="CD108" s="148"/>
      <c r="CE108" s="148"/>
      <c r="CF108" s="148"/>
      <c r="CG108" s="148"/>
      <c r="CH108" s="148"/>
      <c r="CI108" s="148"/>
      <c r="CJ108" s="148"/>
      <c r="CK108" s="148"/>
      <c r="CL108" s="148"/>
      <c r="CM108" s="148"/>
      <c r="CN108" s="148"/>
      <c r="CO108" s="148"/>
      <c r="CP108" s="148"/>
      <c r="CQ108" s="148"/>
      <c r="CR108" s="148"/>
      <c r="CS108" s="148"/>
      <c r="CT108" s="148"/>
      <c r="CU108" s="148"/>
      <c r="CV108" s="148"/>
      <c r="CW108" s="148"/>
      <c r="CX108" s="148"/>
      <c r="CY108" s="148"/>
      <c r="CZ108" s="148"/>
      <c r="DA108" s="148"/>
      <c r="DB108" s="148"/>
      <c r="DC108" s="148"/>
      <c r="DD108" s="148"/>
      <c r="DE108" s="148"/>
      <c r="DF108" s="148"/>
      <c r="DG108" s="148"/>
      <c r="DH108" s="148"/>
      <c r="DI108" s="148"/>
      <c r="DJ108" s="148"/>
      <c r="DK108" s="148"/>
      <c r="DL108" s="148"/>
      <c r="DM108" s="148"/>
      <c r="DN108" s="148"/>
      <c r="DO108" s="148"/>
      <c r="DP108" s="148"/>
      <c r="DQ108" s="148"/>
      <c r="DR108" s="148"/>
      <c r="DS108" s="148"/>
      <c r="DT108" s="148"/>
      <c r="DU108" s="148"/>
      <c r="DV108" s="148"/>
      <c r="DW108" s="148"/>
      <c r="DX108" s="148"/>
      <c r="DY108" s="148"/>
      <c r="DZ108" s="148"/>
      <c r="EA108" s="148"/>
      <c r="EB108" s="148"/>
      <c r="EC108" s="148"/>
      <c r="ED108" s="148"/>
      <c r="EE108" s="148"/>
      <c r="EF108" s="148"/>
      <c r="EG108" s="148"/>
      <c r="EH108" s="148"/>
      <c r="EI108" s="148"/>
      <c r="EJ108" s="148"/>
      <c r="EK108" s="148"/>
      <c r="EL108" s="148"/>
      <c r="EM108" s="148"/>
      <c r="EN108" s="148"/>
      <c r="EO108" s="148"/>
      <c r="EP108" s="148"/>
      <c r="EQ108" s="148"/>
      <c r="ER108" s="148"/>
      <c r="ES108" s="148"/>
      <c r="ET108" s="148"/>
      <c r="EU108" s="148"/>
      <c r="EV108" s="148"/>
      <c r="EW108" s="148"/>
      <c r="EX108" s="148"/>
      <c r="EY108" s="148"/>
      <c r="EZ108" s="148"/>
      <c r="FA108" s="148"/>
      <c r="FB108" s="148"/>
      <c r="FC108" s="148"/>
      <c r="FD108" s="148"/>
      <c r="FE108" s="148"/>
      <c r="FF108" s="148"/>
      <c r="FG108" s="148"/>
      <c r="FH108" s="148"/>
      <c r="FI108" s="148"/>
      <c r="FJ108" s="148"/>
      <c r="FK108" s="148"/>
      <c r="FL108" s="148"/>
      <c r="FM108" s="148"/>
      <c r="FN108" s="148"/>
      <c r="FO108" s="148"/>
      <c r="FP108" s="148"/>
      <c r="FQ108" s="148"/>
      <c r="FR108" s="148"/>
      <c r="FS108" s="148"/>
      <c r="FT108" s="148"/>
      <c r="FU108" s="148"/>
      <c r="FV108" s="148"/>
      <c r="FW108" s="148"/>
      <c r="FX108" s="148"/>
      <c r="FY108" s="148"/>
      <c r="FZ108" s="148"/>
      <c r="GA108" s="148"/>
      <c r="GB108" s="148"/>
      <c r="GC108" s="148"/>
      <c r="GD108" s="148"/>
      <c r="GE108" s="148"/>
      <c r="GF108" s="148"/>
      <c r="GG108" s="148"/>
      <c r="GH108" s="148"/>
      <c r="GI108" s="148"/>
      <c r="GJ108" s="148"/>
      <c r="GK108" s="148"/>
      <c r="GL108" s="148"/>
      <c r="GM108" s="148"/>
      <c r="GN108" s="148"/>
      <c r="GO108" s="148"/>
      <c r="GP108" s="148"/>
      <c r="GQ108" s="148"/>
      <c r="GR108" s="148"/>
      <c r="GS108" s="148"/>
      <c r="GT108" s="148"/>
      <c r="GU108" s="148"/>
      <c r="GV108" s="148"/>
      <c r="GW108" s="148"/>
      <c r="GX108" s="148"/>
      <c r="GY108" s="148"/>
      <c r="GZ108" s="148"/>
      <c r="HA108" s="148"/>
      <c r="HB108" s="148"/>
      <c r="HC108" s="148"/>
      <c r="HD108" s="148"/>
      <c r="HE108" s="148"/>
      <c r="HF108" s="148"/>
      <c r="HG108" s="148"/>
      <c r="HH108" s="148"/>
      <c r="HI108" s="148"/>
      <c r="HJ108" s="148"/>
      <c r="HK108" s="148"/>
      <c r="HL108" s="148"/>
      <c r="HM108" s="148"/>
      <c r="HN108" s="148"/>
      <c r="HO108" s="148"/>
      <c r="HP108" s="148"/>
      <c r="HQ108" s="148"/>
      <c r="HR108" s="148"/>
      <c r="HS108" s="148"/>
      <c r="HT108" s="148"/>
      <c r="HU108" s="148"/>
      <c r="HV108" s="148"/>
      <c r="HW108" s="148"/>
      <c r="HX108" s="148"/>
      <c r="HY108" s="148"/>
      <c r="HZ108" s="148"/>
      <c r="IA108" s="148"/>
      <c r="IB108" s="148"/>
      <c r="IC108" s="148"/>
      <c r="ID108" s="148"/>
      <c r="IE108" s="148"/>
      <c r="IF108" s="148"/>
      <c r="IG108" s="148"/>
      <c r="IH108" s="148"/>
      <c r="II108" s="148"/>
      <c r="IJ108" s="148"/>
      <c r="IK108" s="148"/>
      <c r="IL108" s="148"/>
      <c r="IM108" s="148"/>
      <c r="IN108" s="148"/>
      <c r="IO108" s="148"/>
      <c r="IP108" s="148"/>
      <c r="IQ108" s="148"/>
      <c r="IR108" s="148"/>
      <c r="IS108" s="148"/>
      <c r="IT108" s="148"/>
      <c r="IU108" s="148"/>
      <c r="IV108" s="148"/>
      <c r="IW108" s="148"/>
      <c r="IX108" s="148"/>
      <c r="IY108" s="148"/>
      <c r="IZ108" s="148"/>
      <c r="JA108" s="148"/>
      <c r="JB108" s="148"/>
    </row>
    <row r="109" spans="1:262" s="337" customFormat="1" x14ac:dyDescent="0.35">
      <c r="A109" s="1423">
        <v>95</v>
      </c>
      <c r="B109" s="1568"/>
      <c r="C109" s="1558"/>
      <c r="D109" s="1163" t="s">
        <v>1116</v>
      </c>
      <c r="E109" s="1712"/>
      <c r="F109" s="1713"/>
      <c r="G109" s="1714"/>
      <c r="H109" s="1642"/>
      <c r="I109" s="1577"/>
      <c r="J109" s="1575"/>
      <c r="K109" s="1575">
        <f>SUM(K107:K108)</f>
        <v>0</v>
      </c>
      <c r="L109" s="1574"/>
      <c r="M109" s="1575"/>
      <c r="N109" s="1575"/>
      <c r="O109" s="1575"/>
      <c r="P109" s="1576">
        <f>SUM(P107:P108)</f>
        <v>0</v>
      </c>
      <c r="Q109" s="1573"/>
    </row>
    <row r="110" spans="1:262" s="272" customFormat="1" x14ac:dyDescent="0.35">
      <c r="A110" s="1423">
        <v>96</v>
      </c>
      <c r="B110" s="1557"/>
      <c r="C110" s="1582"/>
      <c r="D110" s="1661" t="s">
        <v>954</v>
      </c>
      <c r="E110" s="1560"/>
      <c r="F110" s="1561"/>
      <c r="G110" s="1562"/>
      <c r="H110" s="1563"/>
      <c r="I110" s="1580"/>
      <c r="J110" s="1574"/>
      <c r="K110" s="1574"/>
      <c r="L110" s="1574"/>
      <c r="M110" s="1574"/>
      <c r="N110" s="1574"/>
      <c r="O110" s="1574"/>
      <c r="P110" s="1576"/>
      <c r="Q110" s="1567"/>
      <c r="R110" s="148"/>
      <c r="S110" s="148"/>
      <c r="T110" s="148"/>
      <c r="U110" s="148"/>
      <c r="V110" s="148"/>
      <c r="W110" s="148"/>
      <c r="X110" s="148"/>
      <c r="Y110" s="148"/>
      <c r="Z110" s="148"/>
      <c r="AA110" s="148"/>
      <c r="AB110" s="148"/>
      <c r="AC110" s="148"/>
      <c r="AD110" s="148"/>
      <c r="AE110" s="148"/>
      <c r="AF110" s="148"/>
      <c r="AG110" s="148"/>
      <c r="AH110" s="148"/>
      <c r="AI110" s="148"/>
      <c r="AJ110" s="148"/>
      <c r="AK110" s="148"/>
      <c r="AL110" s="148"/>
      <c r="AM110" s="148"/>
      <c r="AN110" s="148"/>
      <c r="AO110" s="148"/>
      <c r="AP110" s="148"/>
      <c r="AQ110" s="148"/>
      <c r="AR110" s="148"/>
      <c r="AS110" s="148"/>
      <c r="AT110" s="148"/>
      <c r="AU110" s="148"/>
      <c r="AV110" s="148"/>
      <c r="AW110" s="148"/>
      <c r="AX110" s="148"/>
      <c r="AY110" s="148"/>
      <c r="AZ110" s="148"/>
      <c r="BA110" s="148"/>
      <c r="BB110" s="148"/>
      <c r="BC110" s="148"/>
      <c r="BD110" s="148"/>
      <c r="BE110" s="148"/>
      <c r="BF110" s="148"/>
      <c r="BG110" s="148"/>
      <c r="BH110" s="148"/>
      <c r="BI110" s="148"/>
      <c r="BJ110" s="148"/>
      <c r="BK110" s="148"/>
      <c r="BL110" s="148"/>
      <c r="BM110" s="148"/>
      <c r="BN110" s="148"/>
      <c r="BO110" s="148"/>
      <c r="BP110" s="148"/>
      <c r="BQ110" s="148"/>
      <c r="BR110" s="148"/>
      <c r="BS110" s="148"/>
      <c r="BT110" s="148"/>
      <c r="BU110" s="148"/>
      <c r="BV110" s="148"/>
      <c r="BW110" s="148"/>
      <c r="BX110" s="148"/>
      <c r="BY110" s="148"/>
      <c r="BZ110" s="148"/>
      <c r="CA110" s="148"/>
      <c r="CB110" s="148"/>
      <c r="CC110" s="148"/>
      <c r="CD110" s="148"/>
      <c r="CE110" s="148"/>
      <c r="CF110" s="148"/>
      <c r="CG110" s="148"/>
      <c r="CH110" s="148"/>
      <c r="CI110" s="148"/>
      <c r="CJ110" s="148"/>
      <c r="CK110" s="148"/>
      <c r="CL110" s="148"/>
      <c r="CM110" s="148"/>
      <c r="CN110" s="148"/>
      <c r="CO110" s="148"/>
      <c r="CP110" s="148"/>
      <c r="CQ110" s="148"/>
      <c r="CR110" s="148"/>
      <c r="CS110" s="148"/>
      <c r="CT110" s="148"/>
      <c r="CU110" s="148"/>
      <c r="CV110" s="148"/>
      <c r="CW110" s="148"/>
      <c r="CX110" s="148"/>
      <c r="CY110" s="148"/>
      <c r="CZ110" s="148"/>
      <c r="DA110" s="148"/>
      <c r="DB110" s="148"/>
      <c r="DC110" s="148"/>
      <c r="DD110" s="148"/>
      <c r="DE110" s="148"/>
      <c r="DF110" s="148"/>
      <c r="DG110" s="148"/>
      <c r="DH110" s="148"/>
      <c r="DI110" s="148"/>
      <c r="DJ110" s="148"/>
      <c r="DK110" s="148"/>
      <c r="DL110" s="148"/>
      <c r="DM110" s="148"/>
      <c r="DN110" s="148"/>
      <c r="DO110" s="148"/>
      <c r="DP110" s="148"/>
      <c r="DQ110" s="148"/>
      <c r="DR110" s="148"/>
      <c r="DS110" s="148"/>
      <c r="DT110" s="148"/>
      <c r="DU110" s="148"/>
      <c r="DV110" s="148"/>
      <c r="DW110" s="148"/>
      <c r="DX110" s="148"/>
      <c r="DY110" s="148"/>
      <c r="DZ110" s="148"/>
      <c r="EA110" s="148"/>
      <c r="EB110" s="148"/>
      <c r="EC110" s="148"/>
      <c r="ED110" s="148"/>
      <c r="EE110" s="148"/>
      <c r="EF110" s="148"/>
      <c r="EG110" s="148"/>
      <c r="EH110" s="148"/>
      <c r="EI110" s="148"/>
      <c r="EJ110" s="148"/>
      <c r="EK110" s="148"/>
      <c r="EL110" s="148"/>
      <c r="EM110" s="148"/>
      <c r="EN110" s="148"/>
      <c r="EO110" s="148"/>
      <c r="EP110" s="148"/>
      <c r="EQ110" s="148"/>
      <c r="ER110" s="148"/>
      <c r="ES110" s="148"/>
      <c r="ET110" s="148"/>
      <c r="EU110" s="148"/>
      <c r="EV110" s="148"/>
      <c r="EW110" s="148"/>
      <c r="EX110" s="148"/>
      <c r="EY110" s="148"/>
      <c r="EZ110" s="148"/>
      <c r="FA110" s="148"/>
      <c r="FB110" s="148"/>
      <c r="FC110" s="148"/>
      <c r="FD110" s="148"/>
      <c r="FE110" s="148"/>
      <c r="FF110" s="148"/>
      <c r="FG110" s="148"/>
      <c r="FH110" s="148"/>
      <c r="FI110" s="148"/>
      <c r="FJ110" s="148"/>
      <c r="FK110" s="148"/>
      <c r="FL110" s="148"/>
      <c r="FM110" s="148"/>
      <c r="FN110" s="148"/>
      <c r="FO110" s="148"/>
      <c r="FP110" s="148"/>
      <c r="FQ110" s="148"/>
      <c r="FR110" s="148"/>
      <c r="FS110" s="148"/>
      <c r="FT110" s="148"/>
      <c r="FU110" s="148"/>
      <c r="FV110" s="148"/>
      <c r="FW110" s="148"/>
      <c r="FX110" s="148"/>
      <c r="FY110" s="148"/>
      <c r="FZ110" s="148"/>
      <c r="GA110" s="148"/>
      <c r="GB110" s="148"/>
      <c r="GC110" s="148"/>
      <c r="GD110" s="148"/>
      <c r="GE110" s="148"/>
      <c r="GF110" s="148"/>
      <c r="GG110" s="148"/>
      <c r="GH110" s="148"/>
      <c r="GI110" s="148"/>
      <c r="GJ110" s="148"/>
      <c r="GK110" s="148"/>
      <c r="GL110" s="148"/>
      <c r="GM110" s="148"/>
      <c r="GN110" s="148"/>
      <c r="GO110" s="148"/>
      <c r="GP110" s="148"/>
      <c r="GQ110" s="148"/>
      <c r="GR110" s="148"/>
      <c r="GS110" s="148"/>
      <c r="GT110" s="148"/>
      <c r="GU110" s="148"/>
      <c r="GV110" s="148"/>
      <c r="GW110" s="148"/>
      <c r="GX110" s="148"/>
      <c r="GY110" s="148"/>
      <c r="GZ110" s="148"/>
      <c r="HA110" s="148"/>
      <c r="HB110" s="148"/>
      <c r="HC110" s="148"/>
      <c r="HD110" s="148"/>
      <c r="HE110" s="148"/>
      <c r="HF110" s="148"/>
      <c r="HG110" s="148"/>
      <c r="HH110" s="148"/>
      <c r="HI110" s="148"/>
      <c r="HJ110" s="148"/>
      <c r="HK110" s="148"/>
      <c r="HL110" s="148"/>
      <c r="HM110" s="148"/>
      <c r="HN110" s="148"/>
      <c r="HO110" s="148"/>
      <c r="HP110" s="148"/>
      <c r="HQ110" s="148"/>
      <c r="HR110" s="148"/>
      <c r="HS110" s="148"/>
      <c r="HT110" s="148"/>
      <c r="HU110" s="148"/>
      <c r="HV110" s="148"/>
      <c r="HW110" s="148"/>
      <c r="HX110" s="148"/>
      <c r="HY110" s="148"/>
      <c r="HZ110" s="148"/>
      <c r="IA110" s="148"/>
      <c r="IB110" s="148"/>
      <c r="IC110" s="148"/>
      <c r="ID110" s="148"/>
      <c r="IE110" s="148"/>
      <c r="IF110" s="148"/>
      <c r="IG110" s="148"/>
      <c r="IH110" s="148"/>
      <c r="II110" s="148"/>
      <c r="IJ110" s="148"/>
      <c r="IK110" s="148"/>
      <c r="IL110" s="148"/>
      <c r="IM110" s="148"/>
      <c r="IN110" s="148"/>
      <c r="IO110" s="148"/>
      <c r="IP110" s="148"/>
      <c r="IQ110" s="148"/>
      <c r="IR110" s="148"/>
      <c r="IS110" s="148"/>
      <c r="IT110" s="148"/>
      <c r="IU110" s="148"/>
      <c r="IV110" s="148"/>
      <c r="IW110" s="148"/>
      <c r="IX110" s="148"/>
      <c r="IY110" s="148"/>
      <c r="IZ110" s="148"/>
      <c r="JA110" s="148"/>
      <c r="JB110" s="148"/>
    </row>
    <row r="111" spans="1:262" s="272" customFormat="1" x14ac:dyDescent="0.35">
      <c r="A111" s="1423">
        <v>97</v>
      </c>
      <c r="B111" s="1557"/>
      <c r="C111" s="1558"/>
      <c r="D111" s="1559" t="s">
        <v>789</v>
      </c>
      <c r="E111" s="1560"/>
      <c r="F111" s="1561"/>
      <c r="G111" s="1562"/>
      <c r="H111" s="1563"/>
      <c r="I111" s="1580"/>
      <c r="J111" s="1574"/>
      <c r="K111" s="1574"/>
      <c r="L111" s="1574"/>
      <c r="M111" s="1574"/>
      <c r="N111" s="1574"/>
      <c r="O111" s="1574"/>
      <c r="P111" s="1576"/>
      <c r="Q111" s="1567"/>
      <c r="R111" s="148"/>
      <c r="S111" s="148"/>
      <c r="T111" s="148"/>
      <c r="U111" s="148"/>
      <c r="V111" s="148"/>
      <c r="W111" s="148"/>
      <c r="X111" s="148"/>
      <c r="Y111" s="148"/>
      <c r="Z111" s="148"/>
      <c r="AA111" s="148"/>
      <c r="AB111" s="148"/>
      <c r="AC111" s="148"/>
      <c r="AD111" s="148"/>
      <c r="AE111" s="148"/>
      <c r="AF111" s="148"/>
      <c r="AG111" s="148"/>
      <c r="AH111" s="148"/>
      <c r="AI111" s="148"/>
      <c r="AJ111" s="148"/>
      <c r="AK111" s="148"/>
      <c r="AL111" s="148"/>
      <c r="AM111" s="148"/>
      <c r="AN111" s="148"/>
      <c r="AO111" s="148"/>
      <c r="AP111" s="148"/>
      <c r="AQ111" s="148"/>
      <c r="AR111" s="148"/>
      <c r="AS111" s="148"/>
      <c r="AT111" s="148"/>
      <c r="AU111" s="148"/>
      <c r="AV111" s="148"/>
      <c r="AW111" s="148"/>
      <c r="AX111" s="148"/>
      <c r="AY111" s="148"/>
      <c r="AZ111" s="148"/>
      <c r="BA111" s="148"/>
      <c r="BB111" s="148"/>
      <c r="BC111" s="148"/>
      <c r="BD111" s="148"/>
      <c r="BE111" s="148"/>
      <c r="BF111" s="148"/>
      <c r="BG111" s="148"/>
      <c r="BH111" s="148"/>
      <c r="BI111" s="148"/>
      <c r="BJ111" s="148"/>
      <c r="BK111" s="148"/>
      <c r="BL111" s="148"/>
      <c r="BM111" s="148"/>
      <c r="BN111" s="148"/>
      <c r="BO111" s="148"/>
      <c r="BP111" s="148"/>
      <c r="BQ111" s="148"/>
      <c r="BR111" s="148"/>
      <c r="BS111" s="148"/>
      <c r="BT111" s="148"/>
      <c r="BU111" s="148"/>
      <c r="BV111" s="148"/>
      <c r="BW111" s="148"/>
      <c r="BX111" s="148"/>
      <c r="BY111" s="148"/>
      <c r="BZ111" s="148"/>
      <c r="CA111" s="148"/>
      <c r="CB111" s="148"/>
      <c r="CC111" s="148"/>
      <c r="CD111" s="148"/>
      <c r="CE111" s="148"/>
      <c r="CF111" s="148"/>
      <c r="CG111" s="148"/>
      <c r="CH111" s="148"/>
      <c r="CI111" s="148"/>
      <c r="CJ111" s="148"/>
      <c r="CK111" s="148"/>
      <c r="CL111" s="148"/>
      <c r="CM111" s="148"/>
      <c r="CN111" s="148"/>
      <c r="CO111" s="148"/>
      <c r="CP111" s="148"/>
      <c r="CQ111" s="148"/>
      <c r="CR111" s="148"/>
      <c r="CS111" s="148"/>
      <c r="CT111" s="148"/>
      <c r="CU111" s="148"/>
      <c r="CV111" s="148"/>
      <c r="CW111" s="148"/>
      <c r="CX111" s="148"/>
      <c r="CY111" s="148"/>
      <c r="CZ111" s="148"/>
      <c r="DA111" s="148"/>
      <c r="DB111" s="148"/>
      <c r="DC111" s="148"/>
      <c r="DD111" s="148"/>
      <c r="DE111" s="148"/>
      <c r="DF111" s="148"/>
      <c r="DG111" s="148"/>
      <c r="DH111" s="148"/>
      <c r="DI111" s="148"/>
      <c r="DJ111" s="148"/>
      <c r="DK111" s="148"/>
      <c r="DL111" s="148"/>
      <c r="DM111" s="148"/>
      <c r="DN111" s="148"/>
      <c r="DO111" s="148"/>
      <c r="DP111" s="148"/>
      <c r="DQ111" s="148"/>
      <c r="DR111" s="148"/>
      <c r="DS111" s="148"/>
      <c r="DT111" s="148"/>
      <c r="DU111" s="148"/>
      <c r="DV111" s="148"/>
      <c r="DW111" s="148"/>
      <c r="DX111" s="148"/>
      <c r="DY111" s="148"/>
      <c r="DZ111" s="148"/>
      <c r="EA111" s="148"/>
      <c r="EB111" s="148"/>
      <c r="EC111" s="148"/>
      <c r="ED111" s="148"/>
      <c r="EE111" s="148"/>
      <c r="EF111" s="148"/>
      <c r="EG111" s="148"/>
      <c r="EH111" s="148"/>
      <c r="EI111" s="148"/>
      <c r="EJ111" s="148"/>
      <c r="EK111" s="148"/>
      <c r="EL111" s="148"/>
      <c r="EM111" s="148"/>
      <c r="EN111" s="148"/>
      <c r="EO111" s="148"/>
      <c r="EP111" s="148"/>
      <c r="EQ111" s="148"/>
      <c r="ER111" s="148"/>
      <c r="ES111" s="148"/>
      <c r="ET111" s="148"/>
      <c r="EU111" s="148"/>
      <c r="EV111" s="148"/>
      <c r="EW111" s="148"/>
      <c r="EX111" s="148"/>
      <c r="EY111" s="148"/>
      <c r="EZ111" s="148"/>
      <c r="FA111" s="148"/>
      <c r="FB111" s="148"/>
      <c r="FC111" s="148"/>
      <c r="FD111" s="148"/>
      <c r="FE111" s="148"/>
      <c r="FF111" s="148"/>
      <c r="FG111" s="148"/>
      <c r="FH111" s="148"/>
      <c r="FI111" s="148"/>
      <c r="FJ111" s="148"/>
      <c r="FK111" s="148"/>
      <c r="FL111" s="148"/>
      <c r="FM111" s="148"/>
      <c r="FN111" s="148"/>
      <c r="FO111" s="148"/>
      <c r="FP111" s="148"/>
      <c r="FQ111" s="148"/>
      <c r="FR111" s="148"/>
      <c r="FS111" s="148"/>
      <c r="FT111" s="148"/>
      <c r="FU111" s="148"/>
      <c r="FV111" s="148"/>
      <c r="FW111" s="148"/>
      <c r="FX111" s="148"/>
      <c r="FY111" s="148"/>
      <c r="FZ111" s="148"/>
      <c r="GA111" s="148"/>
      <c r="GB111" s="148"/>
      <c r="GC111" s="148"/>
      <c r="GD111" s="148"/>
      <c r="GE111" s="148"/>
      <c r="GF111" s="148"/>
      <c r="GG111" s="148"/>
      <c r="GH111" s="148"/>
      <c r="GI111" s="148"/>
      <c r="GJ111" s="148"/>
      <c r="GK111" s="148"/>
      <c r="GL111" s="148"/>
      <c r="GM111" s="148"/>
      <c r="GN111" s="148"/>
      <c r="GO111" s="148"/>
      <c r="GP111" s="148"/>
      <c r="GQ111" s="148"/>
      <c r="GR111" s="148"/>
      <c r="GS111" s="148"/>
      <c r="GT111" s="148"/>
      <c r="GU111" s="148"/>
      <c r="GV111" s="148"/>
      <c r="GW111" s="148"/>
      <c r="GX111" s="148"/>
      <c r="GY111" s="148"/>
      <c r="GZ111" s="148"/>
      <c r="HA111" s="148"/>
      <c r="HB111" s="148"/>
      <c r="HC111" s="148"/>
      <c r="HD111" s="148"/>
      <c r="HE111" s="148"/>
      <c r="HF111" s="148"/>
      <c r="HG111" s="148"/>
      <c r="HH111" s="148"/>
      <c r="HI111" s="148"/>
      <c r="HJ111" s="148"/>
      <c r="HK111" s="148"/>
      <c r="HL111" s="148"/>
      <c r="HM111" s="148"/>
      <c r="HN111" s="148"/>
      <c r="HO111" s="148"/>
      <c r="HP111" s="148"/>
      <c r="HQ111" s="148"/>
      <c r="HR111" s="148"/>
      <c r="HS111" s="148"/>
      <c r="HT111" s="148"/>
      <c r="HU111" s="148"/>
      <c r="HV111" s="148"/>
      <c r="HW111" s="148"/>
      <c r="HX111" s="148"/>
      <c r="HY111" s="148"/>
      <c r="HZ111" s="148"/>
      <c r="IA111" s="148"/>
      <c r="IB111" s="148"/>
      <c r="IC111" s="148"/>
      <c r="ID111" s="148"/>
      <c r="IE111" s="148"/>
      <c r="IF111" s="148"/>
      <c r="IG111" s="148"/>
      <c r="IH111" s="148"/>
      <c r="II111" s="148"/>
      <c r="IJ111" s="148"/>
      <c r="IK111" s="148"/>
      <c r="IL111" s="148"/>
      <c r="IM111" s="148"/>
      <c r="IN111" s="148"/>
      <c r="IO111" s="148"/>
      <c r="IP111" s="148"/>
      <c r="IQ111" s="148"/>
      <c r="IR111" s="148"/>
      <c r="IS111" s="148"/>
      <c r="IT111" s="148"/>
      <c r="IU111" s="148"/>
      <c r="IV111" s="148"/>
      <c r="IW111" s="148"/>
      <c r="IX111" s="148"/>
      <c r="IY111" s="148"/>
      <c r="IZ111" s="148"/>
      <c r="JA111" s="148"/>
      <c r="JB111" s="148"/>
    </row>
    <row r="112" spans="1:262" s="272" customFormat="1" x14ac:dyDescent="0.35">
      <c r="A112" s="1423">
        <v>98</v>
      </c>
      <c r="B112" s="1557"/>
      <c r="C112" s="1582"/>
      <c r="D112" s="1570" t="s">
        <v>311</v>
      </c>
      <c r="E112" s="1560"/>
      <c r="F112" s="1561"/>
      <c r="G112" s="1562"/>
      <c r="H112" s="1563"/>
      <c r="I112" s="1580"/>
      <c r="J112" s="1574"/>
      <c r="K112" s="1574"/>
      <c r="L112" s="1574"/>
      <c r="M112" s="1572">
        <v>408940</v>
      </c>
      <c r="N112" s="1574"/>
      <c r="O112" s="1574"/>
      <c r="P112" s="1566">
        <f>SUM(I112:O112)</f>
        <v>408940</v>
      </c>
      <c r="Q112" s="1567"/>
      <c r="R112" s="148"/>
      <c r="S112" s="148"/>
      <c r="T112" s="148"/>
      <c r="U112" s="148"/>
      <c r="V112" s="148"/>
      <c r="W112" s="148"/>
      <c r="X112" s="148"/>
      <c r="Y112" s="148"/>
      <c r="Z112" s="148"/>
      <c r="AA112" s="148"/>
      <c r="AB112" s="148"/>
      <c r="AC112" s="148"/>
      <c r="AD112" s="148"/>
      <c r="AE112" s="148"/>
      <c r="AF112" s="148"/>
      <c r="AG112" s="148"/>
      <c r="AH112" s="148"/>
      <c r="AI112" s="148"/>
      <c r="AJ112" s="148"/>
      <c r="AK112" s="148"/>
      <c r="AL112" s="148"/>
      <c r="AM112" s="148"/>
      <c r="AN112" s="148"/>
      <c r="AO112" s="148"/>
      <c r="AP112" s="148"/>
      <c r="AQ112" s="148"/>
      <c r="AR112" s="148"/>
      <c r="AS112" s="148"/>
      <c r="AT112" s="148"/>
      <c r="AU112" s="148"/>
      <c r="AV112" s="148"/>
      <c r="AW112" s="148"/>
      <c r="AX112" s="148"/>
      <c r="AY112" s="148"/>
      <c r="AZ112" s="148"/>
      <c r="BA112" s="148"/>
      <c r="BB112" s="148"/>
      <c r="BC112" s="148"/>
      <c r="BD112" s="148"/>
      <c r="BE112" s="148"/>
      <c r="BF112" s="148"/>
      <c r="BG112" s="148"/>
      <c r="BH112" s="148"/>
      <c r="BI112" s="148"/>
      <c r="BJ112" s="148"/>
      <c r="BK112" s="148"/>
      <c r="BL112" s="148"/>
      <c r="BM112" s="148"/>
      <c r="BN112" s="148"/>
      <c r="BO112" s="148"/>
      <c r="BP112" s="148"/>
      <c r="BQ112" s="148"/>
      <c r="BR112" s="148"/>
      <c r="BS112" s="148"/>
      <c r="BT112" s="148"/>
      <c r="BU112" s="148"/>
      <c r="BV112" s="148"/>
      <c r="BW112" s="148"/>
      <c r="BX112" s="148"/>
      <c r="BY112" s="148"/>
      <c r="BZ112" s="148"/>
      <c r="CA112" s="148"/>
      <c r="CB112" s="148"/>
      <c r="CC112" s="148"/>
      <c r="CD112" s="148"/>
      <c r="CE112" s="148"/>
      <c r="CF112" s="148"/>
      <c r="CG112" s="148"/>
      <c r="CH112" s="148"/>
      <c r="CI112" s="148"/>
      <c r="CJ112" s="148"/>
      <c r="CK112" s="148"/>
      <c r="CL112" s="148"/>
      <c r="CM112" s="148"/>
      <c r="CN112" s="148"/>
      <c r="CO112" s="148"/>
      <c r="CP112" s="148"/>
      <c r="CQ112" s="148"/>
      <c r="CR112" s="148"/>
      <c r="CS112" s="148"/>
      <c r="CT112" s="148"/>
      <c r="CU112" s="148"/>
      <c r="CV112" s="148"/>
      <c r="CW112" s="148"/>
      <c r="CX112" s="148"/>
      <c r="CY112" s="148"/>
      <c r="CZ112" s="148"/>
      <c r="DA112" s="148"/>
      <c r="DB112" s="148"/>
      <c r="DC112" s="148"/>
      <c r="DD112" s="148"/>
      <c r="DE112" s="148"/>
      <c r="DF112" s="148"/>
      <c r="DG112" s="148"/>
      <c r="DH112" s="148"/>
      <c r="DI112" s="148"/>
      <c r="DJ112" s="148"/>
      <c r="DK112" s="148"/>
      <c r="DL112" s="148"/>
      <c r="DM112" s="148"/>
      <c r="DN112" s="148"/>
      <c r="DO112" s="148"/>
      <c r="DP112" s="148"/>
      <c r="DQ112" s="148"/>
      <c r="DR112" s="148"/>
      <c r="DS112" s="148"/>
      <c r="DT112" s="148"/>
      <c r="DU112" s="148"/>
      <c r="DV112" s="148"/>
      <c r="DW112" s="148"/>
      <c r="DX112" s="148"/>
      <c r="DY112" s="148"/>
      <c r="DZ112" s="148"/>
      <c r="EA112" s="148"/>
      <c r="EB112" s="148"/>
      <c r="EC112" s="148"/>
      <c r="ED112" s="148"/>
      <c r="EE112" s="148"/>
      <c r="EF112" s="148"/>
      <c r="EG112" s="148"/>
      <c r="EH112" s="148"/>
      <c r="EI112" s="148"/>
      <c r="EJ112" s="148"/>
      <c r="EK112" s="148"/>
      <c r="EL112" s="148"/>
      <c r="EM112" s="148"/>
      <c r="EN112" s="148"/>
      <c r="EO112" s="148"/>
      <c r="EP112" s="148"/>
      <c r="EQ112" s="148"/>
      <c r="ER112" s="148"/>
      <c r="ES112" s="148"/>
      <c r="ET112" s="148"/>
      <c r="EU112" s="148"/>
      <c r="EV112" s="148"/>
      <c r="EW112" s="148"/>
      <c r="EX112" s="148"/>
      <c r="EY112" s="148"/>
      <c r="EZ112" s="148"/>
      <c r="FA112" s="148"/>
      <c r="FB112" s="148"/>
      <c r="FC112" s="148"/>
      <c r="FD112" s="148"/>
      <c r="FE112" s="148"/>
      <c r="FF112" s="148"/>
      <c r="FG112" s="148"/>
      <c r="FH112" s="148"/>
      <c r="FI112" s="148"/>
      <c r="FJ112" s="148"/>
      <c r="FK112" s="148"/>
      <c r="FL112" s="148"/>
      <c r="FM112" s="148"/>
      <c r="FN112" s="148"/>
      <c r="FO112" s="148"/>
      <c r="FP112" s="148"/>
      <c r="FQ112" s="148"/>
      <c r="FR112" s="148"/>
      <c r="FS112" s="148"/>
      <c r="FT112" s="148"/>
      <c r="FU112" s="148"/>
      <c r="FV112" s="148"/>
      <c r="FW112" s="148"/>
      <c r="FX112" s="148"/>
      <c r="FY112" s="148"/>
      <c r="FZ112" s="148"/>
      <c r="GA112" s="148"/>
      <c r="GB112" s="148"/>
      <c r="GC112" s="148"/>
      <c r="GD112" s="148"/>
      <c r="GE112" s="148"/>
      <c r="GF112" s="148"/>
      <c r="GG112" s="148"/>
      <c r="GH112" s="148"/>
      <c r="GI112" s="148"/>
      <c r="GJ112" s="148"/>
      <c r="GK112" s="148"/>
      <c r="GL112" s="148"/>
      <c r="GM112" s="148"/>
      <c r="GN112" s="148"/>
      <c r="GO112" s="148"/>
      <c r="GP112" s="148"/>
      <c r="GQ112" s="148"/>
      <c r="GR112" s="148"/>
      <c r="GS112" s="148"/>
      <c r="GT112" s="148"/>
      <c r="GU112" s="148"/>
      <c r="GV112" s="148"/>
      <c r="GW112" s="148"/>
      <c r="GX112" s="148"/>
      <c r="GY112" s="148"/>
      <c r="GZ112" s="148"/>
      <c r="HA112" s="148"/>
      <c r="HB112" s="148"/>
      <c r="HC112" s="148"/>
      <c r="HD112" s="148"/>
      <c r="HE112" s="148"/>
      <c r="HF112" s="148"/>
      <c r="HG112" s="148"/>
      <c r="HH112" s="148"/>
      <c r="HI112" s="148"/>
      <c r="HJ112" s="148"/>
      <c r="HK112" s="148"/>
      <c r="HL112" s="148"/>
      <c r="HM112" s="148"/>
      <c r="HN112" s="148"/>
      <c r="HO112" s="148"/>
      <c r="HP112" s="148"/>
      <c r="HQ112" s="148"/>
      <c r="HR112" s="148"/>
      <c r="HS112" s="148"/>
      <c r="HT112" s="148"/>
      <c r="HU112" s="148"/>
      <c r="HV112" s="148"/>
      <c r="HW112" s="148"/>
      <c r="HX112" s="148"/>
      <c r="HY112" s="148"/>
      <c r="HZ112" s="148"/>
      <c r="IA112" s="148"/>
      <c r="IB112" s="148"/>
      <c r="IC112" s="148"/>
      <c r="ID112" s="148"/>
      <c r="IE112" s="148"/>
      <c r="IF112" s="148"/>
      <c r="IG112" s="148"/>
      <c r="IH112" s="148"/>
      <c r="II112" s="148"/>
      <c r="IJ112" s="148"/>
      <c r="IK112" s="148"/>
      <c r="IL112" s="148"/>
      <c r="IM112" s="148"/>
      <c r="IN112" s="148"/>
      <c r="IO112" s="148"/>
      <c r="IP112" s="148"/>
      <c r="IQ112" s="148"/>
      <c r="IR112" s="148"/>
      <c r="IS112" s="148"/>
      <c r="IT112" s="148"/>
      <c r="IU112" s="148"/>
      <c r="IV112" s="148"/>
      <c r="IW112" s="148"/>
      <c r="IX112" s="148"/>
      <c r="IY112" s="148"/>
      <c r="IZ112" s="148"/>
      <c r="JA112" s="148"/>
      <c r="JB112" s="148"/>
    </row>
    <row r="113" spans="1:262" s="272" customFormat="1" x14ac:dyDescent="0.35">
      <c r="A113" s="1423">
        <v>99</v>
      </c>
      <c r="B113" s="1557"/>
      <c r="C113" s="1582"/>
      <c r="D113" s="1163" t="s">
        <v>1064</v>
      </c>
      <c r="E113" s="1560"/>
      <c r="F113" s="1561"/>
      <c r="G113" s="1562"/>
      <c r="H113" s="1563"/>
      <c r="I113" s="1580"/>
      <c r="J113" s="1574"/>
      <c r="K113" s="1574"/>
      <c r="L113" s="1574"/>
      <c r="M113" s="1575">
        <v>0</v>
      </c>
      <c r="N113" s="1574"/>
      <c r="O113" s="1574"/>
      <c r="P113" s="1576">
        <f>SUM(I113:O113)</f>
        <v>0</v>
      </c>
      <c r="Q113" s="1567"/>
      <c r="R113" s="148"/>
      <c r="S113" s="148"/>
      <c r="T113" s="148"/>
      <c r="U113" s="148"/>
      <c r="V113" s="148"/>
      <c r="W113" s="148"/>
      <c r="X113" s="148"/>
      <c r="Y113" s="148"/>
      <c r="Z113" s="148"/>
      <c r="AA113" s="148"/>
      <c r="AB113" s="148"/>
      <c r="AC113" s="148"/>
      <c r="AD113" s="148"/>
      <c r="AE113" s="148"/>
      <c r="AF113" s="148"/>
      <c r="AG113" s="148"/>
      <c r="AH113" s="148"/>
      <c r="AI113" s="148"/>
      <c r="AJ113" s="148"/>
      <c r="AK113" s="148"/>
      <c r="AL113" s="148"/>
      <c r="AM113" s="148"/>
      <c r="AN113" s="148"/>
      <c r="AO113" s="148"/>
      <c r="AP113" s="148"/>
      <c r="AQ113" s="148"/>
      <c r="AR113" s="148"/>
      <c r="AS113" s="148"/>
      <c r="AT113" s="148"/>
      <c r="AU113" s="148"/>
      <c r="AV113" s="148"/>
      <c r="AW113" s="148"/>
      <c r="AX113" s="148"/>
      <c r="AY113" s="148"/>
      <c r="AZ113" s="148"/>
      <c r="BA113" s="148"/>
      <c r="BB113" s="148"/>
      <c r="BC113" s="148"/>
      <c r="BD113" s="148"/>
      <c r="BE113" s="148"/>
      <c r="BF113" s="148"/>
      <c r="BG113" s="148"/>
      <c r="BH113" s="148"/>
      <c r="BI113" s="148"/>
      <c r="BJ113" s="148"/>
      <c r="BK113" s="148"/>
      <c r="BL113" s="148"/>
      <c r="BM113" s="148"/>
      <c r="BN113" s="148"/>
      <c r="BO113" s="148"/>
      <c r="BP113" s="148"/>
      <c r="BQ113" s="148"/>
      <c r="BR113" s="148"/>
      <c r="BS113" s="148"/>
      <c r="BT113" s="148"/>
      <c r="BU113" s="148"/>
      <c r="BV113" s="148"/>
      <c r="BW113" s="148"/>
      <c r="BX113" s="148"/>
      <c r="BY113" s="148"/>
      <c r="BZ113" s="148"/>
      <c r="CA113" s="148"/>
      <c r="CB113" s="148"/>
      <c r="CC113" s="148"/>
      <c r="CD113" s="148"/>
      <c r="CE113" s="148"/>
      <c r="CF113" s="148"/>
      <c r="CG113" s="148"/>
      <c r="CH113" s="148"/>
      <c r="CI113" s="148"/>
      <c r="CJ113" s="148"/>
      <c r="CK113" s="148"/>
      <c r="CL113" s="148"/>
      <c r="CM113" s="148"/>
      <c r="CN113" s="148"/>
      <c r="CO113" s="148"/>
      <c r="CP113" s="148"/>
      <c r="CQ113" s="148"/>
      <c r="CR113" s="148"/>
      <c r="CS113" s="148"/>
      <c r="CT113" s="148"/>
      <c r="CU113" s="148"/>
      <c r="CV113" s="148"/>
      <c r="CW113" s="148"/>
      <c r="CX113" s="148"/>
      <c r="CY113" s="148"/>
      <c r="CZ113" s="148"/>
      <c r="DA113" s="148"/>
      <c r="DB113" s="148"/>
      <c r="DC113" s="148"/>
      <c r="DD113" s="148"/>
      <c r="DE113" s="148"/>
      <c r="DF113" s="148"/>
      <c r="DG113" s="148"/>
      <c r="DH113" s="148"/>
      <c r="DI113" s="148"/>
      <c r="DJ113" s="148"/>
      <c r="DK113" s="148"/>
      <c r="DL113" s="148"/>
      <c r="DM113" s="148"/>
      <c r="DN113" s="148"/>
      <c r="DO113" s="148"/>
      <c r="DP113" s="148"/>
      <c r="DQ113" s="148"/>
      <c r="DR113" s="148"/>
      <c r="DS113" s="148"/>
      <c r="DT113" s="148"/>
      <c r="DU113" s="148"/>
      <c r="DV113" s="148"/>
      <c r="DW113" s="148"/>
      <c r="DX113" s="148"/>
      <c r="DY113" s="148"/>
      <c r="DZ113" s="148"/>
      <c r="EA113" s="148"/>
      <c r="EB113" s="148"/>
      <c r="EC113" s="148"/>
      <c r="ED113" s="148"/>
      <c r="EE113" s="148"/>
      <c r="EF113" s="148"/>
      <c r="EG113" s="148"/>
      <c r="EH113" s="148"/>
      <c r="EI113" s="148"/>
      <c r="EJ113" s="148"/>
      <c r="EK113" s="148"/>
      <c r="EL113" s="148"/>
      <c r="EM113" s="148"/>
      <c r="EN113" s="148"/>
      <c r="EO113" s="148"/>
      <c r="EP113" s="148"/>
      <c r="EQ113" s="148"/>
      <c r="ER113" s="148"/>
      <c r="ES113" s="148"/>
      <c r="ET113" s="148"/>
      <c r="EU113" s="148"/>
      <c r="EV113" s="148"/>
      <c r="EW113" s="148"/>
      <c r="EX113" s="148"/>
      <c r="EY113" s="148"/>
      <c r="EZ113" s="148"/>
      <c r="FA113" s="148"/>
      <c r="FB113" s="148"/>
      <c r="FC113" s="148"/>
      <c r="FD113" s="148"/>
      <c r="FE113" s="148"/>
      <c r="FF113" s="148"/>
      <c r="FG113" s="148"/>
      <c r="FH113" s="148"/>
      <c r="FI113" s="148"/>
      <c r="FJ113" s="148"/>
      <c r="FK113" s="148"/>
      <c r="FL113" s="148"/>
      <c r="FM113" s="148"/>
      <c r="FN113" s="148"/>
      <c r="FO113" s="148"/>
      <c r="FP113" s="148"/>
      <c r="FQ113" s="148"/>
      <c r="FR113" s="148"/>
      <c r="FS113" s="148"/>
      <c r="FT113" s="148"/>
      <c r="FU113" s="148"/>
      <c r="FV113" s="148"/>
      <c r="FW113" s="148"/>
      <c r="FX113" s="148"/>
      <c r="FY113" s="148"/>
      <c r="FZ113" s="148"/>
      <c r="GA113" s="148"/>
      <c r="GB113" s="148"/>
      <c r="GC113" s="148"/>
      <c r="GD113" s="148"/>
      <c r="GE113" s="148"/>
      <c r="GF113" s="148"/>
      <c r="GG113" s="148"/>
      <c r="GH113" s="148"/>
      <c r="GI113" s="148"/>
      <c r="GJ113" s="148"/>
      <c r="GK113" s="148"/>
      <c r="GL113" s="148"/>
      <c r="GM113" s="148"/>
      <c r="GN113" s="148"/>
      <c r="GO113" s="148"/>
      <c r="GP113" s="148"/>
      <c r="GQ113" s="148"/>
      <c r="GR113" s="148"/>
      <c r="GS113" s="148"/>
      <c r="GT113" s="148"/>
      <c r="GU113" s="148"/>
      <c r="GV113" s="148"/>
      <c r="GW113" s="148"/>
      <c r="GX113" s="148"/>
      <c r="GY113" s="148"/>
      <c r="GZ113" s="148"/>
      <c r="HA113" s="148"/>
      <c r="HB113" s="148"/>
      <c r="HC113" s="148"/>
      <c r="HD113" s="148"/>
      <c r="HE113" s="148"/>
      <c r="HF113" s="148"/>
      <c r="HG113" s="148"/>
      <c r="HH113" s="148"/>
      <c r="HI113" s="148"/>
      <c r="HJ113" s="148"/>
      <c r="HK113" s="148"/>
      <c r="HL113" s="148"/>
      <c r="HM113" s="148"/>
      <c r="HN113" s="148"/>
      <c r="HO113" s="148"/>
      <c r="HP113" s="148"/>
      <c r="HQ113" s="148"/>
      <c r="HR113" s="148"/>
      <c r="HS113" s="148"/>
      <c r="HT113" s="148"/>
      <c r="HU113" s="148"/>
      <c r="HV113" s="148"/>
      <c r="HW113" s="148"/>
      <c r="HX113" s="148"/>
      <c r="HY113" s="148"/>
      <c r="HZ113" s="148"/>
      <c r="IA113" s="148"/>
      <c r="IB113" s="148"/>
      <c r="IC113" s="148"/>
      <c r="ID113" s="148"/>
      <c r="IE113" s="148"/>
      <c r="IF113" s="148"/>
      <c r="IG113" s="148"/>
      <c r="IH113" s="148"/>
      <c r="II113" s="148"/>
      <c r="IJ113" s="148"/>
      <c r="IK113" s="148"/>
      <c r="IL113" s="148"/>
      <c r="IM113" s="148"/>
      <c r="IN113" s="148"/>
      <c r="IO113" s="148"/>
      <c r="IP113" s="148"/>
      <c r="IQ113" s="148"/>
      <c r="IR113" s="148"/>
      <c r="IS113" s="148"/>
      <c r="IT113" s="148"/>
      <c r="IU113" s="148"/>
      <c r="IV113" s="148"/>
      <c r="IW113" s="148"/>
      <c r="IX113" s="148"/>
      <c r="IY113" s="148"/>
      <c r="IZ113" s="148"/>
      <c r="JA113" s="148"/>
      <c r="JB113" s="148"/>
    </row>
    <row r="114" spans="1:262" x14ac:dyDescent="0.35">
      <c r="A114" s="1423">
        <v>100</v>
      </c>
      <c r="B114" s="1557"/>
      <c r="C114" s="1582"/>
      <c r="D114" s="1174" t="s">
        <v>999</v>
      </c>
      <c r="E114" s="1560"/>
      <c r="F114" s="1561"/>
      <c r="G114" s="1562"/>
      <c r="H114" s="1563"/>
      <c r="I114" s="1580"/>
      <c r="J114" s="1574"/>
      <c r="K114" s="1574"/>
      <c r="L114" s="1574"/>
      <c r="M114" s="1574"/>
      <c r="N114" s="1574"/>
      <c r="O114" s="1574"/>
      <c r="P114" s="1576">
        <f t="shared" ref="P114:P115" si="9">SUM(I114:O114)</f>
        <v>0</v>
      </c>
      <c r="Q114" s="1567"/>
    </row>
    <row r="115" spans="1:262" s="272" customFormat="1" x14ac:dyDescent="0.35">
      <c r="A115" s="1423">
        <v>101</v>
      </c>
      <c r="B115" s="1557"/>
      <c r="C115" s="1582"/>
      <c r="D115" s="1163" t="s">
        <v>1116</v>
      </c>
      <c r="E115" s="1560"/>
      <c r="F115" s="1561"/>
      <c r="G115" s="1562"/>
      <c r="H115" s="1563"/>
      <c r="I115" s="1580"/>
      <c r="J115" s="1574"/>
      <c r="K115" s="1574"/>
      <c r="L115" s="1574"/>
      <c r="M115" s="1575">
        <f>SUM(M113:M114)</f>
        <v>0</v>
      </c>
      <c r="N115" s="1574"/>
      <c r="O115" s="1574"/>
      <c r="P115" s="1576">
        <f t="shared" si="9"/>
        <v>0</v>
      </c>
      <c r="Q115" s="1567"/>
      <c r="R115" s="148"/>
      <c r="S115" s="148"/>
      <c r="T115" s="148"/>
      <c r="U115" s="148"/>
      <c r="V115" s="148"/>
      <c r="W115" s="148"/>
      <c r="X115" s="148"/>
      <c r="Y115" s="148"/>
      <c r="Z115" s="148"/>
      <c r="AA115" s="148"/>
      <c r="AB115" s="148"/>
      <c r="AC115" s="148"/>
      <c r="AD115" s="148"/>
      <c r="AE115" s="148"/>
      <c r="AF115" s="148"/>
      <c r="AG115" s="148"/>
      <c r="AH115" s="148"/>
      <c r="AI115" s="148"/>
      <c r="AJ115" s="148"/>
      <c r="AK115" s="148"/>
      <c r="AL115" s="148"/>
      <c r="AM115" s="148"/>
      <c r="AN115" s="148"/>
      <c r="AO115" s="148"/>
      <c r="AP115" s="148"/>
      <c r="AQ115" s="148"/>
      <c r="AR115" s="148"/>
      <c r="AS115" s="148"/>
      <c r="AT115" s="148"/>
      <c r="AU115" s="148"/>
      <c r="AV115" s="148"/>
      <c r="AW115" s="148"/>
      <c r="AX115" s="148"/>
      <c r="AY115" s="148"/>
      <c r="AZ115" s="148"/>
      <c r="BA115" s="148"/>
      <c r="BB115" s="148"/>
      <c r="BC115" s="148"/>
      <c r="BD115" s="148"/>
      <c r="BE115" s="148"/>
      <c r="BF115" s="148"/>
      <c r="BG115" s="148"/>
      <c r="BH115" s="148"/>
      <c r="BI115" s="148"/>
      <c r="BJ115" s="148"/>
      <c r="BK115" s="148"/>
      <c r="BL115" s="148"/>
      <c r="BM115" s="148"/>
      <c r="BN115" s="148"/>
      <c r="BO115" s="148"/>
      <c r="BP115" s="148"/>
      <c r="BQ115" s="148"/>
      <c r="BR115" s="148"/>
      <c r="BS115" s="148"/>
      <c r="BT115" s="148"/>
      <c r="BU115" s="148"/>
      <c r="BV115" s="148"/>
      <c r="BW115" s="148"/>
      <c r="BX115" s="148"/>
      <c r="BY115" s="148"/>
      <c r="BZ115" s="148"/>
      <c r="CA115" s="148"/>
      <c r="CB115" s="148"/>
      <c r="CC115" s="148"/>
      <c r="CD115" s="148"/>
      <c r="CE115" s="148"/>
      <c r="CF115" s="148"/>
      <c r="CG115" s="148"/>
      <c r="CH115" s="148"/>
      <c r="CI115" s="148"/>
      <c r="CJ115" s="148"/>
      <c r="CK115" s="148"/>
      <c r="CL115" s="148"/>
      <c r="CM115" s="148"/>
      <c r="CN115" s="148"/>
      <c r="CO115" s="148"/>
      <c r="CP115" s="148"/>
      <c r="CQ115" s="148"/>
      <c r="CR115" s="148"/>
      <c r="CS115" s="148"/>
      <c r="CT115" s="148"/>
      <c r="CU115" s="148"/>
      <c r="CV115" s="148"/>
      <c r="CW115" s="148"/>
      <c r="CX115" s="148"/>
      <c r="CY115" s="148"/>
      <c r="CZ115" s="148"/>
      <c r="DA115" s="148"/>
      <c r="DB115" s="148"/>
      <c r="DC115" s="148"/>
      <c r="DD115" s="148"/>
      <c r="DE115" s="148"/>
      <c r="DF115" s="148"/>
      <c r="DG115" s="148"/>
      <c r="DH115" s="148"/>
      <c r="DI115" s="148"/>
      <c r="DJ115" s="148"/>
      <c r="DK115" s="148"/>
      <c r="DL115" s="148"/>
      <c r="DM115" s="148"/>
      <c r="DN115" s="148"/>
      <c r="DO115" s="148"/>
      <c r="DP115" s="148"/>
      <c r="DQ115" s="148"/>
      <c r="DR115" s="148"/>
      <c r="DS115" s="148"/>
      <c r="DT115" s="148"/>
      <c r="DU115" s="148"/>
      <c r="DV115" s="148"/>
      <c r="DW115" s="148"/>
      <c r="DX115" s="148"/>
      <c r="DY115" s="148"/>
      <c r="DZ115" s="148"/>
      <c r="EA115" s="148"/>
      <c r="EB115" s="148"/>
      <c r="EC115" s="148"/>
      <c r="ED115" s="148"/>
      <c r="EE115" s="148"/>
      <c r="EF115" s="148"/>
      <c r="EG115" s="148"/>
      <c r="EH115" s="148"/>
      <c r="EI115" s="148"/>
      <c r="EJ115" s="148"/>
      <c r="EK115" s="148"/>
      <c r="EL115" s="148"/>
      <c r="EM115" s="148"/>
      <c r="EN115" s="148"/>
      <c r="EO115" s="148"/>
      <c r="EP115" s="148"/>
      <c r="EQ115" s="148"/>
      <c r="ER115" s="148"/>
      <c r="ES115" s="148"/>
      <c r="ET115" s="148"/>
      <c r="EU115" s="148"/>
      <c r="EV115" s="148"/>
      <c r="EW115" s="148"/>
      <c r="EX115" s="148"/>
      <c r="EY115" s="148"/>
      <c r="EZ115" s="148"/>
      <c r="FA115" s="148"/>
      <c r="FB115" s="148"/>
      <c r="FC115" s="148"/>
      <c r="FD115" s="148"/>
      <c r="FE115" s="148"/>
      <c r="FF115" s="148"/>
      <c r="FG115" s="148"/>
      <c r="FH115" s="148"/>
      <c r="FI115" s="148"/>
      <c r="FJ115" s="148"/>
      <c r="FK115" s="148"/>
      <c r="FL115" s="148"/>
      <c r="FM115" s="148"/>
      <c r="FN115" s="148"/>
      <c r="FO115" s="148"/>
      <c r="FP115" s="148"/>
      <c r="FQ115" s="148"/>
      <c r="FR115" s="148"/>
      <c r="FS115" s="148"/>
      <c r="FT115" s="148"/>
      <c r="FU115" s="148"/>
      <c r="FV115" s="148"/>
      <c r="FW115" s="148"/>
      <c r="FX115" s="148"/>
      <c r="FY115" s="148"/>
      <c r="FZ115" s="148"/>
      <c r="GA115" s="148"/>
      <c r="GB115" s="148"/>
      <c r="GC115" s="148"/>
      <c r="GD115" s="148"/>
      <c r="GE115" s="148"/>
      <c r="GF115" s="148"/>
      <c r="GG115" s="148"/>
      <c r="GH115" s="148"/>
      <c r="GI115" s="148"/>
      <c r="GJ115" s="148"/>
      <c r="GK115" s="148"/>
      <c r="GL115" s="148"/>
      <c r="GM115" s="148"/>
      <c r="GN115" s="148"/>
      <c r="GO115" s="148"/>
      <c r="GP115" s="148"/>
      <c r="GQ115" s="148"/>
      <c r="GR115" s="148"/>
      <c r="GS115" s="148"/>
      <c r="GT115" s="148"/>
      <c r="GU115" s="148"/>
      <c r="GV115" s="148"/>
      <c r="GW115" s="148"/>
      <c r="GX115" s="148"/>
      <c r="GY115" s="148"/>
      <c r="GZ115" s="148"/>
      <c r="HA115" s="148"/>
      <c r="HB115" s="148"/>
      <c r="HC115" s="148"/>
      <c r="HD115" s="148"/>
      <c r="HE115" s="148"/>
      <c r="HF115" s="148"/>
      <c r="HG115" s="148"/>
      <c r="HH115" s="148"/>
      <c r="HI115" s="148"/>
      <c r="HJ115" s="148"/>
      <c r="HK115" s="148"/>
      <c r="HL115" s="148"/>
      <c r="HM115" s="148"/>
      <c r="HN115" s="148"/>
      <c r="HO115" s="148"/>
      <c r="HP115" s="148"/>
      <c r="HQ115" s="148"/>
      <c r="HR115" s="148"/>
      <c r="HS115" s="148"/>
      <c r="HT115" s="148"/>
      <c r="HU115" s="148"/>
      <c r="HV115" s="148"/>
      <c r="HW115" s="148"/>
      <c r="HX115" s="148"/>
      <c r="HY115" s="148"/>
      <c r="HZ115" s="148"/>
      <c r="IA115" s="148"/>
      <c r="IB115" s="148"/>
      <c r="IC115" s="148"/>
      <c r="ID115" s="148"/>
      <c r="IE115" s="148"/>
      <c r="IF115" s="148"/>
      <c r="IG115" s="148"/>
      <c r="IH115" s="148"/>
      <c r="II115" s="148"/>
      <c r="IJ115" s="148"/>
      <c r="IK115" s="148"/>
      <c r="IL115" s="148"/>
      <c r="IM115" s="148"/>
      <c r="IN115" s="148"/>
      <c r="IO115" s="148"/>
      <c r="IP115" s="148"/>
      <c r="IQ115" s="148"/>
      <c r="IR115" s="148"/>
      <c r="IS115" s="148"/>
      <c r="IT115" s="148"/>
      <c r="IU115" s="148"/>
      <c r="IV115" s="148"/>
      <c r="IW115" s="148"/>
      <c r="IX115" s="148"/>
      <c r="IY115" s="148"/>
      <c r="IZ115" s="148"/>
      <c r="JA115" s="148"/>
      <c r="JB115" s="148"/>
    </row>
    <row r="116" spans="1:262" s="272" customFormat="1" x14ac:dyDescent="0.35">
      <c r="A116" s="1423">
        <v>102</v>
      </c>
      <c r="B116" s="1568"/>
      <c r="C116" s="1558"/>
      <c r="D116" s="1559" t="s">
        <v>722</v>
      </c>
      <c r="E116" s="1712"/>
      <c r="F116" s="1713"/>
      <c r="G116" s="1714"/>
      <c r="H116" s="1642"/>
      <c r="I116" s="1571"/>
      <c r="J116" s="1572"/>
      <c r="K116" s="1572"/>
      <c r="L116" s="1572"/>
      <c r="M116" s="1565"/>
      <c r="N116" s="1572"/>
      <c r="O116" s="1572"/>
      <c r="P116" s="1566"/>
      <c r="Q116" s="1573"/>
      <c r="R116" s="148"/>
      <c r="S116" s="148"/>
      <c r="T116" s="148"/>
      <c r="U116" s="148"/>
      <c r="V116" s="148"/>
      <c r="W116" s="148"/>
      <c r="X116" s="148"/>
      <c r="Y116" s="148"/>
      <c r="Z116" s="148"/>
      <c r="AA116" s="148"/>
      <c r="AB116" s="148"/>
      <c r="AC116" s="148"/>
      <c r="AD116" s="148"/>
      <c r="AE116" s="148"/>
      <c r="AF116" s="148"/>
      <c r="AG116" s="148"/>
      <c r="AH116" s="148"/>
      <c r="AI116" s="148"/>
      <c r="AJ116" s="148"/>
      <c r="AK116" s="148"/>
      <c r="AL116" s="148"/>
      <c r="AM116" s="148"/>
      <c r="AN116" s="148"/>
      <c r="AO116" s="148"/>
      <c r="AP116" s="148"/>
      <c r="AQ116" s="148"/>
      <c r="AR116" s="148"/>
      <c r="AS116" s="148"/>
      <c r="AT116" s="148"/>
      <c r="AU116" s="148"/>
      <c r="AV116" s="148"/>
      <c r="AW116" s="148"/>
      <c r="AX116" s="148"/>
      <c r="AY116" s="148"/>
      <c r="AZ116" s="148"/>
      <c r="BA116" s="148"/>
      <c r="BB116" s="148"/>
      <c r="BC116" s="148"/>
      <c r="BD116" s="148"/>
      <c r="BE116" s="148"/>
      <c r="BF116" s="148"/>
      <c r="BG116" s="148"/>
      <c r="BH116" s="148"/>
      <c r="BI116" s="148"/>
      <c r="BJ116" s="148"/>
      <c r="BK116" s="148"/>
      <c r="BL116" s="148"/>
      <c r="BM116" s="148"/>
      <c r="BN116" s="148"/>
      <c r="BO116" s="148"/>
      <c r="BP116" s="148"/>
      <c r="BQ116" s="148"/>
      <c r="BR116" s="148"/>
      <c r="BS116" s="148"/>
      <c r="BT116" s="148"/>
      <c r="BU116" s="148"/>
      <c r="BV116" s="148"/>
      <c r="BW116" s="148"/>
      <c r="BX116" s="148"/>
      <c r="BY116" s="148"/>
      <c r="BZ116" s="148"/>
      <c r="CA116" s="148"/>
      <c r="CB116" s="148"/>
      <c r="CC116" s="148"/>
      <c r="CD116" s="148"/>
      <c r="CE116" s="148"/>
      <c r="CF116" s="148"/>
      <c r="CG116" s="148"/>
      <c r="CH116" s="148"/>
      <c r="CI116" s="148"/>
      <c r="CJ116" s="148"/>
      <c r="CK116" s="148"/>
      <c r="CL116" s="148"/>
      <c r="CM116" s="148"/>
      <c r="CN116" s="148"/>
      <c r="CO116" s="148"/>
      <c r="CP116" s="148"/>
      <c r="CQ116" s="148"/>
      <c r="CR116" s="148"/>
      <c r="CS116" s="148"/>
      <c r="CT116" s="148"/>
      <c r="CU116" s="148"/>
      <c r="CV116" s="148"/>
      <c r="CW116" s="148"/>
      <c r="CX116" s="148"/>
      <c r="CY116" s="148"/>
      <c r="CZ116" s="148"/>
      <c r="DA116" s="148"/>
      <c r="DB116" s="148"/>
      <c r="DC116" s="148"/>
      <c r="DD116" s="148"/>
      <c r="DE116" s="148"/>
      <c r="DF116" s="148"/>
      <c r="DG116" s="148"/>
      <c r="DH116" s="148"/>
      <c r="DI116" s="148"/>
      <c r="DJ116" s="148"/>
      <c r="DK116" s="148"/>
      <c r="DL116" s="148"/>
      <c r="DM116" s="148"/>
      <c r="DN116" s="148"/>
      <c r="DO116" s="148"/>
      <c r="DP116" s="148"/>
      <c r="DQ116" s="148"/>
      <c r="DR116" s="148"/>
      <c r="DS116" s="148"/>
      <c r="DT116" s="148"/>
      <c r="DU116" s="148"/>
      <c r="DV116" s="148"/>
      <c r="DW116" s="148"/>
      <c r="DX116" s="148"/>
      <c r="DY116" s="148"/>
      <c r="DZ116" s="148"/>
      <c r="EA116" s="148"/>
      <c r="EB116" s="148"/>
      <c r="EC116" s="148"/>
      <c r="ED116" s="148"/>
      <c r="EE116" s="148"/>
      <c r="EF116" s="148"/>
      <c r="EG116" s="148"/>
      <c r="EH116" s="148"/>
      <c r="EI116" s="148"/>
      <c r="EJ116" s="148"/>
      <c r="EK116" s="148"/>
      <c r="EL116" s="148"/>
      <c r="EM116" s="148"/>
      <c r="EN116" s="148"/>
      <c r="EO116" s="148"/>
      <c r="EP116" s="148"/>
      <c r="EQ116" s="148"/>
      <c r="ER116" s="148"/>
      <c r="ES116" s="148"/>
      <c r="ET116" s="148"/>
      <c r="EU116" s="148"/>
      <c r="EV116" s="148"/>
      <c r="EW116" s="148"/>
      <c r="EX116" s="148"/>
      <c r="EY116" s="148"/>
      <c r="EZ116" s="148"/>
      <c r="FA116" s="148"/>
      <c r="FB116" s="148"/>
      <c r="FC116" s="148"/>
      <c r="FD116" s="148"/>
      <c r="FE116" s="148"/>
      <c r="FF116" s="148"/>
      <c r="FG116" s="148"/>
      <c r="FH116" s="148"/>
      <c r="FI116" s="148"/>
      <c r="FJ116" s="148"/>
      <c r="FK116" s="148"/>
      <c r="FL116" s="148"/>
      <c r="FM116" s="148"/>
      <c r="FN116" s="148"/>
      <c r="FO116" s="148"/>
      <c r="FP116" s="148"/>
      <c r="FQ116" s="148"/>
      <c r="FR116" s="148"/>
      <c r="FS116" s="148"/>
      <c r="FT116" s="148"/>
      <c r="FU116" s="148"/>
      <c r="FV116" s="148"/>
      <c r="FW116" s="148"/>
      <c r="FX116" s="148"/>
      <c r="FY116" s="148"/>
      <c r="FZ116" s="148"/>
      <c r="GA116" s="148"/>
      <c r="GB116" s="148"/>
      <c r="GC116" s="148"/>
      <c r="GD116" s="148"/>
      <c r="GE116" s="148"/>
      <c r="GF116" s="148"/>
      <c r="GG116" s="148"/>
      <c r="GH116" s="148"/>
      <c r="GI116" s="148"/>
      <c r="GJ116" s="148"/>
      <c r="GK116" s="148"/>
      <c r="GL116" s="148"/>
      <c r="GM116" s="148"/>
      <c r="GN116" s="148"/>
      <c r="GO116" s="148"/>
      <c r="GP116" s="148"/>
      <c r="GQ116" s="148"/>
      <c r="GR116" s="148"/>
      <c r="GS116" s="148"/>
      <c r="GT116" s="148"/>
      <c r="GU116" s="148"/>
      <c r="GV116" s="148"/>
      <c r="GW116" s="148"/>
      <c r="GX116" s="148"/>
      <c r="GY116" s="148"/>
      <c r="GZ116" s="148"/>
      <c r="HA116" s="148"/>
      <c r="HB116" s="148"/>
      <c r="HC116" s="148"/>
      <c r="HD116" s="148"/>
      <c r="HE116" s="148"/>
      <c r="HF116" s="148"/>
      <c r="HG116" s="148"/>
      <c r="HH116" s="148"/>
      <c r="HI116" s="148"/>
      <c r="HJ116" s="148"/>
      <c r="HK116" s="148"/>
      <c r="HL116" s="148"/>
      <c r="HM116" s="148"/>
      <c r="HN116" s="148"/>
      <c r="HO116" s="148"/>
      <c r="HP116" s="148"/>
      <c r="HQ116" s="148"/>
      <c r="HR116" s="148"/>
      <c r="HS116" s="148"/>
      <c r="HT116" s="148"/>
      <c r="HU116" s="148"/>
      <c r="HV116" s="148"/>
      <c r="HW116" s="148"/>
      <c r="HX116" s="148"/>
      <c r="HY116" s="148"/>
      <c r="HZ116" s="148"/>
      <c r="IA116" s="148"/>
      <c r="IB116" s="148"/>
      <c r="IC116" s="148"/>
      <c r="ID116" s="148"/>
      <c r="IE116" s="148"/>
      <c r="IF116" s="148"/>
      <c r="IG116" s="148"/>
      <c r="IH116" s="148"/>
      <c r="II116" s="148"/>
      <c r="IJ116" s="148"/>
      <c r="IK116" s="148"/>
      <c r="IL116" s="148"/>
      <c r="IM116" s="148"/>
      <c r="IN116" s="148"/>
      <c r="IO116" s="148"/>
      <c r="IP116" s="148"/>
      <c r="IQ116" s="148"/>
      <c r="IR116" s="148"/>
      <c r="IS116" s="148"/>
      <c r="IT116" s="148"/>
      <c r="IU116" s="148"/>
      <c r="IV116" s="148"/>
      <c r="IW116" s="148"/>
      <c r="IX116" s="148"/>
      <c r="IY116" s="148"/>
      <c r="IZ116" s="148"/>
      <c r="JA116" s="148"/>
      <c r="JB116" s="148"/>
    </row>
    <row r="117" spans="1:262" s="272" customFormat="1" x14ac:dyDescent="0.35">
      <c r="A117" s="1423">
        <v>103</v>
      </c>
      <c r="B117" s="1557"/>
      <c r="C117" s="1558"/>
      <c r="D117" s="1585" t="s">
        <v>311</v>
      </c>
      <c r="E117" s="1560"/>
      <c r="F117" s="1560"/>
      <c r="G117" s="1562"/>
      <c r="H117" s="1563"/>
      <c r="I117" s="1590"/>
      <c r="J117" s="1560"/>
      <c r="K117" s="1560"/>
      <c r="L117" s="1560"/>
      <c r="M117" s="1572">
        <v>37000</v>
      </c>
      <c r="N117" s="1560"/>
      <c r="O117" s="1560"/>
      <c r="P117" s="1566">
        <f>SUM(I117:O117)</f>
        <v>37000</v>
      </c>
      <c r="Q117" s="1567"/>
      <c r="R117" s="148"/>
      <c r="S117" s="148"/>
      <c r="T117" s="148"/>
      <c r="U117" s="148"/>
      <c r="V117" s="148"/>
      <c r="W117" s="148"/>
      <c r="X117" s="148"/>
      <c r="Y117" s="148"/>
      <c r="Z117" s="148"/>
      <c r="AA117" s="148"/>
      <c r="AB117" s="148"/>
      <c r="AC117" s="148"/>
      <c r="AD117" s="148"/>
      <c r="AE117" s="148"/>
      <c r="AF117" s="148"/>
      <c r="AG117" s="148"/>
      <c r="AH117" s="148"/>
      <c r="AI117" s="148"/>
      <c r="AJ117" s="148"/>
      <c r="AK117" s="148"/>
      <c r="AL117" s="148"/>
      <c r="AM117" s="148"/>
      <c r="AN117" s="148"/>
      <c r="AO117" s="148"/>
      <c r="AP117" s="148"/>
      <c r="AQ117" s="148"/>
      <c r="AR117" s="148"/>
      <c r="AS117" s="148"/>
      <c r="AT117" s="148"/>
      <c r="AU117" s="148"/>
      <c r="AV117" s="148"/>
      <c r="AW117" s="148"/>
      <c r="AX117" s="148"/>
      <c r="AY117" s="148"/>
      <c r="AZ117" s="148"/>
      <c r="BA117" s="148"/>
      <c r="BB117" s="148"/>
      <c r="BC117" s="148"/>
      <c r="BD117" s="148"/>
      <c r="BE117" s="148"/>
      <c r="BF117" s="148"/>
      <c r="BG117" s="148"/>
      <c r="BH117" s="148"/>
      <c r="BI117" s="148"/>
      <c r="BJ117" s="148"/>
      <c r="BK117" s="148"/>
      <c r="BL117" s="148"/>
      <c r="BM117" s="148"/>
      <c r="BN117" s="148"/>
      <c r="BO117" s="148"/>
      <c r="BP117" s="148"/>
      <c r="BQ117" s="148"/>
      <c r="BR117" s="148"/>
      <c r="BS117" s="148"/>
      <c r="BT117" s="148"/>
      <c r="BU117" s="148"/>
      <c r="BV117" s="148"/>
      <c r="BW117" s="148"/>
      <c r="BX117" s="148"/>
      <c r="BY117" s="148"/>
      <c r="BZ117" s="148"/>
      <c r="CA117" s="148"/>
      <c r="CB117" s="148"/>
      <c r="CC117" s="148"/>
      <c r="CD117" s="148"/>
      <c r="CE117" s="148"/>
      <c r="CF117" s="148"/>
      <c r="CG117" s="148"/>
      <c r="CH117" s="148"/>
      <c r="CI117" s="148"/>
      <c r="CJ117" s="148"/>
      <c r="CK117" s="148"/>
      <c r="CL117" s="148"/>
      <c r="CM117" s="148"/>
      <c r="CN117" s="148"/>
      <c r="CO117" s="148"/>
      <c r="CP117" s="148"/>
      <c r="CQ117" s="148"/>
      <c r="CR117" s="148"/>
      <c r="CS117" s="148"/>
      <c r="CT117" s="148"/>
      <c r="CU117" s="148"/>
      <c r="CV117" s="148"/>
      <c r="CW117" s="148"/>
      <c r="CX117" s="148"/>
      <c r="CY117" s="148"/>
      <c r="CZ117" s="148"/>
      <c r="DA117" s="148"/>
      <c r="DB117" s="148"/>
      <c r="DC117" s="148"/>
      <c r="DD117" s="148"/>
      <c r="DE117" s="148"/>
      <c r="DF117" s="148"/>
      <c r="DG117" s="148"/>
      <c r="DH117" s="148"/>
      <c r="DI117" s="148"/>
      <c r="DJ117" s="148"/>
      <c r="DK117" s="148"/>
      <c r="DL117" s="148"/>
      <c r="DM117" s="148"/>
      <c r="DN117" s="148"/>
      <c r="DO117" s="148"/>
      <c r="DP117" s="148"/>
      <c r="DQ117" s="148"/>
      <c r="DR117" s="148"/>
      <c r="DS117" s="148"/>
      <c r="DT117" s="148"/>
      <c r="DU117" s="148"/>
      <c r="DV117" s="148"/>
      <c r="DW117" s="148"/>
      <c r="DX117" s="148"/>
      <c r="DY117" s="148"/>
      <c r="DZ117" s="148"/>
      <c r="EA117" s="148"/>
      <c r="EB117" s="148"/>
      <c r="EC117" s="148"/>
      <c r="ED117" s="148"/>
      <c r="EE117" s="148"/>
      <c r="EF117" s="148"/>
      <c r="EG117" s="148"/>
      <c r="EH117" s="148"/>
      <c r="EI117" s="148"/>
      <c r="EJ117" s="148"/>
      <c r="EK117" s="148"/>
      <c r="EL117" s="148"/>
      <c r="EM117" s="148"/>
      <c r="EN117" s="148"/>
      <c r="EO117" s="148"/>
      <c r="EP117" s="148"/>
      <c r="EQ117" s="148"/>
      <c r="ER117" s="148"/>
      <c r="ES117" s="148"/>
      <c r="ET117" s="148"/>
      <c r="EU117" s="148"/>
      <c r="EV117" s="148"/>
      <c r="EW117" s="148"/>
      <c r="EX117" s="148"/>
      <c r="EY117" s="148"/>
      <c r="EZ117" s="148"/>
      <c r="FA117" s="148"/>
      <c r="FB117" s="148"/>
      <c r="FC117" s="148"/>
      <c r="FD117" s="148"/>
      <c r="FE117" s="148"/>
      <c r="FF117" s="148"/>
      <c r="FG117" s="148"/>
      <c r="FH117" s="148"/>
      <c r="FI117" s="148"/>
      <c r="FJ117" s="148"/>
      <c r="FK117" s="148"/>
      <c r="FL117" s="148"/>
      <c r="FM117" s="148"/>
      <c r="FN117" s="148"/>
      <c r="FO117" s="148"/>
      <c r="FP117" s="148"/>
      <c r="FQ117" s="148"/>
      <c r="FR117" s="148"/>
      <c r="FS117" s="148"/>
      <c r="FT117" s="148"/>
      <c r="FU117" s="148"/>
      <c r="FV117" s="148"/>
      <c r="FW117" s="148"/>
      <c r="FX117" s="148"/>
      <c r="FY117" s="148"/>
      <c r="FZ117" s="148"/>
      <c r="GA117" s="148"/>
      <c r="GB117" s="148"/>
      <c r="GC117" s="148"/>
      <c r="GD117" s="148"/>
      <c r="GE117" s="148"/>
      <c r="GF117" s="148"/>
      <c r="GG117" s="148"/>
      <c r="GH117" s="148"/>
      <c r="GI117" s="148"/>
      <c r="GJ117" s="148"/>
      <c r="GK117" s="148"/>
      <c r="GL117" s="148"/>
      <c r="GM117" s="148"/>
      <c r="GN117" s="148"/>
      <c r="GO117" s="148"/>
      <c r="GP117" s="148"/>
      <c r="GQ117" s="148"/>
      <c r="GR117" s="148"/>
      <c r="GS117" s="148"/>
      <c r="GT117" s="148"/>
      <c r="GU117" s="148"/>
      <c r="GV117" s="148"/>
      <c r="GW117" s="148"/>
      <c r="GX117" s="148"/>
      <c r="GY117" s="148"/>
      <c r="GZ117" s="148"/>
      <c r="HA117" s="148"/>
      <c r="HB117" s="148"/>
      <c r="HC117" s="148"/>
      <c r="HD117" s="148"/>
      <c r="HE117" s="148"/>
      <c r="HF117" s="148"/>
      <c r="HG117" s="148"/>
      <c r="HH117" s="148"/>
      <c r="HI117" s="148"/>
      <c r="HJ117" s="148"/>
      <c r="HK117" s="148"/>
      <c r="HL117" s="148"/>
      <c r="HM117" s="148"/>
      <c r="HN117" s="148"/>
      <c r="HO117" s="148"/>
      <c r="HP117" s="148"/>
      <c r="HQ117" s="148"/>
      <c r="HR117" s="148"/>
      <c r="HS117" s="148"/>
      <c r="HT117" s="148"/>
      <c r="HU117" s="148"/>
      <c r="HV117" s="148"/>
      <c r="HW117" s="148"/>
      <c r="HX117" s="148"/>
      <c r="HY117" s="148"/>
      <c r="HZ117" s="148"/>
      <c r="IA117" s="148"/>
      <c r="IB117" s="148"/>
      <c r="IC117" s="148"/>
      <c r="ID117" s="148"/>
      <c r="IE117" s="148"/>
      <c r="IF117" s="148"/>
      <c r="IG117" s="148"/>
      <c r="IH117" s="148"/>
      <c r="II117" s="148"/>
      <c r="IJ117" s="148"/>
      <c r="IK117" s="148"/>
      <c r="IL117" s="148"/>
      <c r="IM117" s="148"/>
      <c r="IN117" s="148"/>
      <c r="IO117" s="148"/>
      <c r="IP117" s="148"/>
      <c r="IQ117" s="148"/>
      <c r="IR117" s="148"/>
      <c r="IS117" s="148"/>
      <c r="IT117" s="148"/>
      <c r="IU117" s="148"/>
      <c r="IV117" s="148"/>
      <c r="IW117" s="148"/>
      <c r="IX117" s="148"/>
      <c r="IY117" s="148"/>
      <c r="IZ117" s="148"/>
      <c r="JA117" s="148"/>
      <c r="JB117" s="148"/>
    </row>
    <row r="118" spans="1:262" s="272" customFormat="1" x14ac:dyDescent="0.35">
      <c r="A118" s="1423">
        <v>104</v>
      </c>
      <c r="B118" s="1557"/>
      <c r="C118" s="1558"/>
      <c r="D118" s="1163" t="s">
        <v>1064</v>
      </c>
      <c r="E118" s="1560"/>
      <c r="F118" s="1560"/>
      <c r="G118" s="1562"/>
      <c r="H118" s="1563"/>
      <c r="I118" s="1590"/>
      <c r="J118" s="1560"/>
      <c r="K118" s="1560"/>
      <c r="L118" s="1560"/>
      <c r="M118" s="1575">
        <v>0</v>
      </c>
      <c r="N118" s="1645"/>
      <c r="O118" s="1645"/>
      <c r="P118" s="1576">
        <f>SUM(I118:O118)</f>
        <v>0</v>
      </c>
      <c r="Q118" s="1567"/>
      <c r="R118" s="148"/>
      <c r="S118" s="148"/>
      <c r="T118" s="148"/>
      <c r="U118" s="148"/>
      <c r="V118" s="148"/>
      <c r="W118" s="148"/>
      <c r="X118" s="148"/>
      <c r="Y118" s="148"/>
      <c r="Z118" s="148"/>
      <c r="AA118" s="148"/>
      <c r="AB118" s="148"/>
      <c r="AC118" s="148"/>
      <c r="AD118" s="148"/>
      <c r="AE118" s="148"/>
      <c r="AF118" s="148"/>
      <c r="AG118" s="148"/>
      <c r="AH118" s="148"/>
      <c r="AI118" s="148"/>
      <c r="AJ118" s="148"/>
      <c r="AK118" s="148"/>
      <c r="AL118" s="148"/>
      <c r="AM118" s="148"/>
      <c r="AN118" s="148"/>
      <c r="AO118" s="148"/>
      <c r="AP118" s="148"/>
      <c r="AQ118" s="148"/>
      <c r="AR118" s="148"/>
      <c r="AS118" s="148"/>
      <c r="AT118" s="148"/>
      <c r="AU118" s="148"/>
      <c r="AV118" s="148"/>
      <c r="AW118" s="148"/>
      <c r="AX118" s="148"/>
      <c r="AY118" s="148"/>
      <c r="AZ118" s="148"/>
      <c r="BA118" s="148"/>
      <c r="BB118" s="148"/>
      <c r="BC118" s="148"/>
      <c r="BD118" s="148"/>
      <c r="BE118" s="148"/>
      <c r="BF118" s="148"/>
      <c r="BG118" s="148"/>
      <c r="BH118" s="148"/>
      <c r="BI118" s="148"/>
      <c r="BJ118" s="148"/>
      <c r="BK118" s="148"/>
      <c r="BL118" s="148"/>
      <c r="BM118" s="148"/>
      <c r="BN118" s="148"/>
      <c r="BO118" s="148"/>
      <c r="BP118" s="148"/>
      <c r="BQ118" s="148"/>
      <c r="BR118" s="148"/>
      <c r="BS118" s="148"/>
      <c r="BT118" s="148"/>
      <c r="BU118" s="148"/>
      <c r="BV118" s="148"/>
      <c r="BW118" s="148"/>
      <c r="BX118" s="148"/>
      <c r="BY118" s="148"/>
      <c r="BZ118" s="148"/>
      <c r="CA118" s="148"/>
      <c r="CB118" s="148"/>
      <c r="CC118" s="148"/>
      <c r="CD118" s="148"/>
      <c r="CE118" s="148"/>
      <c r="CF118" s="148"/>
      <c r="CG118" s="148"/>
      <c r="CH118" s="148"/>
      <c r="CI118" s="148"/>
      <c r="CJ118" s="148"/>
      <c r="CK118" s="148"/>
      <c r="CL118" s="148"/>
      <c r="CM118" s="148"/>
      <c r="CN118" s="148"/>
      <c r="CO118" s="148"/>
      <c r="CP118" s="148"/>
      <c r="CQ118" s="148"/>
      <c r="CR118" s="148"/>
      <c r="CS118" s="148"/>
      <c r="CT118" s="148"/>
      <c r="CU118" s="148"/>
      <c r="CV118" s="148"/>
      <c r="CW118" s="148"/>
      <c r="CX118" s="148"/>
      <c r="CY118" s="148"/>
      <c r="CZ118" s="148"/>
      <c r="DA118" s="148"/>
      <c r="DB118" s="148"/>
      <c r="DC118" s="148"/>
      <c r="DD118" s="148"/>
      <c r="DE118" s="148"/>
      <c r="DF118" s="148"/>
      <c r="DG118" s="148"/>
      <c r="DH118" s="148"/>
      <c r="DI118" s="148"/>
      <c r="DJ118" s="148"/>
      <c r="DK118" s="148"/>
      <c r="DL118" s="148"/>
      <c r="DM118" s="148"/>
      <c r="DN118" s="148"/>
      <c r="DO118" s="148"/>
      <c r="DP118" s="148"/>
      <c r="DQ118" s="148"/>
      <c r="DR118" s="148"/>
      <c r="DS118" s="148"/>
      <c r="DT118" s="148"/>
      <c r="DU118" s="148"/>
      <c r="DV118" s="148"/>
      <c r="DW118" s="148"/>
      <c r="DX118" s="148"/>
      <c r="DY118" s="148"/>
      <c r="DZ118" s="148"/>
      <c r="EA118" s="148"/>
      <c r="EB118" s="148"/>
      <c r="EC118" s="148"/>
      <c r="ED118" s="148"/>
      <c r="EE118" s="148"/>
      <c r="EF118" s="148"/>
      <c r="EG118" s="148"/>
      <c r="EH118" s="148"/>
      <c r="EI118" s="148"/>
      <c r="EJ118" s="148"/>
      <c r="EK118" s="148"/>
      <c r="EL118" s="148"/>
      <c r="EM118" s="148"/>
      <c r="EN118" s="148"/>
      <c r="EO118" s="148"/>
      <c r="EP118" s="148"/>
      <c r="EQ118" s="148"/>
      <c r="ER118" s="148"/>
      <c r="ES118" s="148"/>
      <c r="ET118" s="148"/>
      <c r="EU118" s="148"/>
      <c r="EV118" s="148"/>
      <c r="EW118" s="148"/>
      <c r="EX118" s="148"/>
      <c r="EY118" s="148"/>
      <c r="EZ118" s="148"/>
      <c r="FA118" s="148"/>
      <c r="FB118" s="148"/>
      <c r="FC118" s="148"/>
      <c r="FD118" s="148"/>
      <c r="FE118" s="148"/>
      <c r="FF118" s="148"/>
      <c r="FG118" s="148"/>
      <c r="FH118" s="148"/>
      <c r="FI118" s="148"/>
      <c r="FJ118" s="148"/>
      <c r="FK118" s="148"/>
      <c r="FL118" s="148"/>
      <c r="FM118" s="148"/>
      <c r="FN118" s="148"/>
      <c r="FO118" s="148"/>
      <c r="FP118" s="148"/>
      <c r="FQ118" s="148"/>
      <c r="FR118" s="148"/>
      <c r="FS118" s="148"/>
      <c r="FT118" s="148"/>
      <c r="FU118" s="148"/>
      <c r="FV118" s="148"/>
      <c r="FW118" s="148"/>
      <c r="FX118" s="148"/>
      <c r="FY118" s="148"/>
      <c r="FZ118" s="148"/>
      <c r="GA118" s="148"/>
      <c r="GB118" s="148"/>
      <c r="GC118" s="148"/>
      <c r="GD118" s="148"/>
      <c r="GE118" s="148"/>
      <c r="GF118" s="148"/>
      <c r="GG118" s="148"/>
      <c r="GH118" s="148"/>
      <c r="GI118" s="148"/>
      <c r="GJ118" s="148"/>
      <c r="GK118" s="148"/>
      <c r="GL118" s="148"/>
      <c r="GM118" s="148"/>
      <c r="GN118" s="148"/>
      <c r="GO118" s="148"/>
      <c r="GP118" s="148"/>
      <c r="GQ118" s="148"/>
      <c r="GR118" s="148"/>
      <c r="GS118" s="148"/>
      <c r="GT118" s="148"/>
      <c r="GU118" s="148"/>
      <c r="GV118" s="148"/>
      <c r="GW118" s="148"/>
      <c r="GX118" s="148"/>
      <c r="GY118" s="148"/>
      <c r="GZ118" s="148"/>
      <c r="HA118" s="148"/>
      <c r="HB118" s="148"/>
      <c r="HC118" s="148"/>
      <c r="HD118" s="148"/>
      <c r="HE118" s="148"/>
      <c r="HF118" s="148"/>
      <c r="HG118" s="148"/>
      <c r="HH118" s="148"/>
      <c r="HI118" s="148"/>
      <c r="HJ118" s="148"/>
      <c r="HK118" s="148"/>
      <c r="HL118" s="148"/>
      <c r="HM118" s="148"/>
      <c r="HN118" s="148"/>
      <c r="HO118" s="148"/>
      <c r="HP118" s="148"/>
      <c r="HQ118" s="148"/>
      <c r="HR118" s="148"/>
      <c r="HS118" s="148"/>
      <c r="HT118" s="148"/>
      <c r="HU118" s="148"/>
      <c r="HV118" s="148"/>
      <c r="HW118" s="148"/>
      <c r="HX118" s="148"/>
      <c r="HY118" s="148"/>
      <c r="HZ118" s="148"/>
      <c r="IA118" s="148"/>
      <c r="IB118" s="148"/>
      <c r="IC118" s="148"/>
      <c r="ID118" s="148"/>
      <c r="IE118" s="148"/>
      <c r="IF118" s="148"/>
      <c r="IG118" s="148"/>
      <c r="IH118" s="148"/>
      <c r="II118" s="148"/>
      <c r="IJ118" s="148"/>
      <c r="IK118" s="148"/>
      <c r="IL118" s="148"/>
      <c r="IM118" s="148"/>
      <c r="IN118" s="148"/>
      <c r="IO118" s="148"/>
      <c r="IP118" s="148"/>
      <c r="IQ118" s="148"/>
      <c r="IR118" s="148"/>
      <c r="IS118" s="148"/>
      <c r="IT118" s="148"/>
      <c r="IU118" s="148"/>
      <c r="IV118" s="148"/>
      <c r="IW118" s="148"/>
      <c r="IX118" s="148"/>
      <c r="IY118" s="148"/>
      <c r="IZ118" s="148"/>
      <c r="JA118" s="148"/>
      <c r="JB118" s="148"/>
    </row>
    <row r="119" spans="1:262" x14ac:dyDescent="0.35">
      <c r="A119" s="1423">
        <v>105</v>
      </c>
      <c r="B119" s="1557"/>
      <c r="C119" s="1558"/>
      <c r="D119" s="1174" t="s">
        <v>999</v>
      </c>
      <c r="E119" s="1560"/>
      <c r="F119" s="1560"/>
      <c r="G119" s="1562"/>
      <c r="H119" s="1563"/>
      <c r="I119" s="1590"/>
      <c r="J119" s="1560"/>
      <c r="K119" s="1560"/>
      <c r="L119" s="1560"/>
      <c r="M119" s="1574"/>
      <c r="N119" s="1560"/>
      <c r="O119" s="1560"/>
      <c r="P119" s="1576">
        <f t="shared" ref="P119:P120" si="10">SUM(I119:O119)</f>
        <v>0</v>
      </c>
      <c r="Q119" s="1567"/>
    </row>
    <row r="120" spans="1:262" s="272" customFormat="1" x14ac:dyDescent="0.35">
      <c r="A120" s="1423">
        <v>106</v>
      </c>
      <c r="B120" s="1557"/>
      <c r="C120" s="1558"/>
      <c r="D120" s="1163" t="s">
        <v>1116</v>
      </c>
      <c r="E120" s="1560"/>
      <c r="F120" s="1560"/>
      <c r="G120" s="1562"/>
      <c r="H120" s="1563"/>
      <c r="I120" s="1590"/>
      <c r="J120" s="1560"/>
      <c r="K120" s="1560"/>
      <c r="L120" s="1560"/>
      <c r="M120" s="1575">
        <f>SUM(M118:M119)</f>
        <v>0</v>
      </c>
      <c r="N120" s="1560"/>
      <c r="O120" s="1560"/>
      <c r="P120" s="1576">
        <f t="shared" si="10"/>
        <v>0</v>
      </c>
      <c r="Q120" s="1567"/>
      <c r="R120" s="148"/>
      <c r="S120" s="148"/>
      <c r="T120" s="148"/>
      <c r="U120" s="148"/>
      <c r="V120" s="148"/>
      <c r="W120" s="148"/>
      <c r="X120" s="148"/>
      <c r="Y120" s="148"/>
      <c r="Z120" s="148"/>
      <c r="AA120" s="148"/>
      <c r="AB120" s="148"/>
      <c r="AC120" s="148"/>
      <c r="AD120" s="148"/>
      <c r="AE120" s="148"/>
      <c r="AF120" s="148"/>
      <c r="AG120" s="148"/>
      <c r="AH120" s="148"/>
      <c r="AI120" s="148"/>
      <c r="AJ120" s="148"/>
      <c r="AK120" s="148"/>
      <c r="AL120" s="148"/>
      <c r="AM120" s="148"/>
      <c r="AN120" s="148"/>
      <c r="AO120" s="148"/>
      <c r="AP120" s="148"/>
      <c r="AQ120" s="148"/>
      <c r="AR120" s="148"/>
      <c r="AS120" s="148"/>
      <c r="AT120" s="148"/>
      <c r="AU120" s="148"/>
      <c r="AV120" s="148"/>
      <c r="AW120" s="148"/>
      <c r="AX120" s="148"/>
      <c r="AY120" s="148"/>
      <c r="AZ120" s="148"/>
      <c r="BA120" s="148"/>
      <c r="BB120" s="148"/>
      <c r="BC120" s="148"/>
      <c r="BD120" s="148"/>
      <c r="BE120" s="148"/>
      <c r="BF120" s="148"/>
      <c r="BG120" s="148"/>
      <c r="BH120" s="148"/>
      <c r="BI120" s="148"/>
      <c r="BJ120" s="148"/>
      <c r="BK120" s="148"/>
      <c r="BL120" s="148"/>
      <c r="BM120" s="148"/>
      <c r="BN120" s="148"/>
      <c r="BO120" s="148"/>
      <c r="BP120" s="148"/>
      <c r="BQ120" s="148"/>
      <c r="BR120" s="148"/>
      <c r="BS120" s="148"/>
      <c r="BT120" s="148"/>
      <c r="BU120" s="148"/>
      <c r="BV120" s="148"/>
      <c r="BW120" s="148"/>
      <c r="BX120" s="148"/>
      <c r="BY120" s="148"/>
      <c r="BZ120" s="148"/>
      <c r="CA120" s="148"/>
      <c r="CB120" s="148"/>
      <c r="CC120" s="148"/>
      <c r="CD120" s="148"/>
      <c r="CE120" s="148"/>
      <c r="CF120" s="148"/>
      <c r="CG120" s="148"/>
      <c r="CH120" s="148"/>
      <c r="CI120" s="148"/>
      <c r="CJ120" s="148"/>
      <c r="CK120" s="148"/>
      <c r="CL120" s="148"/>
      <c r="CM120" s="148"/>
      <c r="CN120" s="148"/>
      <c r="CO120" s="148"/>
      <c r="CP120" s="148"/>
      <c r="CQ120" s="148"/>
      <c r="CR120" s="148"/>
      <c r="CS120" s="148"/>
      <c r="CT120" s="148"/>
      <c r="CU120" s="148"/>
      <c r="CV120" s="148"/>
      <c r="CW120" s="148"/>
      <c r="CX120" s="148"/>
      <c r="CY120" s="148"/>
      <c r="CZ120" s="148"/>
      <c r="DA120" s="148"/>
      <c r="DB120" s="148"/>
      <c r="DC120" s="148"/>
      <c r="DD120" s="148"/>
      <c r="DE120" s="148"/>
      <c r="DF120" s="148"/>
      <c r="DG120" s="148"/>
      <c r="DH120" s="148"/>
      <c r="DI120" s="148"/>
      <c r="DJ120" s="148"/>
      <c r="DK120" s="148"/>
      <c r="DL120" s="148"/>
      <c r="DM120" s="148"/>
      <c r="DN120" s="148"/>
      <c r="DO120" s="148"/>
      <c r="DP120" s="148"/>
      <c r="DQ120" s="148"/>
      <c r="DR120" s="148"/>
      <c r="DS120" s="148"/>
      <c r="DT120" s="148"/>
      <c r="DU120" s="148"/>
      <c r="DV120" s="148"/>
      <c r="DW120" s="148"/>
      <c r="DX120" s="148"/>
      <c r="DY120" s="148"/>
      <c r="DZ120" s="148"/>
      <c r="EA120" s="148"/>
      <c r="EB120" s="148"/>
      <c r="EC120" s="148"/>
      <c r="ED120" s="148"/>
      <c r="EE120" s="148"/>
      <c r="EF120" s="148"/>
      <c r="EG120" s="148"/>
      <c r="EH120" s="148"/>
      <c r="EI120" s="148"/>
      <c r="EJ120" s="148"/>
      <c r="EK120" s="148"/>
      <c r="EL120" s="148"/>
      <c r="EM120" s="148"/>
      <c r="EN120" s="148"/>
      <c r="EO120" s="148"/>
      <c r="EP120" s="148"/>
      <c r="EQ120" s="148"/>
      <c r="ER120" s="148"/>
      <c r="ES120" s="148"/>
      <c r="ET120" s="148"/>
      <c r="EU120" s="148"/>
      <c r="EV120" s="148"/>
      <c r="EW120" s="148"/>
      <c r="EX120" s="148"/>
      <c r="EY120" s="148"/>
      <c r="EZ120" s="148"/>
      <c r="FA120" s="148"/>
      <c r="FB120" s="148"/>
      <c r="FC120" s="148"/>
      <c r="FD120" s="148"/>
      <c r="FE120" s="148"/>
      <c r="FF120" s="148"/>
      <c r="FG120" s="148"/>
      <c r="FH120" s="148"/>
      <c r="FI120" s="148"/>
      <c r="FJ120" s="148"/>
      <c r="FK120" s="148"/>
      <c r="FL120" s="148"/>
      <c r="FM120" s="148"/>
      <c r="FN120" s="148"/>
      <c r="FO120" s="148"/>
      <c r="FP120" s="148"/>
      <c r="FQ120" s="148"/>
      <c r="FR120" s="148"/>
      <c r="FS120" s="148"/>
      <c r="FT120" s="148"/>
      <c r="FU120" s="148"/>
      <c r="FV120" s="148"/>
      <c r="FW120" s="148"/>
      <c r="FX120" s="148"/>
      <c r="FY120" s="148"/>
      <c r="FZ120" s="148"/>
      <c r="GA120" s="148"/>
      <c r="GB120" s="148"/>
      <c r="GC120" s="148"/>
      <c r="GD120" s="148"/>
      <c r="GE120" s="148"/>
      <c r="GF120" s="148"/>
      <c r="GG120" s="148"/>
      <c r="GH120" s="148"/>
      <c r="GI120" s="148"/>
      <c r="GJ120" s="148"/>
      <c r="GK120" s="148"/>
      <c r="GL120" s="148"/>
      <c r="GM120" s="148"/>
      <c r="GN120" s="148"/>
      <c r="GO120" s="148"/>
      <c r="GP120" s="148"/>
      <c r="GQ120" s="148"/>
      <c r="GR120" s="148"/>
      <c r="GS120" s="148"/>
      <c r="GT120" s="148"/>
      <c r="GU120" s="148"/>
      <c r="GV120" s="148"/>
      <c r="GW120" s="148"/>
      <c r="GX120" s="148"/>
      <c r="GY120" s="148"/>
      <c r="GZ120" s="148"/>
      <c r="HA120" s="148"/>
      <c r="HB120" s="148"/>
      <c r="HC120" s="148"/>
      <c r="HD120" s="148"/>
      <c r="HE120" s="148"/>
      <c r="HF120" s="148"/>
      <c r="HG120" s="148"/>
      <c r="HH120" s="148"/>
      <c r="HI120" s="148"/>
      <c r="HJ120" s="148"/>
      <c r="HK120" s="148"/>
      <c r="HL120" s="148"/>
      <c r="HM120" s="148"/>
      <c r="HN120" s="148"/>
      <c r="HO120" s="148"/>
      <c r="HP120" s="148"/>
      <c r="HQ120" s="148"/>
      <c r="HR120" s="148"/>
      <c r="HS120" s="148"/>
      <c r="HT120" s="148"/>
      <c r="HU120" s="148"/>
      <c r="HV120" s="148"/>
      <c r="HW120" s="148"/>
      <c r="HX120" s="148"/>
      <c r="HY120" s="148"/>
      <c r="HZ120" s="148"/>
      <c r="IA120" s="148"/>
      <c r="IB120" s="148"/>
      <c r="IC120" s="148"/>
      <c r="ID120" s="148"/>
      <c r="IE120" s="148"/>
      <c r="IF120" s="148"/>
      <c r="IG120" s="148"/>
      <c r="IH120" s="148"/>
      <c r="II120" s="148"/>
      <c r="IJ120" s="148"/>
      <c r="IK120" s="148"/>
      <c r="IL120" s="148"/>
      <c r="IM120" s="148"/>
      <c r="IN120" s="148"/>
      <c r="IO120" s="148"/>
      <c r="IP120" s="148"/>
      <c r="IQ120" s="148"/>
      <c r="IR120" s="148"/>
      <c r="IS120" s="148"/>
      <c r="IT120" s="148"/>
      <c r="IU120" s="148"/>
      <c r="IV120" s="148"/>
      <c r="IW120" s="148"/>
      <c r="IX120" s="148"/>
      <c r="IY120" s="148"/>
      <c r="IZ120" s="148"/>
      <c r="JA120" s="148"/>
      <c r="JB120" s="148"/>
    </row>
    <row r="121" spans="1:262" s="272" customFormat="1" x14ac:dyDescent="0.35">
      <c r="A121" s="1423">
        <v>107</v>
      </c>
      <c r="B121" s="1589"/>
      <c r="C121" s="1558"/>
      <c r="D121" s="1559" t="s">
        <v>715</v>
      </c>
      <c r="E121" s="1560"/>
      <c r="F121" s="1560"/>
      <c r="G121" s="1562"/>
      <c r="H121" s="1563"/>
      <c r="I121" s="1590"/>
      <c r="J121" s="1560"/>
      <c r="K121" s="1560"/>
      <c r="L121" s="1560"/>
      <c r="M121" s="1560"/>
      <c r="N121" s="1560"/>
      <c r="O121" s="1560"/>
      <c r="P121" s="1644"/>
      <c r="Q121" s="1567"/>
      <c r="R121" s="148"/>
      <c r="S121" s="148"/>
      <c r="T121" s="148"/>
      <c r="U121" s="148"/>
      <c r="V121" s="148"/>
      <c r="W121" s="148"/>
      <c r="X121" s="148"/>
      <c r="Y121" s="148"/>
      <c r="Z121" s="148"/>
      <c r="AA121" s="148"/>
      <c r="AB121" s="148"/>
      <c r="AC121" s="148"/>
      <c r="AD121" s="148"/>
      <c r="AE121" s="148"/>
      <c r="AF121" s="148"/>
      <c r="AG121" s="148"/>
      <c r="AH121" s="148"/>
      <c r="AI121" s="148"/>
      <c r="AJ121" s="148"/>
      <c r="AK121" s="148"/>
      <c r="AL121" s="148"/>
      <c r="AM121" s="148"/>
      <c r="AN121" s="148"/>
      <c r="AO121" s="148"/>
      <c r="AP121" s="148"/>
      <c r="AQ121" s="148"/>
      <c r="AR121" s="148"/>
      <c r="AS121" s="148"/>
      <c r="AT121" s="148"/>
      <c r="AU121" s="148"/>
      <c r="AV121" s="148"/>
      <c r="AW121" s="148"/>
      <c r="AX121" s="148"/>
      <c r="AY121" s="148"/>
      <c r="AZ121" s="148"/>
      <c r="BA121" s="148"/>
      <c r="BB121" s="148"/>
      <c r="BC121" s="148"/>
      <c r="BD121" s="148"/>
      <c r="BE121" s="148"/>
      <c r="BF121" s="148"/>
      <c r="BG121" s="148"/>
      <c r="BH121" s="148"/>
      <c r="BI121" s="148"/>
      <c r="BJ121" s="148"/>
      <c r="BK121" s="148"/>
      <c r="BL121" s="148"/>
      <c r="BM121" s="148"/>
      <c r="BN121" s="148"/>
      <c r="BO121" s="148"/>
      <c r="BP121" s="148"/>
      <c r="BQ121" s="148"/>
      <c r="BR121" s="148"/>
      <c r="BS121" s="148"/>
      <c r="BT121" s="148"/>
      <c r="BU121" s="148"/>
      <c r="BV121" s="148"/>
      <c r="BW121" s="148"/>
      <c r="BX121" s="148"/>
      <c r="BY121" s="148"/>
      <c r="BZ121" s="148"/>
      <c r="CA121" s="148"/>
      <c r="CB121" s="148"/>
      <c r="CC121" s="148"/>
      <c r="CD121" s="148"/>
      <c r="CE121" s="148"/>
      <c r="CF121" s="148"/>
      <c r="CG121" s="148"/>
      <c r="CH121" s="148"/>
      <c r="CI121" s="148"/>
      <c r="CJ121" s="148"/>
      <c r="CK121" s="148"/>
      <c r="CL121" s="148"/>
      <c r="CM121" s="148"/>
      <c r="CN121" s="148"/>
      <c r="CO121" s="148"/>
      <c r="CP121" s="148"/>
      <c r="CQ121" s="148"/>
      <c r="CR121" s="148"/>
      <c r="CS121" s="148"/>
      <c r="CT121" s="148"/>
      <c r="CU121" s="148"/>
      <c r="CV121" s="148"/>
      <c r="CW121" s="148"/>
      <c r="CX121" s="148"/>
      <c r="CY121" s="148"/>
      <c r="CZ121" s="148"/>
      <c r="DA121" s="148"/>
      <c r="DB121" s="148"/>
      <c r="DC121" s="148"/>
      <c r="DD121" s="148"/>
      <c r="DE121" s="148"/>
      <c r="DF121" s="148"/>
      <c r="DG121" s="148"/>
      <c r="DH121" s="148"/>
      <c r="DI121" s="148"/>
      <c r="DJ121" s="148"/>
      <c r="DK121" s="148"/>
      <c r="DL121" s="148"/>
      <c r="DM121" s="148"/>
      <c r="DN121" s="148"/>
      <c r="DO121" s="148"/>
      <c r="DP121" s="148"/>
      <c r="DQ121" s="148"/>
      <c r="DR121" s="148"/>
      <c r="DS121" s="148"/>
      <c r="DT121" s="148"/>
      <c r="DU121" s="148"/>
      <c r="DV121" s="148"/>
      <c r="DW121" s="148"/>
      <c r="DX121" s="148"/>
      <c r="DY121" s="148"/>
      <c r="DZ121" s="148"/>
      <c r="EA121" s="148"/>
      <c r="EB121" s="148"/>
      <c r="EC121" s="148"/>
      <c r="ED121" s="148"/>
      <c r="EE121" s="148"/>
      <c r="EF121" s="148"/>
      <c r="EG121" s="148"/>
      <c r="EH121" s="148"/>
      <c r="EI121" s="148"/>
      <c r="EJ121" s="148"/>
      <c r="EK121" s="148"/>
      <c r="EL121" s="148"/>
      <c r="EM121" s="148"/>
      <c r="EN121" s="148"/>
      <c r="EO121" s="148"/>
      <c r="EP121" s="148"/>
      <c r="EQ121" s="148"/>
      <c r="ER121" s="148"/>
      <c r="ES121" s="148"/>
      <c r="ET121" s="148"/>
      <c r="EU121" s="148"/>
      <c r="EV121" s="148"/>
      <c r="EW121" s="148"/>
      <c r="EX121" s="148"/>
      <c r="EY121" s="148"/>
      <c r="EZ121" s="148"/>
      <c r="FA121" s="148"/>
      <c r="FB121" s="148"/>
      <c r="FC121" s="148"/>
      <c r="FD121" s="148"/>
      <c r="FE121" s="148"/>
      <c r="FF121" s="148"/>
      <c r="FG121" s="148"/>
      <c r="FH121" s="148"/>
      <c r="FI121" s="148"/>
      <c r="FJ121" s="148"/>
      <c r="FK121" s="148"/>
      <c r="FL121" s="148"/>
      <c r="FM121" s="148"/>
      <c r="FN121" s="148"/>
      <c r="FO121" s="148"/>
      <c r="FP121" s="148"/>
      <c r="FQ121" s="148"/>
      <c r="FR121" s="148"/>
      <c r="FS121" s="148"/>
      <c r="FT121" s="148"/>
      <c r="FU121" s="148"/>
      <c r="FV121" s="148"/>
      <c r="FW121" s="148"/>
      <c r="FX121" s="148"/>
      <c r="FY121" s="148"/>
      <c r="FZ121" s="148"/>
      <c r="GA121" s="148"/>
      <c r="GB121" s="148"/>
      <c r="GC121" s="148"/>
      <c r="GD121" s="148"/>
      <c r="GE121" s="148"/>
      <c r="GF121" s="148"/>
      <c r="GG121" s="148"/>
      <c r="GH121" s="148"/>
      <c r="GI121" s="148"/>
      <c r="GJ121" s="148"/>
      <c r="GK121" s="148"/>
      <c r="GL121" s="148"/>
      <c r="GM121" s="148"/>
      <c r="GN121" s="148"/>
      <c r="GO121" s="148"/>
      <c r="GP121" s="148"/>
      <c r="GQ121" s="148"/>
      <c r="GR121" s="148"/>
      <c r="GS121" s="148"/>
      <c r="GT121" s="148"/>
      <c r="GU121" s="148"/>
      <c r="GV121" s="148"/>
      <c r="GW121" s="148"/>
      <c r="GX121" s="148"/>
      <c r="GY121" s="148"/>
      <c r="GZ121" s="148"/>
      <c r="HA121" s="148"/>
      <c r="HB121" s="148"/>
      <c r="HC121" s="148"/>
      <c r="HD121" s="148"/>
      <c r="HE121" s="148"/>
      <c r="HF121" s="148"/>
      <c r="HG121" s="148"/>
      <c r="HH121" s="148"/>
      <c r="HI121" s="148"/>
      <c r="HJ121" s="148"/>
      <c r="HK121" s="148"/>
      <c r="HL121" s="148"/>
      <c r="HM121" s="148"/>
      <c r="HN121" s="148"/>
      <c r="HO121" s="148"/>
      <c r="HP121" s="148"/>
      <c r="HQ121" s="148"/>
      <c r="HR121" s="148"/>
      <c r="HS121" s="148"/>
      <c r="HT121" s="148"/>
      <c r="HU121" s="148"/>
      <c r="HV121" s="148"/>
      <c r="HW121" s="148"/>
      <c r="HX121" s="148"/>
      <c r="HY121" s="148"/>
      <c r="HZ121" s="148"/>
      <c r="IA121" s="148"/>
      <c r="IB121" s="148"/>
      <c r="IC121" s="148"/>
      <c r="ID121" s="148"/>
      <c r="IE121" s="148"/>
      <c r="IF121" s="148"/>
      <c r="IG121" s="148"/>
      <c r="IH121" s="148"/>
      <c r="II121" s="148"/>
      <c r="IJ121" s="148"/>
      <c r="IK121" s="148"/>
      <c r="IL121" s="148"/>
      <c r="IM121" s="148"/>
      <c r="IN121" s="148"/>
      <c r="IO121" s="148"/>
      <c r="IP121" s="148"/>
      <c r="IQ121" s="148"/>
      <c r="IR121" s="148"/>
      <c r="IS121" s="148"/>
      <c r="IT121" s="148"/>
      <c r="IU121" s="148"/>
      <c r="IV121" s="148"/>
      <c r="IW121" s="148"/>
      <c r="IX121" s="148"/>
      <c r="IY121" s="148"/>
      <c r="IZ121" s="148"/>
      <c r="JA121" s="148"/>
      <c r="JB121" s="148"/>
    </row>
    <row r="122" spans="1:262" s="272" customFormat="1" x14ac:dyDescent="0.35">
      <c r="A122" s="1423">
        <v>108</v>
      </c>
      <c r="B122" s="1557"/>
      <c r="C122" s="1558"/>
      <c r="D122" s="1585" t="s">
        <v>311</v>
      </c>
      <c r="E122" s="1560"/>
      <c r="F122" s="1561"/>
      <c r="G122" s="1562"/>
      <c r="H122" s="1563"/>
      <c r="I122" s="1580"/>
      <c r="J122" s="1574"/>
      <c r="K122" s="1574"/>
      <c r="L122" s="1574"/>
      <c r="M122" s="1572">
        <v>10000</v>
      </c>
      <c r="N122" s="1574"/>
      <c r="O122" s="1574"/>
      <c r="P122" s="1566">
        <f>SUM(I122:O122)</f>
        <v>10000</v>
      </c>
      <c r="Q122" s="1567"/>
      <c r="R122" s="148"/>
      <c r="S122" s="148"/>
      <c r="T122" s="148"/>
      <c r="U122" s="148"/>
      <c r="V122" s="148"/>
      <c r="W122" s="148"/>
      <c r="X122" s="148"/>
      <c r="Y122" s="148"/>
      <c r="Z122" s="148"/>
      <c r="AA122" s="148"/>
      <c r="AB122" s="148"/>
      <c r="AC122" s="148"/>
      <c r="AD122" s="148"/>
      <c r="AE122" s="148"/>
      <c r="AF122" s="148"/>
      <c r="AG122" s="148"/>
      <c r="AH122" s="148"/>
      <c r="AI122" s="148"/>
      <c r="AJ122" s="148"/>
      <c r="AK122" s="148"/>
      <c r="AL122" s="148"/>
      <c r="AM122" s="148"/>
      <c r="AN122" s="148"/>
      <c r="AO122" s="148"/>
      <c r="AP122" s="148"/>
      <c r="AQ122" s="148"/>
      <c r="AR122" s="148"/>
      <c r="AS122" s="148"/>
      <c r="AT122" s="148"/>
      <c r="AU122" s="148"/>
      <c r="AV122" s="148"/>
      <c r="AW122" s="148"/>
      <c r="AX122" s="148"/>
      <c r="AY122" s="148"/>
      <c r="AZ122" s="148"/>
      <c r="BA122" s="148"/>
      <c r="BB122" s="148"/>
      <c r="BC122" s="148"/>
      <c r="BD122" s="148"/>
      <c r="BE122" s="148"/>
      <c r="BF122" s="148"/>
      <c r="BG122" s="148"/>
      <c r="BH122" s="148"/>
      <c r="BI122" s="148"/>
      <c r="BJ122" s="148"/>
      <c r="BK122" s="148"/>
      <c r="BL122" s="148"/>
      <c r="BM122" s="148"/>
      <c r="BN122" s="148"/>
      <c r="BO122" s="148"/>
      <c r="BP122" s="148"/>
      <c r="BQ122" s="148"/>
      <c r="BR122" s="148"/>
      <c r="BS122" s="148"/>
      <c r="BT122" s="148"/>
      <c r="BU122" s="148"/>
      <c r="BV122" s="148"/>
      <c r="BW122" s="148"/>
      <c r="BX122" s="148"/>
      <c r="BY122" s="148"/>
      <c r="BZ122" s="148"/>
      <c r="CA122" s="148"/>
      <c r="CB122" s="148"/>
      <c r="CC122" s="148"/>
      <c r="CD122" s="148"/>
      <c r="CE122" s="148"/>
      <c r="CF122" s="148"/>
      <c r="CG122" s="148"/>
      <c r="CH122" s="148"/>
      <c r="CI122" s="148"/>
      <c r="CJ122" s="148"/>
      <c r="CK122" s="148"/>
      <c r="CL122" s="148"/>
      <c r="CM122" s="148"/>
      <c r="CN122" s="148"/>
      <c r="CO122" s="148"/>
      <c r="CP122" s="148"/>
      <c r="CQ122" s="148"/>
      <c r="CR122" s="148"/>
      <c r="CS122" s="148"/>
      <c r="CT122" s="148"/>
      <c r="CU122" s="148"/>
      <c r="CV122" s="148"/>
      <c r="CW122" s="148"/>
      <c r="CX122" s="148"/>
      <c r="CY122" s="148"/>
      <c r="CZ122" s="148"/>
      <c r="DA122" s="148"/>
      <c r="DB122" s="148"/>
      <c r="DC122" s="148"/>
      <c r="DD122" s="148"/>
      <c r="DE122" s="148"/>
      <c r="DF122" s="148"/>
      <c r="DG122" s="148"/>
      <c r="DH122" s="148"/>
      <c r="DI122" s="148"/>
      <c r="DJ122" s="148"/>
      <c r="DK122" s="148"/>
      <c r="DL122" s="148"/>
      <c r="DM122" s="148"/>
      <c r="DN122" s="148"/>
      <c r="DO122" s="148"/>
      <c r="DP122" s="148"/>
      <c r="DQ122" s="148"/>
      <c r="DR122" s="148"/>
      <c r="DS122" s="148"/>
      <c r="DT122" s="148"/>
      <c r="DU122" s="148"/>
      <c r="DV122" s="148"/>
      <c r="DW122" s="148"/>
      <c r="DX122" s="148"/>
      <c r="DY122" s="148"/>
      <c r="DZ122" s="148"/>
      <c r="EA122" s="148"/>
      <c r="EB122" s="148"/>
      <c r="EC122" s="148"/>
      <c r="ED122" s="148"/>
      <c r="EE122" s="148"/>
      <c r="EF122" s="148"/>
      <c r="EG122" s="148"/>
      <c r="EH122" s="148"/>
      <c r="EI122" s="148"/>
      <c r="EJ122" s="148"/>
      <c r="EK122" s="148"/>
      <c r="EL122" s="148"/>
      <c r="EM122" s="148"/>
      <c r="EN122" s="148"/>
      <c r="EO122" s="148"/>
      <c r="EP122" s="148"/>
      <c r="EQ122" s="148"/>
      <c r="ER122" s="148"/>
      <c r="ES122" s="148"/>
      <c r="ET122" s="148"/>
      <c r="EU122" s="148"/>
      <c r="EV122" s="148"/>
      <c r="EW122" s="148"/>
      <c r="EX122" s="148"/>
      <c r="EY122" s="148"/>
      <c r="EZ122" s="148"/>
      <c r="FA122" s="148"/>
      <c r="FB122" s="148"/>
      <c r="FC122" s="148"/>
      <c r="FD122" s="148"/>
      <c r="FE122" s="148"/>
      <c r="FF122" s="148"/>
      <c r="FG122" s="148"/>
      <c r="FH122" s="148"/>
      <c r="FI122" s="148"/>
      <c r="FJ122" s="148"/>
      <c r="FK122" s="148"/>
      <c r="FL122" s="148"/>
      <c r="FM122" s="148"/>
      <c r="FN122" s="148"/>
      <c r="FO122" s="148"/>
      <c r="FP122" s="148"/>
      <c r="FQ122" s="148"/>
      <c r="FR122" s="148"/>
      <c r="FS122" s="148"/>
      <c r="FT122" s="148"/>
      <c r="FU122" s="148"/>
      <c r="FV122" s="148"/>
      <c r="FW122" s="148"/>
      <c r="FX122" s="148"/>
      <c r="FY122" s="148"/>
      <c r="FZ122" s="148"/>
      <c r="GA122" s="148"/>
      <c r="GB122" s="148"/>
      <c r="GC122" s="148"/>
      <c r="GD122" s="148"/>
      <c r="GE122" s="148"/>
      <c r="GF122" s="148"/>
      <c r="GG122" s="148"/>
      <c r="GH122" s="148"/>
      <c r="GI122" s="148"/>
      <c r="GJ122" s="148"/>
      <c r="GK122" s="148"/>
      <c r="GL122" s="148"/>
      <c r="GM122" s="148"/>
      <c r="GN122" s="148"/>
      <c r="GO122" s="148"/>
      <c r="GP122" s="148"/>
      <c r="GQ122" s="148"/>
      <c r="GR122" s="148"/>
      <c r="GS122" s="148"/>
      <c r="GT122" s="148"/>
      <c r="GU122" s="148"/>
      <c r="GV122" s="148"/>
      <c r="GW122" s="148"/>
      <c r="GX122" s="148"/>
      <c r="GY122" s="148"/>
      <c r="GZ122" s="148"/>
      <c r="HA122" s="148"/>
      <c r="HB122" s="148"/>
      <c r="HC122" s="148"/>
      <c r="HD122" s="148"/>
      <c r="HE122" s="148"/>
      <c r="HF122" s="148"/>
      <c r="HG122" s="148"/>
      <c r="HH122" s="148"/>
      <c r="HI122" s="148"/>
      <c r="HJ122" s="148"/>
      <c r="HK122" s="148"/>
      <c r="HL122" s="148"/>
      <c r="HM122" s="148"/>
      <c r="HN122" s="148"/>
      <c r="HO122" s="148"/>
      <c r="HP122" s="148"/>
      <c r="HQ122" s="148"/>
      <c r="HR122" s="148"/>
      <c r="HS122" s="148"/>
      <c r="HT122" s="148"/>
      <c r="HU122" s="148"/>
      <c r="HV122" s="148"/>
      <c r="HW122" s="148"/>
      <c r="HX122" s="148"/>
      <c r="HY122" s="148"/>
      <c r="HZ122" s="148"/>
      <c r="IA122" s="148"/>
      <c r="IB122" s="148"/>
      <c r="IC122" s="148"/>
      <c r="ID122" s="148"/>
      <c r="IE122" s="148"/>
      <c r="IF122" s="148"/>
      <c r="IG122" s="148"/>
      <c r="IH122" s="148"/>
      <c r="II122" s="148"/>
      <c r="IJ122" s="148"/>
      <c r="IK122" s="148"/>
      <c r="IL122" s="148"/>
      <c r="IM122" s="148"/>
      <c r="IN122" s="148"/>
      <c r="IO122" s="148"/>
      <c r="IP122" s="148"/>
      <c r="IQ122" s="148"/>
      <c r="IR122" s="148"/>
      <c r="IS122" s="148"/>
      <c r="IT122" s="148"/>
      <c r="IU122" s="148"/>
      <c r="IV122" s="148"/>
      <c r="IW122" s="148"/>
      <c r="IX122" s="148"/>
      <c r="IY122" s="148"/>
      <c r="IZ122" s="148"/>
      <c r="JA122" s="148"/>
      <c r="JB122" s="148"/>
    </row>
    <row r="123" spans="1:262" s="272" customFormat="1" x14ac:dyDescent="0.35">
      <c r="A123" s="1423">
        <v>109</v>
      </c>
      <c r="B123" s="1557"/>
      <c r="C123" s="1558"/>
      <c r="D123" s="1163" t="s">
        <v>1064</v>
      </c>
      <c r="E123" s="1560"/>
      <c r="F123" s="1561"/>
      <c r="G123" s="1562"/>
      <c r="H123" s="1563"/>
      <c r="I123" s="1580"/>
      <c r="J123" s="1574"/>
      <c r="K123" s="1574"/>
      <c r="L123" s="1574"/>
      <c r="M123" s="1575">
        <v>0</v>
      </c>
      <c r="N123" s="1574"/>
      <c r="O123" s="1574"/>
      <c r="P123" s="1576">
        <f>SUM(I123:O123)</f>
        <v>0</v>
      </c>
      <c r="Q123" s="1567"/>
      <c r="R123" s="148"/>
      <c r="S123" s="148"/>
      <c r="T123" s="148"/>
      <c r="U123" s="148"/>
      <c r="V123" s="148"/>
      <c r="W123" s="148"/>
      <c r="X123" s="148"/>
      <c r="Y123" s="148"/>
      <c r="Z123" s="148"/>
      <c r="AA123" s="148"/>
      <c r="AB123" s="148"/>
      <c r="AC123" s="148"/>
      <c r="AD123" s="148"/>
      <c r="AE123" s="148"/>
      <c r="AF123" s="148"/>
      <c r="AG123" s="148"/>
      <c r="AH123" s="148"/>
      <c r="AI123" s="148"/>
      <c r="AJ123" s="148"/>
      <c r="AK123" s="148"/>
      <c r="AL123" s="148"/>
      <c r="AM123" s="148"/>
      <c r="AN123" s="148"/>
      <c r="AO123" s="148"/>
      <c r="AP123" s="148"/>
      <c r="AQ123" s="148"/>
      <c r="AR123" s="148"/>
      <c r="AS123" s="148"/>
      <c r="AT123" s="148"/>
      <c r="AU123" s="148"/>
      <c r="AV123" s="148"/>
      <c r="AW123" s="148"/>
      <c r="AX123" s="148"/>
      <c r="AY123" s="148"/>
      <c r="AZ123" s="148"/>
      <c r="BA123" s="148"/>
      <c r="BB123" s="148"/>
      <c r="BC123" s="148"/>
      <c r="BD123" s="148"/>
      <c r="BE123" s="148"/>
      <c r="BF123" s="148"/>
      <c r="BG123" s="148"/>
      <c r="BH123" s="148"/>
      <c r="BI123" s="148"/>
      <c r="BJ123" s="148"/>
      <c r="BK123" s="148"/>
      <c r="BL123" s="148"/>
      <c r="BM123" s="148"/>
      <c r="BN123" s="148"/>
      <c r="BO123" s="148"/>
      <c r="BP123" s="148"/>
      <c r="BQ123" s="148"/>
      <c r="BR123" s="148"/>
      <c r="BS123" s="148"/>
      <c r="BT123" s="148"/>
      <c r="BU123" s="148"/>
      <c r="BV123" s="148"/>
      <c r="BW123" s="148"/>
      <c r="BX123" s="148"/>
      <c r="BY123" s="148"/>
      <c r="BZ123" s="148"/>
      <c r="CA123" s="148"/>
      <c r="CB123" s="148"/>
      <c r="CC123" s="148"/>
      <c r="CD123" s="148"/>
      <c r="CE123" s="148"/>
      <c r="CF123" s="148"/>
      <c r="CG123" s="148"/>
      <c r="CH123" s="148"/>
      <c r="CI123" s="148"/>
      <c r="CJ123" s="148"/>
      <c r="CK123" s="148"/>
      <c r="CL123" s="148"/>
      <c r="CM123" s="148"/>
      <c r="CN123" s="148"/>
      <c r="CO123" s="148"/>
      <c r="CP123" s="148"/>
      <c r="CQ123" s="148"/>
      <c r="CR123" s="148"/>
      <c r="CS123" s="148"/>
      <c r="CT123" s="148"/>
      <c r="CU123" s="148"/>
      <c r="CV123" s="148"/>
      <c r="CW123" s="148"/>
      <c r="CX123" s="148"/>
      <c r="CY123" s="148"/>
      <c r="CZ123" s="148"/>
      <c r="DA123" s="148"/>
      <c r="DB123" s="148"/>
      <c r="DC123" s="148"/>
      <c r="DD123" s="148"/>
      <c r="DE123" s="148"/>
      <c r="DF123" s="148"/>
      <c r="DG123" s="148"/>
      <c r="DH123" s="148"/>
      <c r="DI123" s="148"/>
      <c r="DJ123" s="148"/>
      <c r="DK123" s="148"/>
      <c r="DL123" s="148"/>
      <c r="DM123" s="148"/>
      <c r="DN123" s="148"/>
      <c r="DO123" s="148"/>
      <c r="DP123" s="148"/>
      <c r="DQ123" s="148"/>
      <c r="DR123" s="148"/>
      <c r="DS123" s="148"/>
      <c r="DT123" s="148"/>
      <c r="DU123" s="148"/>
      <c r="DV123" s="148"/>
      <c r="DW123" s="148"/>
      <c r="DX123" s="148"/>
      <c r="DY123" s="148"/>
      <c r="DZ123" s="148"/>
      <c r="EA123" s="148"/>
      <c r="EB123" s="148"/>
      <c r="EC123" s="148"/>
      <c r="ED123" s="148"/>
      <c r="EE123" s="148"/>
      <c r="EF123" s="148"/>
      <c r="EG123" s="148"/>
      <c r="EH123" s="148"/>
      <c r="EI123" s="148"/>
      <c r="EJ123" s="148"/>
      <c r="EK123" s="148"/>
      <c r="EL123" s="148"/>
      <c r="EM123" s="148"/>
      <c r="EN123" s="148"/>
      <c r="EO123" s="148"/>
      <c r="EP123" s="148"/>
      <c r="EQ123" s="148"/>
      <c r="ER123" s="148"/>
      <c r="ES123" s="148"/>
      <c r="ET123" s="148"/>
      <c r="EU123" s="148"/>
      <c r="EV123" s="148"/>
      <c r="EW123" s="148"/>
      <c r="EX123" s="148"/>
      <c r="EY123" s="148"/>
      <c r="EZ123" s="148"/>
      <c r="FA123" s="148"/>
      <c r="FB123" s="148"/>
      <c r="FC123" s="148"/>
      <c r="FD123" s="148"/>
      <c r="FE123" s="148"/>
      <c r="FF123" s="148"/>
      <c r="FG123" s="148"/>
      <c r="FH123" s="148"/>
      <c r="FI123" s="148"/>
      <c r="FJ123" s="148"/>
      <c r="FK123" s="148"/>
      <c r="FL123" s="148"/>
      <c r="FM123" s="148"/>
      <c r="FN123" s="148"/>
      <c r="FO123" s="148"/>
      <c r="FP123" s="148"/>
      <c r="FQ123" s="148"/>
      <c r="FR123" s="148"/>
      <c r="FS123" s="148"/>
      <c r="FT123" s="148"/>
      <c r="FU123" s="148"/>
      <c r="FV123" s="148"/>
      <c r="FW123" s="148"/>
      <c r="FX123" s="148"/>
      <c r="FY123" s="148"/>
      <c r="FZ123" s="148"/>
      <c r="GA123" s="148"/>
      <c r="GB123" s="148"/>
      <c r="GC123" s="148"/>
      <c r="GD123" s="148"/>
      <c r="GE123" s="148"/>
      <c r="GF123" s="148"/>
      <c r="GG123" s="148"/>
      <c r="GH123" s="148"/>
      <c r="GI123" s="148"/>
      <c r="GJ123" s="148"/>
      <c r="GK123" s="148"/>
      <c r="GL123" s="148"/>
      <c r="GM123" s="148"/>
      <c r="GN123" s="148"/>
      <c r="GO123" s="148"/>
      <c r="GP123" s="148"/>
      <c r="GQ123" s="148"/>
      <c r="GR123" s="148"/>
      <c r="GS123" s="148"/>
      <c r="GT123" s="148"/>
      <c r="GU123" s="148"/>
      <c r="GV123" s="148"/>
      <c r="GW123" s="148"/>
      <c r="GX123" s="148"/>
      <c r="GY123" s="148"/>
      <c r="GZ123" s="148"/>
      <c r="HA123" s="148"/>
      <c r="HB123" s="148"/>
      <c r="HC123" s="148"/>
      <c r="HD123" s="148"/>
      <c r="HE123" s="148"/>
      <c r="HF123" s="148"/>
      <c r="HG123" s="148"/>
      <c r="HH123" s="148"/>
      <c r="HI123" s="148"/>
      <c r="HJ123" s="148"/>
      <c r="HK123" s="148"/>
      <c r="HL123" s="148"/>
      <c r="HM123" s="148"/>
      <c r="HN123" s="148"/>
      <c r="HO123" s="148"/>
      <c r="HP123" s="148"/>
      <c r="HQ123" s="148"/>
      <c r="HR123" s="148"/>
      <c r="HS123" s="148"/>
      <c r="HT123" s="148"/>
      <c r="HU123" s="148"/>
      <c r="HV123" s="148"/>
      <c r="HW123" s="148"/>
      <c r="HX123" s="148"/>
      <c r="HY123" s="148"/>
      <c r="HZ123" s="148"/>
      <c r="IA123" s="148"/>
      <c r="IB123" s="148"/>
      <c r="IC123" s="148"/>
      <c r="ID123" s="148"/>
      <c r="IE123" s="148"/>
      <c r="IF123" s="148"/>
      <c r="IG123" s="148"/>
      <c r="IH123" s="148"/>
      <c r="II123" s="148"/>
      <c r="IJ123" s="148"/>
      <c r="IK123" s="148"/>
      <c r="IL123" s="148"/>
      <c r="IM123" s="148"/>
      <c r="IN123" s="148"/>
      <c r="IO123" s="148"/>
      <c r="IP123" s="148"/>
      <c r="IQ123" s="148"/>
      <c r="IR123" s="148"/>
      <c r="IS123" s="148"/>
      <c r="IT123" s="148"/>
      <c r="IU123" s="148"/>
      <c r="IV123" s="148"/>
      <c r="IW123" s="148"/>
      <c r="IX123" s="148"/>
      <c r="IY123" s="148"/>
      <c r="IZ123" s="148"/>
      <c r="JA123" s="148"/>
      <c r="JB123" s="148"/>
    </row>
    <row r="124" spans="1:262" x14ac:dyDescent="0.35">
      <c r="A124" s="1423">
        <v>110</v>
      </c>
      <c r="B124" s="1557"/>
      <c r="C124" s="1558"/>
      <c r="D124" s="1174" t="s">
        <v>999</v>
      </c>
      <c r="E124" s="1560"/>
      <c r="F124" s="1561"/>
      <c r="G124" s="1562"/>
      <c r="H124" s="1563"/>
      <c r="I124" s="1580"/>
      <c r="J124" s="1574"/>
      <c r="K124" s="1574"/>
      <c r="L124" s="1574"/>
      <c r="M124" s="1574"/>
      <c r="N124" s="1574"/>
      <c r="O124" s="1574"/>
      <c r="P124" s="1576">
        <f t="shared" ref="P124:P125" si="11">SUM(I124:O124)</f>
        <v>0</v>
      </c>
      <c r="Q124" s="1567"/>
    </row>
    <row r="125" spans="1:262" x14ac:dyDescent="0.35">
      <c r="A125" s="1423">
        <v>111</v>
      </c>
      <c r="B125" s="1557"/>
      <c r="C125" s="1558"/>
      <c r="D125" s="1163" t="s">
        <v>1116</v>
      </c>
      <c r="E125" s="1560"/>
      <c r="F125" s="1561"/>
      <c r="G125" s="1562"/>
      <c r="H125" s="1563"/>
      <c r="I125" s="1580"/>
      <c r="J125" s="1574"/>
      <c r="K125" s="1574"/>
      <c r="L125" s="1574"/>
      <c r="M125" s="1575">
        <f>SUM(M123:M124)</f>
        <v>0</v>
      </c>
      <c r="N125" s="1574"/>
      <c r="O125" s="1574"/>
      <c r="P125" s="1576">
        <f t="shared" si="11"/>
        <v>0</v>
      </c>
      <c r="Q125" s="1567"/>
    </row>
    <row r="126" spans="1:262" x14ac:dyDescent="0.35">
      <c r="A126" s="1423">
        <v>112</v>
      </c>
      <c r="B126" s="1589"/>
      <c r="C126" s="1558"/>
      <c r="D126" s="1717" t="s">
        <v>955</v>
      </c>
      <c r="E126" s="1560"/>
      <c r="F126" s="1561"/>
      <c r="G126" s="1562"/>
      <c r="H126" s="1563"/>
      <c r="I126" s="1580"/>
      <c r="J126" s="1574"/>
      <c r="K126" s="1574"/>
      <c r="L126" s="1574"/>
      <c r="M126" s="1565"/>
      <c r="N126" s="1574"/>
      <c r="O126" s="1574"/>
      <c r="P126" s="1576"/>
      <c r="Q126" s="1567"/>
    </row>
    <row r="127" spans="1:262" x14ac:dyDescent="0.35">
      <c r="A127" s="1423">
        <v>113</v>
      </c>
      <c r="B127" s="1557"/>
      <c r="C127" s="1582"/>
      <c r="D127" s="1585" t="s">
        <v>311</v>
      </c>
      <c r="E127" s="1560"/>
      <c r="F127" s="1561"/>
      <c r="G127" s="1562"/>
      <c r="H127" s="1563"/>
      <c r="I127" s="1580"/>
      <c r="J127" s="1574"/>
      <c r="K127" s="1574"/>
      <c r="L127" s="1574"/>
      <c r="M127" s="1572">
        <v>8200</v>
      </c>
      <c r="N127" s="1574"/>
      <c r="O127" s="1574"/>
      <c r="P127" s="1566">
        <f>SUM(I127:O127)</f>
        <v>8200</v>
      </c>
      <c r="Q127" s="1567"/>
    </row>
    <row r="128" spans="1:262" x14ac:dyDescent="0.35">
      <c r="A128" s="1423">
        <v>114</v>
      </c>
      <c r="B128" s="1557"/>
      <c r="C128" s="1582"/>
      <c r="D128" s="1163" t="s">
        <v>1064</v>
      </c>
      <c r="E128" s="1560"/>
      <c r="F128" s="1561"/>
      <c r="G128" s="1562"/>
      <c r="H128" s="1563"/>
      <c r="I128" s="1580"/>
      <c r="J128" s="1574"/>
      <c r="K128" s="1574"/>
      <c r="L128" s="1574"/>
      <c r="M128" s="1575">
        <v>0</v>
      </c>
      <c r="N128" s="1575"/>
      <c r="O128" s="1575"/>
      <c r="P128" s="1576">
        <f>SUM(I128:O128)</f>
        <v>0</v>
      </c>
      <c r="Q128" s="1567"/>
    </row>
    <row r="129" spans="1:262" s="272" customFormat="1" x14ac:dyDescent="0.35">
      <c r="A129" s="1423">
        <v>115</v>
      </c>
      <c r="B129" s="1557"/>
      <c r="C129" s="1582"/>
      <c r="D129" s="1174" t="s">
        <v>999</v>
      </c>
      <c r="E129" s="1560"/>
      <c r="F129" s="1561"/>
      <c r="G129" s="1562"/>
      <c r="H129" s="1563"/>
      <c r="I129" s="1580"/>
      <c r="J129" s="1574"/>
      <c r="K129" s="1574"/>
      <c r="L129" s="1574"/>
      <c r="M129" s="1574"/>
      <c r="N129" s="1574"/>
      <c r="O129" s="1574"/>
      <c r="P129" s="1576">
        <f t="shared" ref="P129:P130" si="12">SUM(I129:O129)</f>
        <v>0</v>
      </c>
      <c r="Q129" s="1567"/>
      <c r="R129" s="148"/>
      <c r="S129" s="148"/>
      <c r="T129" s="148"/>
      <c r="U129" s="148"/>
      <c r="V129" s="148"/>
      <c r="W129" s="148"/>
      <c r="X129" s="148"/>
      <c r="Y129" s="148"/>
      <c r="Z129" s="148"/>
      <c r="AA129" s="148"/>
      <c r="AB129" s="148"/>
      <c r="AC129" s="148"/>
      <c r="AD129" s="148"/>
      <c r="AE129" s="148"/>
      <c r="AF129" s="148"/>
      <c r="AG129" s="148"/>
      <c r="AH129" s="148"/>
      <c r="AI129" s="148"/>
      <c r="AJ129" s="148"/>
      <c r="AK129" s="148"/>
      <c r="AL129" s="148"/>
      <c r="AM129" s="148"/>
      <c r="AN129" s="148"/>
      <c r="AO129" s="148"/>
      <c r="AP129" s="148"/>
      <c r="AQ129" s="148"/>
      <c r="AR129" s="148"/>
      <c r="AS129" s="148"/>
      <c r="AT129" s="148"/>
      <c r="AU129" s="148"/>
      <c r="AV129" s="148"/>
      <c r="AW129" s="148"/>
      <c r="AX129" s="148"/>
      <c r="AY129" s="148"/>
      <c r="AZ129" s="148"/>
      <c r="BA129" s="148"/>
      <c r="BB129" s="148"/>
      <c r="BC129" s="148"/>
      <c r="BD129" s="148"/>
      <c r="BE129" s="148"/>
      <c r="BF129" s="148"/>
      <c r="BG129" s="148"/>
      <c r="BH129" s="148"/>
      <c r="BI129" s="148"/>
      <c r="BJ129" s="148"/>
      <c r="BK129" s="148"/>
      <c r="BL129" s="148"/>
      <c r="BM129" s="148"/>
      <c r="BN129" s="148"/>
      <c r="BO129" s="148"/>
      <c r="BP129" s="148"/>
      <c r="BQ129" s="148"/>
      <c r="BR129" s="148"/>
      <c r="BS129" s="148"/>
      <c r="BT129" s="148"/>
      <c r="BU129" s="148"/>
      <c r="BV129" s="148"/>
      <c r="BW129" s="148"/>
      <c r="BX129" s="148"/>
      <c r="BY129" s="148"/>
      <c r="BZ129" s="148"/>
      <c r="CA129" s="148"/>
      <c r="CB129" s="148"/>
      <c r="CC129" s="148"/>
      <c r="CD129" s="148"/>
      <c r="CE129" s="148"/>
      <c r="CF129" s="148"/>
      <c r="CG129" s="148"/>
      <c r="CH129" s="148"/>
      <c r="CI129" s="148"/>
      <c r="CJ129" s="148"/>
      <c r="CK129" s="148"/>
      <c r="CL129" s="148"/>
      <c r="CM129" s="148"/>
      <c r="CN129" s="148"/>
      <c r="CO129" s="148"/>
      <c r="CP129" s="148"/>
      <c r="CQ129" s="148"/>
      <c r="CR129" s="148"/>
      <c r="CS129" s="148"/>
      <c r="CT129" s="148"/>
      <c r="CU129" s="148"/>
      <c r="CV129" s="148"/>
      <c r="CW129" s="148"/>
      <c r="CX129" s="148"/>
      <c r="CY129" s="148"/>
      <c r="CZ129" s="148"/>
      <c r="DA129" s="148"/>
      <c r="DB129" s="148"/>
      <c r="DC129" s="148"/>
      <c r="DD129" s="148"/>
      <c r="DE129" s="148"/>
      <c r="DF129" s="148"/>
      <c r="DG129" s="148"/>
      <c r="DH129" s="148"/>
      <c r="DI129" s="148"/>
      <c r="DJ129" s="148"/>
      <c r="DK129" s="148"/>
      <c r="DL129" s="148"/>
      <c r="DM129" s="148"/>
      <c r="DN129" s="148"/>
      <c r="DO129" s="148"/>
      <c r="DP129" s="148"/>
      <c r="DQ129" s="148"/>
      <c r="DR129" s="148"/>
      <c r="DS129" s="148"/>
      <c r="DT129" s="148"/>
      <c r="DU129" s="148"/>
      <c r="DV129" s="148"/>
      <c r="DW129" s="148"/>
      <c r="DX129" s="148"/>
      <c r="DY129" s="148"/>
      <c r="DZ129" s="148"/>
      <c r="EA129" s="148"/>
      <c r="EB129" s="148"/>
      <c r="EC129" s="148"/>
      <c r="ED129" s="148"/>
      <c r="EE129" s="148"/>
      <c r="EF129" s="148"/>
      <c r="EG129" s="148"/>
      <c r="EH129" s="148"/>
      <c r="EI129" s="148"/>
      <c r="EJ129" s="148"/>
      <c r="EK129" s="148"/>
      <c r="EL129" s="148"/>
      <c r="EM129" s="148"/>
      <c r="EN129" s="148"/>
      <c r="EO129" s="148"/>
      <c r="EP129" s="148"/>
      <c r="EQ129" s="148"/>
      <c r="ER129" s="148"/>
      <c r="ES129" s="148"/>
      <c r="ET129" s="148"/>
      <c r="EU129" s="148"/>
      <c r="EV129" s="148"/>
      <c r="EW129" s="148"/>
      <c r="EX129" s="148"/>
      <c r="EY129" s="148"/>
      <c r="EZ129" s="148"/>
      <c r="FA129" s="148"/>
      <c r="FB129" s="148"/>
      <c r="FC129" s="148"/>
      <c r="FD129" s="148"/>
      <c r="FE129" s="148"/>
      <c r="FF129" s="148"/>
      <c r="FG129" s="148"/>
      <c r="FH129" s="148"/>
      <c r="FI129" s="148"/>
      <c r="FJ129" s="148"/>
      <c r="FK129" s="148"/>
      <c r="FL129" s="148"/>
      <c r="FM129" s="148"/>
      <c r="FN129" s="148"/>
      <c r="FO129" s="148"/>
      <c r="FP129" s="148"/>
      <c r="FQ129" s="148"/>
      <c r="FR129" s="148"/>
      <c r="FS129" s="148"/>
      <c r="FT129" s="148"/>
      <c r="FU129" s="148"/>
      <c r="FV129" s="148"/>
      <c r="FW129" s="148"/>
      <c r="FX129" s="148"/>
      <c r="FY129" s="148"/>
      <c r="FZ129" s="148"/>
      <c r="GA129" s="148"/>
      <c r="GB129" s="148"/>
      <c r="GC129" s="148"/>
      <c r="GD129" s="148"/>
      <c r="GE129" s="148"/>
      <c r="GF129" s="148"/>
      <c r="GG129" s="148"/>
      <c r="GH129" s="148"/>
      <c r="GI129" s="148"/>
      <c r="GJ129" s="148"/>
      <c r="GK129" s="148"/>
      <c r="GL129" s="148"/>
      <c r="GM129" s="148"/>
      <c r="GN129" s="148"/>
      <c r="GO129" s="148"/>
      <c r="GP129" s="148"/>
      <c r="GQ129" s="148"/>
      <c r="GR129" s="148"/>
      <c r="GS129" s="148"/>
      <c r="GT129" s="148"/>
      <c r="GU129" s="148"/>
      <c r="GV129" s="148"/>
      <c r="GW129" s="148"/>
      <c r="GX129" s="148"/>
      <c r="GY129" s="148"/>
      <c r="GZ129" s="148"/>
      <c r="HA129" s="148"/>
      <c r="HB129" s="148"/>
      <c r="HC129" s="148"/>
      <c r="HD129" s="148"/>
      <c r="HE129" s="148"/>
      <c r="HF129" s="148"/>
      <c r="HG129" s="148"/>
      <c r="HH129" s="148"/>
      <c r="HI129" s="148"/>
      <c r="HJ129" s="148"/>
      <c r="HK129" s="148"/>
      <c r="HL129" s="148"/>
      <c r="HM129" s="148"/>
      <c r="HN129" s="148"/>
      <c r="HO129" s="148"/>
      <c r="HP129" s="148"/>
      <c r="HQ129" s="148"/>
      <c r="HR129" s="148"/>
      <c r="HS129" s="148"/>
      <c r="HT129" s="148"/>
      <c r="HU129" s="148"/>
      <c r="HV129" s="148"/>
      <c r="HW129" s="148"/>
      <c r="HX129" s="148"/>
      <c r="HY129" s="148"/>
      <c r="HZ129" s="148"/>
      <c r="IA129" s="148"/>
      <c r="IB129" s="148"/>
      <c r="IC129" s="148"/>
      <c r="ID129" s="148"/>
      <c r="IE129" s="148"/>
      <c r="IF129" s="148"/>
      <c r="IG129" s="148"/>
      <c r="IH129" s="148"/>
      <c r="II129" s="148"/>
      <c r="IJ129" s="148"/>
      <c r="IK129" s="148"/>
      <c r="IL129" s="148"/>
      <c r="IM129" s="148"/>
      <c r="IN129" s="148"/>
      <c r="IO129" s="148"/>
      <c r="IP129" s="148"/>
      <c r="IQ129" s="148"/>
      <c r="IR129" s="148"/>
      <c r="IS129" s="148"/>
      <c r="IT129" s="148"/>
      <c r="IU129" s="148"/>
      <c r="IV129" s="148"/>
      <c r="IW129" s="148"/>
      <c r="IX129" s="148"/>
      <c r="IY129" s="148"/>
      <c r="IZ129" s="148"/>
      <c r="JA129" s="148"/>
      <c r="JB129" s="148"/>
    </row>
    <row r="130" spans="1:262" x14ac:dyDescent="0.35">
      <c r="A130" s="1423">
        <v>116</v>
      </c>
      <c r="B130" s="1557"/>
      <c r="C130" s="1582"/>
      <c r="D130" s="1163" t="s">
        <v>1116</v>
      </c>
      <c r="E130" s="1560"/>
      <c r="F130" s="1561"/>
      <c r="G130" s="1562"/>
      <c r="H130" s="1563"/>
      <c r="I130" s="1580"/>
      <c r="J130" s="1574"/>
      <c r="K130" s="1574"/>
      <c r="L130" s="1574"/>
      <c r="M130" s="1574">
        <f>SUM(M128:M129)</f>
        <v>0</v>
      </c>
      <c r="N130" s="1574"/>
      <c r="O130" s="1574"/>
      <c r="P130" s="1576">
        <f t="shared" si="12"/>
        <v>0</v>
      </c>
      <c r="Q130" s="1567"/>
    </row>
    <row r="131" spans="1:262" x14ac:dyDescent="0.35">
      <c r="A131" s="1423">
        <v>117</v>
      </c>
      <c r="B131" s="1589"/>
      <c r="C131" s="1558"/>
      <c r="D131" s="1646" t="s">
        <v>956</v>
      </c>
      <c r="E131" s="1560"/>
      <c r="F131" s="1561"/>
      <c r="G131" s="1562"/>
      <c r="H131" s="1563"/>
      <c r="I131" s="1580"/>
      <c r="J131" s="1574"/>
      <c r="K131" s="1574"/>
      <c r="L131" s="1574"/>
      <c r="M131" s="1565"/>
      <c r="N131" s="1574"/>
      <c r="O131" s="1574"/>
      <c r="P131" s="1576"/>
      <c r="Q131" s="1567"/>
    </row>
    <row r="132" spans="1:262" x14ac:dyDescent="0.35">
      <c r="A132" s="1423">
        <v>118</v>
      </c>
      <c r="B132" s="1589"/>
      <c r="C132" s="1558"/>
      <c r="D132" s="1585" t="s">
        <v>311</v>
      </c>
      <c r="E132" s="1560"/>
      <c r="F132" s="1561"/>
      <c r="G132" s="1562"/>
      <c r="H132" s="1563"/>
      <c r="I132" s="1580"/>
      <c r="J132" s="1574"/>
      <c r="K132" s="1574"/>
      <c r="L132" s="1574"/>
      <c r="M132" s="1572">
        <v>10000</v>
      </c>
      <c r="N132" s="1574"/>
      <c r="O132" s="1574"/>
      <c r="P132" s="1566">
        <f>SUM(I132:O132)</f>
        <v>10000</v>
      </c>
      <c r="Q132" s="1567"/>
    </row>
    <row r="133" spans="1:262" x14ac:dyDescent="0.35">
      <c r="A133" s="1423">
        <v>119</v>
      </c>
      <c r="B133" s="1589"/>
      <c r="C133" s="1558"/>
      <c r="D133" s="1163" t="s">
        <v>1064</v>
      </c>
      <c r="E133" s="1560"/>
      <c r="F133" s="1561"/>
      <c r="G133" s="1562"/>
      <c r="H133" s="1563"/>
      <c r="I133" s="1580"/>
      <c r="J133" s="1574"/>
      <c r="K133" s="1574"/>
      <c r="L133" s="1574"/>
      <c r="M133" s="1575">
        <v>0</v>
      </c>
      <c r="N133" s="1575"/>
      <c r="O133" s="1575"/>
      <c r="P133" s="1576">
        <f>SUM(I133:O133)</f>
        <v>0</v>
      </c>
      <c r="Q133" s="1567"/>
    </row>
    <row r="134" spans="1:262" s="272" customFormat="1" x14ac:dyDescent="0.35">
      <c r="A134" s="1423">
        <v>120</v>
      </c>
      <c r="B134" s="1589"/>
      <c r="C134" s="1558"/>
      <c r="D134" s="1174" t="s">
        <v>999</v>
      </c>
      <c r="E134" s="1560"/>
      <c r="F134" s="1561"/>
      <c r="G134" s="1562"/>
      <c r="H134" s="1563"/>
      <c r="I134" s="1580"/>
      <c r="J134" s="1574"/>
      <c r="K134" s="1574"/>
      <c r="L134" s="1574"/>
      <c r="M134" s="1574"/>
      <c r="N134" s="1574"/>
      <c r="O134" s="1574"/>
      <c r="P134" s="1576">
        <f t="shared" ref="P134:P135" si="13">SUM(I134:O134)</f>
        <v>0</v>
      </c>
      <c r="Q134" s="1567"/>
      <c r="R134" s="148"/>
      <c r="S134" s="148"/>
      <c r="T134" s="148"/>
      <c r="U134" s="148"/>
      <c r="V134" s="148"/>
      <c r="W134" s="148"/>
      <c r="X134" s="148"/>
      <c r="Y134" s="148"/>
      <c r="Z134" s="148"/>
      <c r="AA134" s="148"/>
      <c r="AB134" s="148"/>
      <c r="AC134" s="148"/>
      <c r="AD134" s="148"/>
      <c r="AE134" s="148"/>
      <c r="AF134" s="148"/>
      <c r="AG134" s="148"/>
      <c r="AH134" s="148"/>
      <c r="AI134" s="148"/>
      <c r="AJ134" s="148"/>
      <c r="AK134" s="148"/>
      <c r="AL134" s="148"/>
      <c r="AM134" s="148"/>
      <c r="AN134" s="148"/>
      <c r="AO134" s="148"/>
      <c r="AP134" s="148"/>
      <c r="AQ134" s="148"/>
      <c r="AR134" s="148"/>
      <c r="AS134" s="148"/>
      <c r="AT134" s="148"/>
      <c r="AU134" s="148"/>
      <c r="AV134" s="148"/>
      <c r="AW134" s="148"/>
      <c r="AX134" s="148"/>
      <c r="AY134" s="148"/>
      <c r="AZ134" s="148"/>
      <c r="BA134" s="148"/>
      <c r="BB134" s="148"/>
      <c r="BC134" s="148"/>
      <c r="BD134" s="148"/>
      <c r="BE134" s="148"/>
      <c r="BF134" s="148"/>
      <c r="BG134" s="148"/>
      <c r="BH134" s="148"/>
      <c r="BI134" s="148"/>
      <c r="BJ134" s="148"/>
      <c r="BK134" s="148"/>
      <c r="BL134" s="148"/>
      <c r="BM134" s="148"/>
      <c r="BN134" s="148"/>
      <c r="BO134" s="148"/>
      <c r="BP134" s="148"/>
      <c r="BQ134" s="148"/>
      <c r="BR134" s="148"/>
      <c r="BS134" s="148"/>
      <c r="BT134" s="148"/>
      <c r="BU134" s="148"/>
      <c r="BV134" s="148"/>
      <c r="BW134" s="148"/>
      <c r="BX134" s="148"/>
      <c r="BY134" s="148"/>
      <c r="BZ134" s="148"/>
      <c r="CA134" s="148"/>
      <c r="CB134" s="148"/>
      <c r="CC134" s="148"/>
      <c r="CD134" s="148"/>
      <c r="CE134" s="148"/>
      <c r="CF134" s="148"/>
      <c r="CG134" s="148"/>
      <c r="CH134" s="148"/>
      <c r="CI134" s="148"/>
      <c r="CJ134" s="148"/>
      <c r="CK134" s="148"/>
      <c r="CL134" s="148"/>
      <c r="CM134" s="148"/>
      <c r="CN134" s="148"/>
      <c r="CO134" s="148"/>
      <c r="CP134" s="148"/>
      <c r="CQ134" s="148"/>
      <c r="CR134" s="148"/>
      <c r="CS134" s="148"/>
      <c r="CT134" s="148"/>
      <c r="CU134" s="148"/>
      <c r="CV134" s="148"/>
      <c r="CW134" s="148"/>
      <c r="CX134" s="148"/>
      <c r="CY134" s="148"/>
      <c r="CZ134" s="148"/>
      <c r="DA134" s="148"/>
      <c r="DB134" s="148"/>
      <c r="DC134" s="148"/>
      <c r="DD134" s="148"/>
      <c r="DE134" s="148"/>
      <c r="DF134" s="148"/>
      <c r="DG134" s="148"/>
      <c r="DH134" s="148"/>
      <c r="DI134" s="148"/>
      <c r="DJ134" s="148"/>
      <c r="DK134" s="148"/>
      <c r="DL134" s="148"/>
      <c r="DM134" s="148"/>
      <c r="DN134" s="148"/>
      <c r="DO134" s="148"/>
      <c r="DP134" s="148"/>
      <c r="DQ134" s="148"/>
      <c r="DR134" s="148"/>
      <c r="DS134" s="148"/>
      <c r="DT134" s="148"/>
      <c r="DU134" s="148"/>
      <c r="DV134" s="148"/>
      <c r="DW134" s="148"/>
      <c r="DX134" s="148"/>
      <c r="DY134" s="148"/>
      <c r="DZ134" s="148"/>
      <c r="EA134" s="148"/>
      <c r="EB134" s="148"/>
      <c r="EC134" s="148"/>
      <c r="ED134" s="148"/>
      <c r="EE134" s="148"/>
      <c r="EF134" s="148"/>
      <c r="EG134" s="148"/>
      <c r="EH134" s="148"/>
      <c r="EI134" s="148"/>
      <c r="EJ134" s="148"/>
      <c r="EK134" s="148"/>
      <c r="EL134" s="148"/>
      <c r="EM134" s="148"/>
      <c r="EN134" s="148"/>
      <c r="EO134" s="148"/>
      <c r="EP134" s="148"/>
      <c r="EQ134" s="148"/>
      <c r="ER134" s="148"/>
      <c r="ES134" s="148"/>
      <c r="ET134" s="148"/>
      <c r="EU134" s="148"/>
      <c r="EV134" s="148"/>
      <c r="EW134" s="148"/>
      <c r="EX134" s="148"/>
      <c r="EY134" s="148"/>
      <c r="EZ134" s="148"/>
      <c r="FA134" s="148"/>
      <c r="FB134" s="148"/>
      <c r="FC134" s="148"/>
      <c r="FD134" s="148"/>
      <c r="FE134" s="148"/>
      <c r="FF134" s="148"/>
      <c r="FG134" s="148"/>
      <c r="FH134" s="148"/>
      <c r="FI134" s="148"/>
      <c r="FJ134" s="148"/>
      <c r="FK134" s="148"/>
      <c r="FL134" s="148"/>
      <c r="FM134" s="148"/>
      <c r="FN134" s="148"/>
      <c r="FO134" s="148"/>
      <c r="FP134" s="148"/>
      <c r="FQ134" s="148"/>
      <c r="FR134" s="148"/>
      <c r="FS134" s="148"/>
      <c r="FT134" s="148"/>
      <c r="FU134" s="148"/>
      <c r="FV134" s="148"/>
      <c r="FW134" s="148"/>
      <c r="FX134" s="148"/>
      <c r="FY134" s="148"/>
      <c r="FZ134" s="148"/>
      <c r="GA134" s="148"/>
      <c r="GB134" s="148"/>
      <c r="GC134" s="148"/>
      <c r="GD134" s="148"/>
      <c r="GE134" s="148"/>
      <c r="GF134" s="148"/>
      <c r="GG134" s="148"/>
      <c r="GH134" s="148"/>
      <c r="GI134" s="148"/>
      <c r="GJ134" s="148"/>
      <c r="GK134" s="148"/>
      <c r="GL134" s="148"/>
      <c r="GM134" s="148"/>
      <c r="GN134" s="148"/>
      <c r="GO134" s="148"/>
      <c r="GP134" s="148"/>
      <c r="GQ134" s="148"/>
      <c r="GR134" s="148"/>
      <c r="GS134" s="148"/>
      <c r="GT134" s="148"/>
      <c r="GU134" s="148"/>
      <c r="GV134" s="148"/>
      <c r="GW134" s="148"/>
      <c r="GX134" s="148"/>
      <c r="GY134" s="148"/>
      <c r="GZ134" s="148"/>
      <c r="HA134" s="148"/>
      <c r="HB134" s="148"/>
      <c r="HC134" s="148"/>
      <c r="HD134" s="148"/>
      <c r="HE134" s="148"/>
      <c r="HF134" s="148"/>
      <c r="HG134" s="148"/>
      <c r="HH134" s="148"/>
      <c r="HI134" s="148"/>
      <c r="HJ134" s="148"/>
      <c r="HK134" s="148"/>
      <c r="HL134" s="148"/>
      <c r="HM134" s="148"/>
      <c r="HN134" s="148"/>
      <c r="HO134" s="148"/>
      <c r="HP134" s="148"/>
      <c r="HQ134" s="148"/>
      <c r="HR134" s="148"/>
      <c r="HS134" s="148"/>
      <c r="HT134" s="148"/>
      <c r="HU134" s="148"/>
      <c r="HV134" s="148"/>
      <c r="HW134" s="148"/>
      <c r="HX134" s="148"/>
      <c r="HY134" s="148"/>
      <c r="HZ134" s="148"/>
      <c r="IA134" s="148"/>
      <c r="IB134" s="148"/>
      <c r="IC134" s="148"/>
      <c r="ID134" s="148"/>
      <c r="IE134" s="148"/>
      <c r="IF134" s="148"/>
      <c r="IG134" s="148"/>
      <c r="IH134" s="148"/>
      <c r="II134" s="148"/>
      <c r="IJ134" s="148"/>
      <c r="IK134" s="148"/>
      <c r="IL134" s="148"/>
      <c r="IM134" s="148"/>
      <c r="IN134" s="148"/>
      <c r="IO134" s="148"/>
      <c r="IP134" s="148"/>
      <c r="IQ134" s="148"/>
      <c r="IR134" s="148"/>
      <c r="IS134" s="148"/>
      <c r="IT134" s="148"/>
      <c r="IU134" s="148"/>
      <c r="IV134" s="148"/>
      <c r="IW134" s="148"/>
      <c r="IX134" s="148"/>
      <c r="IY134" s="148"/>
      <c r="IZ134" s="148"/>
      <c r="JA134" s="148"/>
      <c r="JB134" s="148"/>
    </row>
    <row r="135" spans="1:262" x14ac:dyDescent="0.35">
      <c r="A135" s="1423">
        <v>121</v>
      </c>
      <c r="B135" s="1589"/>
      <c r="C135" s="1558"/>
      <c r="D135" s="1163" t="s">
        <v>1116</v>
      </c>
      <c r="E135" s="1560"/>
      <c r="F135" s="1561"/>
      <c r="G135" s="1562"/>
      <c r="H135" s="1563"/>
      <c r="I135" s="1580"/>
      <c r="J135" s="1574"/>
      <c r="K135" s="1574"/>
      <c r="L135" s="1574"/>
      <c r="M135" s="1574">
        <f>SUM(M133:M134)</f>
        <v>0</v>
      </c>
      <c r="N135" s="1574"/>
      <c r="O135" s="1574"/>
      <c r="P135" s="1576">
        <f t="shared" si="13"/>
        <v>0</v>
      </c>
      <c r="Q135" s="1567"/>
    </row>
    <row r="136" spans="1:262" x14ac:dyDescent="0.35">
      <c r="A136" s="1423">
        <v>122</v>
      </c>
      <c r="B136" s="1557"/>
      <c r="C136" s="1558"/>
      <c r="D136" s="1718" t="s">
        <v>716</v>
      </c>
      <c r="E136" s="1560"/>
      <c r="F136" s="1561"/>
      <c r="G136" s="1562"/>
      <c r="H136" s="1563"/>
      <c r="I136" s="1580"/>
      <c r="J136" s="1574"/>
      <c r="K136" s="1574"/>
      <c r="L136" s="1574"/>
      <c r="M136" s="1565"/>
      <c r="N136" s="1574"/>
      <c r="O136" s="1574"/>
      <c r="P136" s="1576"/>
      <c r="Q136" s="1567"/>
    </row>
    <row r="137" spans="1:262" x14ac:dyDescent="0.35">
      <c r="A137" s="1423">
        <v>123</v>
      </c>
      <c r="B137" s="1589"/>
      <c r="C137" s="1558"/>
      <c r="D137" s="1585" t="s">
        <v>311</v>
      </c>
      <c r="E137" s="1560"/>
      <c r="F137" s="1561"/>
      <c r="G137" s="1562"/>
      <c r="H137" s="1563"/>
      <c r="I137" s="1580"/>
      <c r="J137" s="1574"/>
      <c r="K137" s="1574"/>
      <c r="L137" s="1574"/>
      <c r="M137" s="1572">
        <v>10000</v>
      </c>
      <c r="N137" s="1574"/>
      <c r="O137" s="1574"/>
      <c r="P137" s="1566">
        <f>SUM(I137:O137)</f>
        <v>10000</v>
      </c>
      <c r="Q137" s="1567"/>
    </row>
    <row r="138" spans="1:262" x14ac:dyDescent="0.35">
      <c r="A138" s="1423">
        <v>124</v>
      </c>
      <c r="B138" s="1589"/>
      <c r="C138" s="1558"/>
      <c r="D138" s="1163" t="s">
        <v>1064</v>
      </c>
      <c r="E138" s="1560"/>
      <c r="F138" s="1561"/>
      <c r="G138" s="1562"/>
      <c r="H138" s="1563"/>
      <c r="I138" s="1580"/>
      <c r="J138" s="1574"/>
      <c r="K138" s="1574"/>
      <c r="L138" s="1574"/>
      <c r="M138" s="1575">
        <v>0</v>
      </c>
      <c r="N138" s="1575"/>
      <c r="O138" s="1575"/>
      <c r="P138" s="1576">
        <f>SUM(I138:O138)</f>
        <v>0</v>
      </c>
      <c r="Q138" s="1567"/>
    </row>
    <row r="139" spans="1:262" s="272" customFormat="1" x14ac:dyDescent="0.35">
      <c r="A139" s="1423">
        <v>125</v>
      </c>
      <c r="B139" s="1589"/>
      <c r="C139" s="1558"/>
      <c r="D139" s="1174" t="s">
        <v>999</v>
      </c>
      <c r="E139" s="1560"/>
      <c r="F139" s="1561"/>
      <c r="G139" s="1562"/>
      <c r="H139" s="1563"/>
      <c r="I139" s="1580"/>
      <c r="J139" s="1574"/>
      <c r="K139" s="1574"/>
      <c r="L139" s="1574"/>
      <c r="M139" s="1574"/>
      <c r="N139" s="1574"/>
      <c r="O139" s="1574"/>
      <c r="P139" s="1576">
        <f t="shared" ref="P139:P140" si="14">SUM(I139:O139)</f>
        <v>0</v>
      </c>
      <c r="Q139" s="1567"/>
      <c r="R139" s="148"/>
      <c r="S139" s="148"/>
      <c r="T139" s="148"/>
      <c r="U139" s="148"/>
      <c r="V139" s="148"/>
      <c r="W139" s="148"/>
      <c r="X139" s="148"/>
      <c r="Y139" s="148"/>
      <c r="Z139" s="148"/>
      <c r="AA139" s="148"/>
      <c r="AB139" s="148"/>
      <c r="AC139" s="148"/>
      <c r="AD139" s="148"/>
      <c r="AE139" s="148"/>
      <c r="AF139" s="148"/>
      <c r="AG139" s="148"/>
      <c r="AH139" s="148"/>
      <c r="AI139" s="148"/>
      <c r="AJ139" s="148"/>
      <c r="AK139" s="148"/>
      <c r="AL139" s="148"/>
      <c r="AM139" s="148"/>
      <c r="AN139" s="148"/>
      <c r="AO139" s="148"/>
      <c r="AP139" s="148"/>
      <c r="AQ139" s="148"/>
      <c r="AR139" s="148"/>
      <c r="AS139" s="148"/>
      <c r="AT139" s="148"/>
      <c r="AU139" s="148"/>
      <c r="AV139" s="148"/>
      <c r="AW139" s="148"/>
      <c r="AX139" s="148"/>
      <c r="AY139" s="148"/>
      <c r="AZ139" s="148"/>
      <c r="BA139" s="148"/>
      <c r="BB139" s="148"/>
      <c r="BC139" s="148"/>
      <c r="BD139" s="148"/>
      <c r="BE139" s="148"/>
      <c r="BF139" s="148"/>
      <c r="BG139" s="148"/>
      <c r="BH139" s="148"/>
      <c r="BI139" s="148"/>
      <c r="BJ139" s="148"/>
      <c r="BK139" s="148"/>
      <c r="BL139" s="148"/>
      <c r="BM139" s="148"/>
      <c r="BN139" s="148"/>
      <c r="BO139" s="148"/>
      <c r="BP139" s="148"/>
      <c r="BQ139" s="148"/>
      <c r="BR139" s="148"/>
      <c r="BS139" s="148"/>
      <c r="BT139" s="148"/>
      <c r="BU139" s="148"/>
      <c r="BV139" s="148"/>
      <c r="BW139" s="148"/>
      <c r="BX139" s="148"/>
      <c r="BY139" s="148"/>
      <c r="BZ139" s="148"/>
      <c r="CA139" s="148"/>
      <c r="CB139" s="148"/>
      <c r="CC139" s="148"/>
      <c r="CD139" s="148"/>
      <c r="CE139" s="148"/>
      <c r="CF139" s="148"/>
      <c r="CG139" s="148"/>
      <c r="CH139" s="148"/>
      <c r="CI139" s="148"/>
      <c r="CJ139" s="148"/>
      <c r="CK139" s="148"/>
      <c r="CL139" s="148"/>
      <c r="CM139" s="148"/>
      <c r="CN139" s="148"/>
      <c r="CO139" s="148"/>
      <c r="CP139" s="148"/>
      <c r="CQ139" s="148"/>
      <c r="CR139" s="148"/>
      <c r="CS139" s="148"/>
      <c r="CT139" s="148"/>
      <c r="CU139" s="148"/>
      <c r="CV139" s="148"/>
      <c r="CW139" s="148"/>
      <c r="CX139" s="148"/>
      <c r="CY139" s="148"/>
      <c r="CZ139" s="148"/>
      <c r="DA139" s="148"/>
      <c r="DB139" s="148"/>
      <c r="DC139" s="148"/>
      <c r="DD139" s="148"/>
      <c r="DE139" s="148"/>
      <c r="DF139" s="148"/>
      <c r="DG139" s="148"/>
      <c r="DH139" s="148"/>
      <c r="DI139" s="148"/>
      <c r="DJ139" s="148"/>
      <c r="DK139" s="148"/>
      <c r="DL139" s="148"/>
      <c r="DM139" s="148"/>
      <c r="DN139" s="148"/>
      <c r="DO139" s="148"/>
      <c r="DP139" s="148"/>
      <c r="DQ139" s="148"/>
      <c r="DR139" s="148"/>
      <c r="DS139" s="148"/>
      <c r="DT139" s="148"/>
      <c r="DU139" s="148"/>
      <c r="DV139" s="148"/>
      <c r="DW139" s="148"/>
      <c r="DX139" s="148"/>
      <c r="DY139" s="148"/>
      <c r="DZ139" s="148"/>
      <c r="EA139" s="148"/>
      <c r="EB139" s="148"/>
      <c r="EC139" s="148"/>
      <c r="ED139" s="148"/>
      <c r="EE139" s="148"/>
      <c r="EF139" s="148"/>
      <c r="EG139" s="148"/>
      <c r="EH139" s="148"/>
      <c r="EI139" s="148"/>
      <c r="EJ139" s="148"/>
      <c r="EK139" s="148"/>
      <c r="EL139" s="148"/>
      <c r="EM139" s="148"/>
      <c r="EN139" s="148"/>
      <c r="EO139" s="148"/>
      <c r="EP139" s="148"/>
      <c r="EQ139" s="148"/>
      <c r="ER139" s="148"/>
      <c r="ES139" s="148"/>
      <c r="ET139" s="148"/>
      <c r="EU139" s="148"/>
      <c r="EV139" s="148"/>
      <c r="EW139" s="148"/>
      <c r="EX139" s="148"/>
      <c r="EY139" s="148"/>
      <c r="EZ139" s="148"/>
      <c r="FA139" s="148"/>
      <c r="FB139" s="148"/>
      <c r="FC139" s="148"/>
      <c r="FD139" s="148"/>
      <c r="FE139" s="148"/>
      <c r="FF139" s="148"/>
      <c r="FG139" s="148"/>
      <c r="FH139" s="148"/>
      <c r="FI139" s="148"/>
      <c r="FJ139" s="148"/>
      <c r="FK139" s="148"/>
      <c r="FL139" s="148"/>
      <c r="FM139" s="148"/>
      <c r="FN139" s="148"/>
      <c r="FO139" s="148"/>
      <c r="FP139" s="148"/>
      <c r="FQ139" s="148"/>
      <c r="FR139" s="148"/>
      <c r="FS139" s="148"/>
      <c r="FT139" s="148"/>
      <c r="FU139" s="148"/>
      <c r="FV139" s="148"/>
      <c r="FW139" s="148"/>
      <c r="FX139" s="148"/>
      <c r="FY139" s="148"/>
      <c r="FZ139" s="148"/>
      <c r="GA139" s="148"/>
      <c r="GB139" s="148"/>
      <c r="GC139" s="148"/>
      <c r="GD139" s="148"/>
      <c r="GE139" s="148"/>
      <c r="GF139" s="148"/>
      <c r="GG139" s="148"/>
      <c r="GH139" s="148"/>
      <c r="GI139" s="148"/>
      <c r="GJ139" s="148"/>
      <c r="GK139" s="148"/>
      <c r="GL139" s="148"/>
      <c r="GM139" s="148"/>
      <c r="GN139" s="148"/>
      <c r="GO139" s="148"/>
      <c r="GP139" s="148"/>
      <c r="GQ139" s="148"/>
      <c r="GR139" s="148"/>
      <c r="GS139" s="148"/>
      <c r="GT139" s="148"/>
      <c r="GU139" s="148"/>
      <c r="GV139" s="148"/>
      <c r="GW139" s="148"/>
      <c r="GX139" s="148"/>
      <c r="GY139" s="148"/>
      <c r="GZ139" s="148"/>
      <c r="HA139" s="148"/>
      <c r="HB139" s="148"/>
      <c r="HC139" s="148"/>
      <c r="HD139" s="148"/>
      <c r="HE139" s="148"/>
      <c r="HF139" s="148"/>
      <c r="HG139" s="148"/>
      <c r="HH139" s="148"/>
      <c r="HI139" s="148"/>
      <c r="HJ139" s="148"/>
      <c r="HK139" s="148"/>
      <c r="HL139" s="148"/>
      <c r="HM139" s="148"/>
      <c r="HN139" s="148"/>
      <c r="HO139" s="148"/>
      <c r="HP139" s="148"/>
      <c r="HQ139" s="148"/>
      <c r="HR139" s="148"/>
      <c r="HS139" s="148"/>
      <c r="HT139" s="148"/>
      <c r="HU139" s="148"/>
      <c r="HV139" s="148"/>
      <c r="HW139" s="148"/>
      <c r="HX139" s="148"/>
      <c r="HY139" s="148"/>
      <c r="HZ139" s="148"/>
      <c r="IA139" s="148"/>
      <c r="IB139" s="148"/>
      <c r="IC139" s="148"/>
      <c r="ID139" s="148"/>
      <c r="IE139" s="148"/>
      <c r="IF139" s="148"/>
      <c r="IG139" s="148"/>
      <c r="IH139" s="148"/>
      <c r="II139" s="148"/>
      <c r="IJ139" s="148"/>
      <c r="IK139" s="148"/>
      <c r="IL139" s="148"/>
      <c r="IM139" s="148"/>
      <c r="IN139" s="148"/>
      <c r="IO139" s="148"/>
      <c r="IP139" s="148"/>
      <c r="IQ139" s="148"/>
      <c r="IR139" s="148"/>
      <c r="IS139" s="148"/>
      <c r="IT139" s="148"/>
      <c r="IU139" s="148"/>
      <c r="IV139" s="148"/>
      <c r="IW139" s="148"/>
      <c r="IX139" s="148"/>
      <c r="IY139" s="148"/>
      <c r="IZ139" s="148"/>
      <c r="JA139" s="148"/>
      <c r="JB139" s="148"/>
    </row>
    <row r="140" spans="1:262" x14ac:dyDescent="0.35">
      <c r="A140" s="1423">
        <v>126</v>
      </c>
      <c r="B140" s="1589"/>
      <c r="C140" s="1558"/>
      <c r="D140" s="1163" t="s">
        <v>1116</v>
      </c>
      <c r="E140" s="1560"/>
      <c r="F140" s="1561"/>
      <c r="G140" s="1562"/>
      <c r="H140" s="1563"/>
      <c r="I140" s="1580"/>
      <c r="J140" s="1574"/>
      <c r="K140" s="1574"/>
      <c r="L140" s="1574"/>
      <c r="M140" s="1574">
        <f>SUM(M138:M139)</f>
        <v>0</v>
      </c>
      <c r="N140" s="1574"/>
      <c r="O140" s="1574"/>
      <c r="P140" s="1576">
        <f t="shared" si="14"/>
        <v>0</v>
      </c>
      <c r="Q140" s="1567"/>
    </row>
    <row r="141" spans="1:262" x14ac:dyDescent="0.35">
      <c r="A141" s="1423">
        <v>127</v>
      </c>
      <c r="B141" s="1557"/>
      <c r="C141" s="1558"/>
      <c r="D141" s="1593" t="s">
        <v>717</v>
      </c>
      <c r="E141" s="1560"/>
      <c r="F141" s="1561"/>
      <c r="G141" s="1562"/>
      <c r="H141" s="1563"/>
      <c r="I141" s="1580"/>
      <c r="J141" s="1574"/>
      <c r="K141" s="1574"/>
      <c r="L141" s="1574"/>
      <c r="M141" s="1565"/>
      <c r="N141" s="1574"/>
      <c r="O141" s="1574"/>
      <c r="P141" s="1576"/>
      <c r="Q141" s="1567"/>
    </row>
    <row r="142" spans="1:262" x14ac:dyDescent="0.35">
      <c r="A142" s="1423">
        <v>128</v>
      </c>
      <c r="B142" s="1589"/>
      <c r="C142" s="1558"/>
      <c r="D142" s="1585" t="s">
        <v>311</v>
      </c>
      <c r="E142" s="1560"/>
      <c r="F142" s="1561"/>
      <c r="G142" s="1562"/>
      <c r="H142" s="1563"/>
      <c r="I142" s="1580"/>
      <c r="J142" s="1574"/>
      <c r="K142" s="1574"/>
      <c r="L142" s="1574"/>
      <c r="M142" s="1572">
        <v>10000</v>
      </c>
      <c r="N142" s="1574"/>
      <c r="O142" s="1574"/>
      <c r="P142" s="1566">
        <f>SUM(I142:O142)</f>
        <v>10000</v>
      </c>
      <c r="Q142" s="1567"/>
    </row>
    <row r="143" spans="1:262" x14ac:dyDescent="0.35">
      <c r="A143" s="1423">
        <v>129</v>
      </c>
      <c r="B143" s="1589"/>
      <c r="C143" s="1558"/>
      <c r="D143" s="1163" t="s">
        <v>1064</v>
      </c>
      <c r="E143" s="1560"/>
      <c r="F143" s="1561"/>
      <c r="G143" s="1562"/>
      <c r="H143" s="1563"/>
      <c r="I143" s="1580"/>
      <c r="J143" s="1574"/>
      <c r="K143" s="1574"/>
      <c r="L143" s="1574"/>
      <c r="M143" s="1575">
        <v>0</v>
      </c>
      <c r="N143" s="1575"/>
      <c r="O143" s="1575"/>
      <c r="P143" s="1576">
        <f>SUM(I143:O143)</f>
        <v>0</v>
      </c>
      <c r="Q143" s="1567"/>
    </row>
    <row r="144" spans="1:262" s="272" customFormat="1" x14ac:dyDescent="0.35">
      <c r="A144" s="1423">
        <v>130</v>
      </c>
      <c r="B144" s="1589"/>
      <c r="C144" s="1558"/>
      <c r="D144" s="1174" t="s">
        <v>999</v>
      </c>
      <c r="E144" s="1560"/>
      <c r="F144" s="1561"/>
      <c r="G144" s="1562"/>
      <c r="H144" s="1563"/>
      <c r="I144" s="1580"/>
      <c r="J144" s="1574"/>
      <c r="K144" s="1574"/>
      <c r="L144" s="1574"/>
      <c r="M144" s="1574"/>
      <c r="N144" s="1574"/>
      <c r="O144" s="1574"/>
      <c r="P144" s="1576">
        <f t="shared" ref="P144:P145" si="15">SUM(I144:O144)</f>
        <v>0</v>
      </c>
      <c r="Q144" s="1567"/>
      <c r="R144" s="148"/>
      <c r="S144" s="148"/>
      <c r="T144" s="148"/>
      <c r="U144" s="148"/>
      <c r="V144" s="148"/>
      <c r="W144" s="148"/>
      <c r="X144" s="148"/>
      <c r="Y144" s="148"/>
      <c r="Z144" s="148"/>
      <c r="AA144" s="148"/>
      <c r="AB144" s="148"/>
      <c r="AC144" s="148"/>
      <c r="AD144" s="148"/>
      <c r="AE144" s="148"/>
      <c r="AF144" s="148"/>
      <c r="AG144" s="148"/>
      <c r="AH144" s="148"/>
      <c r="AI144" s="148"/>
      <c r="AJ144" s="148"/>
      <c r="AK144" s="148"/>
      <c r="AL144" s="148"/>
      <c r="AM144" s="148"/>
      <c r="AN144" s="148"/>
      <c r="AO144" s="148"/>
      <c r="AP144" s="148"/>
      <c r="AQ144" s="148"/>
      <c r="AR144" s="148"/>
      <c r="AS144" s="148"/>
      <c r="AT144" s="148"/>
      <c r="AU144" s="148"/>
      <c r="AV144" s="148"/>
      <c r="AW144" s="148"/>
      <c r="AX144" s="148"/>
      <c r="AY144" s="148"/>
      <c r="AZ144" s="148"/>
      <c r="BA144" s="148"/>
      <c r="BB144" s="148"/>
      <c r="BC144" s="148"/>
      <c r="BD144" s="148"/>
      <c r="BE144" s="148"/>
      <c r="BF144" s="148"/>
      <c r="BG144" s="148"/>
      <c r="BH144" s="148"/>
      <c r="BI144" s="148"/>
      <c r="BJ144" s="148"/>
      <c r="BK144" s="148"/>
      <c r="BL144" s="148"/>
      <c r="BM144" s="148"/>
      <c r="BN144" s="148"/>
      <c r="BO144" s="148"/>
      <c r="BP144" s="148"/>
      <c r="BQ144" s="148"/>
      <c r="BR144" s="148"/>
      <c r="BS144" s="148"/>
      <c r="BT144" s="148"/>
      <c r="BU144" s="148"/>
      <c r="BV144" s="148"/>
      <c r="BW144" s="148"/>
      <c r="BX144" s="148"/>
      <c r="BY144" s="148"/>
      <c r="BZ144" s="148"/>
      <c r="CA144" s="148"/>
      <c r="CB144" s="148"/>
      <c r="CC144" s="148"/>
      <c r="CD144" s="148"/>
      <c r="CE144" s="148"/>
      <c r="CF144" s="148"/>
      <c r="CG144" s="148"/>
      <c r="CH144" s="148"/>
      <c r="CI144" s="148"/>
      <c r="CJ144" s="148"/>
      <c r="CK144" s="148"/>
      <c r="CL144" s="148"/>
      <c r="CM144" s="148"/>
      <c r="CN144" s="148"/>
      <c r="CO144" s="148"/>
      <c r="CP144" s="148"/>
      <c r="CQ144" s="148"/>
      <c r="CR144" s="148"/>
      <c r="CS144" s="148"/>
      <c r="CT144" s="148"/>
      <c r="CU144" s="148"/>
      <c r="CV144" s="148"/>
      <c r="CW144" s="148"/>
      <c r="CX144" s="148"/>
      <c r="CY144" s="148"/>
      <c r="CZ144" s="148"/>
      <c r="DA144" s="148"/>
      <c r="DB144" s="148"/>
      <c r="DC144" s="148"/>
      <c r="DD144" s="148"/>
      <c r="DE144" s="148"/>
      <c r="DF144" s="148"/>
      <c r="DG144" s="148"/>
      <c r="DH144" s="148"/>
      <c r="DI144" s="148"/>
      <c r="DJ144" s="148"/>
      <c r="DK144" s="148"/>
      <c r="DL144" s="148"/>
      <c r="DM144" s="148"/>
      <c r="DN144" s="148"/>
      <c r="DO144" s="148"/>
      <c r="DP144" s="148"/>
      <c r="DQ144" s="148"/>
      <c r="DR144" s="148"/>
      <c r="DS144" s="148"/>
      <c r="DT144" s="148"/>
      <c r="DU144" s="148"/>
      <c r="DV144" s="148"/>
      <c r="DW144" s="148"/>
      <c r="DX144" s="148"/>
      <c r="DY144" s="148"/>
      <c r="DZ144" s="148"/>
      <c r="EA144" s="148"/>
      <c r="EB144" s="148"/>
      <c r="EC144" s="148"/>
      <c r="ED144" s="148"/>
      <c r="EE144" s="148"/>
      <c r="EF144" s="148"/>
      <c r="EG144" s="148"/>
      <c r="EH144" s="148"/>
      <c r="EI144" s="148"/>
      <c r="EJ144" s="148"/>
      <c r="EK144" s="148"/>
      <c r="EL144" s="148"/>
      <c r="EM144" s="148"/>
      <c r="EN144" s="148"/>
      <c r="EO144" s="148"/>
      <c r="EP144" s="148"/>
      <c r="EQ144" s="148"/>
      <c r="ER144" s="148"/>
      <c r="ES144" s="148"/>
      <c r="ET144" s="148"/>
      <c r="EU144" s="148"/>
      <c r="EV144" s="148"/>
      <c r="EW144" s="148"/>
      <c r="EX144" s="148"/>
      <c r="EY144" s="148"/>
      <c r="EZ144" s="148"/>
      <c r="FA144" s="148"/>
      <c r="FB144" s="148"/>
      <c r="FC144" s="148"/>
      <c r="FD144" s="148"/>
      <c r="FE144" s="148"/>
      <c r="FF144" s="148"/>
      <c r="FG144" s="148"/>
      <c r="FH144" s="148"/>
      <c r="FI144" s="148"/>
      <c r="FJ144" s="148"/>
      <c r="FK144" s="148"/>
      <c r="FL144" s="148"/>
      <c r="FM144" s="148"/>
      <c r="FN144" s="148"/>
      <c r="FO144" s="148"/>
      <c r="FP144" s="148"/>
      <c r="FQ144" s="148"/>
      <c r="FR144" s="148"/>
      <c r="FS144" s="148"/>
      <c r="FT144" s="148"/>
      <c r="FU144" s="148"/>
      <c r="FV144" s="148"/>
      <c r="FW144" s="148"/>
      <c r="FX144" s="148"/>
      <c r="FY144" s="148"/>
      <c r="FZ144" s="148"/>
      <c r="GA144" s="148"/>
      <c r="GB144" s="148"/>
      <c r="GC144" s="148"/>
      <c r="GD144" s="148"/>
      <c r="GE144" s="148"/>
      <c r="GF144" s="148"/>
      <c r="GG144" s="148"/>
      <c r="GH144" s="148"/>
      <c r="GI144" s="148"/>
      <c r="GJ144" s="148"/>
      <c r="GK144" s="148"/>
      <c r="GL144" s="148"/>
      <c r="GM144" s="148"/>
      <c r="GN144" s="148"/>
      <c r="GO144" s="148"/>
      <c r="GP144" s="148"/>
      <c r="GQ144" s="148"/>
      <c r="GR144" s="148"/>
      <c r="GS144" s="148"/>
      <c r="GT144" s="148"/>
      <c r="GU144" s="148"/>
      <c r="GV144" s="148"/>
      <c r="GW144" s="148"/>
      <c r="GX144" s="148"/>
      <c r="GY144" s="148"/>
      <c r="GZ144" s="148"/>
      <c r="HA144" s="148"/>
      <c r="HB144" s="148"/>
      <c r="HC144" s="148"/>
      <c r="HD144" s="148"/>
      <c r="HE144" s="148"/>
      <c r="HF144" s="148"/>
      <c r="HG144" s="148"/>
      <c r="HH144" s="148"/>
      <c r="HI144" s="148"/>
      <c r="HJ144" s="148"/>
      <c r="HK144" s="148"/>
      <c r="HL144" s="148"/>
      <c r="HM144" s="148"/>
      <c r="HN144" s="148"/>
      <c r="HO144" s="148"/>
      <c r="HP144" s="148"/>
      <c r="HQ144" s="148"/>
      <c r="HR144" s="148"/>
      <c r="HS144" s="148"/>
      <c r="HT144" s="148"/>
      <c r="HU144" s="148"/>
      <c r="HV144" s="148"/>
      <c r="HW144" s="148"/>
      <c r="HX144" s="148"/>
      <c r="HY144" s="148"/>
      <c r="HZ144" s="148"/>
      <c r="IA144" s="148"/>
      <c r="IB144" s="148"/>
      <c r="IC144" s="148"/>
      <c r="ID144" s="148"/>
      <c r="IE144" s="148"/>
      <c r="IF144" s="148"/>
      <c r="IG144" s="148"/>
      <c r="IH144" s="148"/>
      <c r="II144" s="148"/>
      <c r="IJ144" s="148"/>
      <c r="IK144" s="148"/>
      <c r="IL144" s="148"/>
      <c r="IM144" s="148"/>
      <c r="IN144" s="148"/>
      <c r="IO144" s="148"/>
      <c r="IP144" s="148"/>
      <c r="IQ144" s="148"/>
      <c r="IR144" s="148"/>
      <c r="IS144" s="148"/>
      <c r="IT144" s="148"/>
      <c r="IU144" s="148"/>
      <c r="IV144" s="148"/>
      <c r="IW144" s="148"/>
      <c r="IX144" s="148"/>
      <c r="IY144" s="148"/>
      <c r="IZ144" s="148"/>
      <c r="JA144" s="148"/>
      <c r="JB144" s="148"/>
    </row>
    <row r="145" spans="1:262" x14ac:dyDescent="0.35">
      <c r="A145" s="1423">
        <v>131</v>
      </c>
      <c r="B145" s="1589"/>
      <c r="C145" s="1558"/>
      <c r="D145" s="1163" t="s">
        <v>1116</v>
      </c>
      <c r="E145" s="1560"/>
      <c r="F145" s="1561"/>
      <c r="G145" s="1562"/>
      <c r="H145" s="1563"/>
      <c r="I145" s="1580"/>
      <c r="J145" s="1574"/>
      <c r="K145" s="1574"/>
      <c r="L145" s="1574"/>
      <c r="M145" s="1575">
        <f>SUM(M143:M144)</f>
        <v>0</v>
      </c>
      <c r="N145" s="1574"/>
      <c r="O145" s="1574"/>
      <c r="P145" s="1576">
        <f t="shared" si="15"/>
        <v>0</v>
      </c>
      <c r="Q145" s="1567"/>
    </row>
    <row r="146" spans="1:262" x14ac:dyDescent="0.35">
      <c r="A146" s="1423">
        <v>132</v>
      </c>
      <c r="B146" s="1557"/>
      <c r="C146" s="1558"/>
      <c r="D146" s="1718" t="s">
        <v>718</v>
      </c>
      <c r="E146" s="1560"/>
      <c r="F146" s="1561"/>
      <c r="G146" s="1562"/>
      <c r="H146" s="1563"/>
      <c r="I146" s="1580"/>
      <c r="J146" s="1574"/>
      <c r="K146" s="1574"/>
      <c r="L146" s="1574"/>
      <c r="M146" s="1565"/>
      <c r="N146" s="1574"/>
      <c r="O146" s="1574"/>
      <c r="P146" s="1576"/>
      <c r="Q146" s="1567"/>
    </row>
    <row r="147" spans="1:262" x14ac:dyDescent="0.35">
      <c r="A147" s="1423">
        <v>133</v>
      </c>
      <c r="B147" s="1589"/>
      <c r="C147" s="1558"/>
      <c r="D147" s="1585" t="s">
        <v>311</v>
      </c>
      <c r="E147" s="1560"/>
      <c r="F147" s="1561"/>
      <c r="G147" s="1562"/>
      <c r="H147" s="1563"/>
      <c r="I147" s="1580"/>
      <c r="J147" s="1574"/>
      <c r="K147" s="1574"/>
      <c r="L147" s="1574"/>
      <c r="M147" s="1572">
        <v>20000</v>
      </c>
      <c r="N147" s="1574"/>
      <c r="O147" s="1574"/>
      <c r="P147" s="1566">
        <f>SUM(I147:O147)</f>
        <v>20000</v>
      </c>
      <c r="Q147" s="1567"/>
    </row>
    <row r="148" spans="1:262" x14ac:dyDescent="0.35">
      <c r="A148" s="1423">
        <v>134</v>
      </c>
      <c r="B148" s="1589"/>
      <c r="C148" s="1558"/>
      <c r="D148" s="1163" t="s">
        <v>1064</v>
      </c>
      <c r="E148" s="1560"/>
      <c r="F148" s="1561"/>
      <c r="G148" s="1562"/>
      <c r="H148" s="1563"/>
      <c r="I148" s="1580"/>
      <c r="J148" s="1574"/>
      <c r="K148" s="1574"/>
      <c r="L148" s="1574"/>
      <c r="M148" s="1575">
        <v>0</v>
      </c>
      <c r="N148" s="1575"/>
      <c r="O148" s="1575"/>
      <c r="P148" s="1576">
        <f>SUM(I148:O148)</f>
        <v>0</v>
      </c>
      <c r="Q148" s="1567"/>
    </row>
    <row r="149" spans="1:262" s="272" customFormat="1" x14ac:dyDescent="0.35">
      <c r="A149" s="1423">
        <v>135</v>
      </c>
      <c r="B149" s="1589"/>
      <c r="C149" s="1558"/>
      <c r="D149" s="1174" t="s">
        <v>999</v>
      </c>
      <c r="E149" s="1560"/>
      <c r="F149" s="1561"/>
      <c r="G149" s="1562"/>
      <c r="H149" s="1563"/>
      <c r="I149" s="1580"/>
      <c r="J149" s="1574"/>
      <c r="K149" s="1574"/>
      <c r="L149" s="1574"/>
      <c r="M149" s="1574"/>
      <c r="N149" s="1574"/>
      <c r="O149" s="1574"/>
      <c r="P149" s="1576">
        <f t="shared" ref="P149:P150" si="16">SUM(I149:O149)</f>
        <v>0</v>
      </c>
      <c r="Q149" s="1567"/>
      <c r="R149" s="148"/>
      <c r="S149" s="148"/>
      <c r="T149" s="148"/>
      <c r="U149" s="148"/>
      <c r="V149" s="148"/>
      <c r="W149" s="148"/>
      <c r="X149" s="148"/>
      <c r="Y149" s="148"/>
      <c r="Z149" s="148"/>
      <c r="AA149" s="148"/>
      <c r="AB149" s="148"/>
      <c r="AC149" s="148"/>
      <c r="AD149" s="148"/>
      <c r="AE149" s="148"/>
      <c r="AF149" s="148"/>
      <c r="AG149" s="148"/>
      <c r="AH149" s="148"/>
      <c r="AI149" s="148"/>
      <c r="AJ149" s="148"/>
      <c r="AK149" s="148"/>
      <c r="AL149" s="148"/>
      <c r="AM149" s="148"/>
      <c r="AN149" s="148"/>
      <c r="AO149" s="148"/>
      <c r="AP149" s="148"/>
      <c r="AQ149" s="148"/>
      <c r="AR149" s="148"/>
      <c r="AS149" s="148"/>
      <c r="AT149" s="148"/>
      <c r="AU149" s="148"/>
      <c r="AV149" s="148"/>
      <c r="AW149" s="148"/>
      <c r="AX149" s="148"/>
      <c r="AY149" s="148"/>
      <c r="AZ149" s="148"/>
      <c r="BA149" s="148"/>
      <c r="BB149" s="148"/>
      <c r="BC149" s="148"/>
      <c r="BD149" s="148"/>
      <c r="BE149" s="148"/>
      <c r="BF149" s="148"/>
      <c r="BG149" s="148"/>
      <c r="BH149" s="148"/>
      <c r="BI149" s="148"/>
      <c r="BJ149" s="148"/>
      <c r="BK149" s="148"/>
      <c r="BL149" s="148"/>
      <c r="BM149" s="148"/>
      <c r="BN149" s="148"/>
      <c r="BO149" s="148"/>
      <c r="BP149" s="148"/>
      <c r="BQ149" s="148"/>
      <c r="BR149" s="148"/>
      <c r="BS149" s="148"/>
      <c r="BT149" s="148"/>
      <c r="BU149" s="148"/>
      <c r="BV149" s="148"/>
      <c r="BW149" s="148"/>
      <c r="BX149" s="148"/>
      <c r="BY149" s="148"/>
      <c r="BZ149" s="148"/>
      <c r="CA149" s="148"/>
      <c r="CB149" s="148"/>
      <c r="CC149" s="148"/>
      <c r="CD149" s="148"/>
      <c r="CE149" s="148"/>
      <c r="CF149" s="148"/>
      <c r="CG149" s="148"/>
      <c r="CH149" s="148"/>
      <c r="CI149" s="148"/>
      <c r="CJ149" s="148"/>
      <c r="CK149" s="148"/>
      <c r="CL149" s="148"/>
      <c r="CM149" s="148"/>
      <c r="CN149" s="148"/>
      <c r="CO149" s="148"/>
      <c r="CP149" s="148"/>
      <c r="CQ149" s="148"/>
      <c r="CR149" s="148"/>
      <c r="CS149" s="148"/>
      <c r="CT149" s="148"/>
      <c r="CU149" s="148"/>
      <c r="CV149" s="148"/>
      <c r="CW149" s="148"/>
      <c r="CX149" s="148"/>
      <c r="CY149" s="148"/>
      <c r="CZ149" s="148"/>
      <c r="DA149" s="148"/>
      <c r="DB149" s="148"/>
      <c r="DC149" s="148"/>
      <c r="DD149" s="148"/>
      <c r="DE149" s="148"/>
      <c r="DF149" s="148"/>
      <c r="DG149" s="148"/>
      <c r="DH149" s="148"/>
      <c r="DI149" s="148"/>
      <c r="DJ149" s="148"/>
      <c r="DK149" s="148"/>
      <c r="DL149" s="148"/>
      <c r="DM149" s="148"/>
      <c r="DN149" s="148"/>
      <c r="DO149" s="148"/>
      <c r="DP149" s="148"/>
      <c r="DQ149" s="148"/>
      <c r="DR149" s="148"/>
      <c r="DS149" s="148"/>
      <c r="DT149" s="148"/>
      <c r="DU149" s="148"/>
      <c r="DV149" s="148"/>
      <c r="DW149" s="148"/>
      <c r="DX149" s="148"/>
      <c r="DY149" s="148"/>
      <c r="DZ149" s="148"/>
      <c r="EA149" s="148"/>
      <c r="EB149" s="148"/>
      <c r="EC149" s="148"/>
      <c r="ED149" s="148"/>
      <c r="EE149" s="148"/>
      <c r="EF149" s="148"/>
      <c r="EG149" s="148"/>
      <c r="EH149" s="148"/>
      <c r="EI149" s="148"/>
      <c r="EJ149" s="148"/>
      <c r="EK149" s="148"/>
      <c r="EL149" s="148"/>
      <c r="EM149" s="148"/>
      <c r="EN149" s="148"/>
      <c r="EO149" s="148"/>
      <c r="EP149" s="148"/>
      <c r="EQ149" s="148"/>
      <c r="ER149" s="148"/>
      <c r="ES149" s="148"/>
      <c r="ET149" s="148"/>
      <c r="EU149" s="148"/>
      <c r="EV149" s="148"/>
      <c r="EW149" s="148"/>
      <c r="EX149" s="148"/>
      <c r="EY149" s="148"/>
      <c r="EZ149" s="148"/>
      <c r="FA149" s="148"/>
      <c r="FB149" s="148"/>
      <c r="FC149" s="148"/>
      <c r="FD149" s="148"/>
      <c r="FE149" s="148"/>
      <c r="FF149" s="148"/>
      <c r="FG149" s="148"/>
      <c r="FH149" s="148"/>
      <c r="FI149" s="148"/>
      <c r="FJ149" s="148"/>
      <c r="FK149" s="148"/>
      <c r="FL149" s="148"/>
      <c r="FM149" s="148"/>
      <c r="FN149" s="148"/>
      <c r="FO149" s="148"/>
      <c r="FP149" s="148"/>
      <c r="FQ149" s="148"/>
      <c r="FR149" s="148"/>
      <c r="FS149" s="148"/>
      <c r="FT149" s="148"/>
      <c r="FU149" s="148"/>
      <c r="FV149" s="148"/>
      <c r="FW149" s="148"/>
      <c r="FX149" s="148"/>
      <c r="FY149" s="148"/>
      <c r="FZ149" s="148"/>
      <c r="GA149" s="148"/>
      <c r="GB149" s="148"/>
      <c r="GC149" s="148"/>
      <c r="GD149" s="148"/>
      <c r="GE149" s="148"/>
      <c r="GF149" s="148"/>
      <c r="GG149" s="148"/>
      <c r="GH149" s="148"/>
      <c r="GI149" s="148"/>
      <c r="GJ149" s="148"/>
      <c r="GK149" s="148"/>
      <c r="GL149" s="148"/>
      <c r="GM149" s="148"/>
      <c r="GN149" s="148"/>
      <c r="GO149" s="148"/>
      <c r="GP149" s="148"/>
      <c r="GQ149" s="148"/>
      <c r="GR149" s="148"/>
      <c r="GS149" s="148"/>
      <c r="GT149" s="148"/>
      <c r="GU149" s="148"/>
      <c r="GV149" s="148"/>
      <c r="GW149" s="148"/>
      <c r="GX149" s="148"/>
      <c r="GY149" s="148"/>
      <c r="GZ149" s="148"/>
      <c r="HA149" s="148"/>
      <c r="HB149" s="148"/>
      <c r="HC149" s="148"/>
      <c r="HD149" s="148"/>
      <c r="HE149" s="148"/>
      <c r="HF149" s="148"/>
      <c r="HG149" s="148"/>
      <c r="HH149" s="148"/>
      <c r="HI149" s="148"/>
      <c r="HJ149" s="148"/>
      <c r="HK149" s="148"/>
      <c r="HL149" s="148"/>
      <c r="HM149" s="148"/>
      <c r="HN149" s="148"/>
      <c r="HO149" s="148"/>
      <c r="HP149" s="148"/>
      <c r="HQ149" s="148"/>
      <c r="HR149" s="148"/>
      <c r="HS149" s="148"/>
      <c r="HT149" s="148"/>
      <c r="HU149" s="148"/>
      <c r="HV149" s="148"/>
      <c r="HW149" s="148"/>
      <c r="HX149" s="148"/>
      <c r="HY149" s="148"/>
      <c r="HZ149" s="148"/>
      <c r="IA149" s="148"/>
      <c r="IB149" s="148"/>
      <c r="IC149" s="148"/>
      <c r="ID149" s="148"/>
      <c r="IE149" s="148"/>
      <c r="IF149" s="148"/>
      <c r="IG149" s="148"/>
      <c r="IH149" s="148"/>
      <c r="II149" s="148"/>
      <c r="IJ149" s="148"/>
      <c r="IK149" s="148"/>
      <c r="IL149" s="148"/>
      <c r="IM149" s="148"/>
      <c r="IN149" s="148"/>
      <c r="IO149" s="148"/>
      <c r="IP149" s="148"/>
      <c r="IQ149" s="148"/>
      <c r="IR149" s="148"/>
      <c r="IS149" s="148"/>
      <c r="IT149" s="148"/>
      <c r="IU149" s="148"/>
      <c r="IV149" s="148"/>
      <c r="IW149" s="148"/>
      <c r="IX149" s="148"/>
      <c r="IY149" s="148"/>
      <c r="IZ149" s="148"/>
      <c r="JA149" s="148"/>
      <c r="JB149" s="148"/>
    </row>
    <row r="150" spans="1:262" x14ac:dyDescent="0.35">
      <c r="A150" s="1423">
        <v>136</v>
      </c>
      <c r="B150" s="1589"/>
      <c r="C150" s="1558"/>
      <c r="D150" s="1163" t="s">
        <v>1116</v>
      </c>
      <c r="E150" s="1560"/>
      <c r="F150" s="1561"/>
      <c r="G150" s="1562"/>
      <c r="H150" s="1563"/>
      <c r="I150" s="1580"/>
      <c r="J150" s="1574"/>
      <c r="K150" s="1574"/>
      <c r="L150" s="1574"/>
      <c r="M150" s="1575">
        <f>SUM(M148:M149)</f>
        <v>0</v>
      </c>
      <c r="N150" s="1574"/>
      <c r="O150" s="1574"/>
      <c r="P150" s="1576">
        <f t="shared" si="16"/>
        <v>0</v>
      </c>
      <c r="Q150" s="1567"/>
    </row>
    <row r="151" spans="1:262" x14ac:dyDescent="0.35">
      <c r="A151" s="1423">
        <v>137</v>
      </c>
      <c r="B151" s="1557"/>
      <c r="C151" s="1558"/>
      <c r="D151" s="150" t="s">
        <v>719</v>
      </c>
      <c r="E151" s="1560"/>
      <c r="F151" s="1561"/>
      <c r="G151" s="1562"/>
      <c r="H151" s="1563"/>
      <c r="I151" s="1580"/>
      <c r="J151" s="1574"/>
      <c r="K151" s="1574"/>
      <c r="L151" s="1574"/>
      <c r="M151" s="1565"/>
      <c r="N151" s="1574"/>
      <c r="O151" s="1574"/>
      <c r="P151" s="1576"/>
      <c r="Q151" s="1567"/>
    </row>
    <row r="152" spans="1:262" x14ac:dyDescent="0.35">
      <c r="A152" s="1423">
        <v>138</v>
      </c>
      <c r="B152" s="1589"/>
      <c r="C152" s="1558"/>
      <c r="D152" s="1585" t="s">
        <v>311</v>
      </c>
      <c r="E152" s="1560"/>
      <c r="F152" s="1561"/>
      <c r="G152" s="1562"/>
      <c r="H152" s="1563"/>
      <c r="I152" s="1580"/>
      <c r="J152" s="1574"/>
      <c r="K152" s="1574"/>
      <c r="L152" s="1574"/>
      <c r="M152" s="1572">
        <v>10000</v>
      </c>
      <c r="N152" s="1574"/>
      <c r="O152" s="1574"/>
      <c r="P152" s="1566">
        <f>SUM(I152:O152)</f>
        <v>10000</v>
      </c>
      <c r="Q152" s="1567"/>
    </row>
    <row r="153" spans="1:262" x14ac:dyDescent="0.35">
      <c r="A153" s="1423">
        <v>139</v>
      </c>
      <c r="B153" s="1589"/>
      <c r="C153" s="1558"/>
      <c r="D153" s="1163" t="s">
        <v>1064</v>
      </c>
      <c r="E153" s="1560"/>
      <c r="F153" s="1561"/>
      <c r="G153" s="1562"/>
      <c r="H153" s="1563"/>
      <c r="I153" s="1580"/>
      <c r="J153" s="1574"/>
      <c r="K153" s="1574"/>
      <c r="L153" s="1574"/>
      <c r="M153" s="1575">
        <v>0</v>
      </c>
      <c r="N153" s="1574"/>
      <c r="O153" s="1574"/>
      <c r="P153" s="1576">
        <f>SUM(I153:O153)</f>
        <v>0</v>
      </c>
      <c r="Q153" s="1567"/>
    </row>
    <row r="154" spans="1:262" s="272" customFormat="1" x14ac:dyDescent="0.35">
      <c r="A154" s="1423">
        <v>140</v>
      </c>
      <c r="B154" s="1589"/>
      <c r="C154" s="1558"/>
      <c r="D154" s="1174" t="s">
        <v>999</v>
      </c>
      <c r="E154" s="1560"/>
      <c r="F154" s="1561"/>
      <c r="G154" s="1562"/>
      <c r="H154" s="1563"/>
      <c r="I154" s="1580"/>
      <c r="J154" s="1574"/>
      <c r="K154" s="1574"/>
      <c r="L154" s="1574"/>
      <c r="M154" s="1574"/>
      <c r="N154" s="1574"/>
      <c r="O154" s="1574"/>
      <c r="P154" s="1576">
        <f t="shared" ref="P154:P155" si="17">SUM(I154:O154)</f>
        <v>0</v>
      </c>
      <c r="Q154" s="1567"/>
      <c r="R154" s="148"/>
      <c r="S154" s="148"/>
      <c r="T154" s="148"/>
      <c r="U154" s="148"/>
      <c r="V154" s="148"/>
      <c r="W154" s="148"/>
      <c r="X154" s="148"/>
      <c r="Y154" s="148"/>
      <c r="Z154" s="148"/>
      <c r="AA154" s="148"/>
      <c r="AB154" s="148"/>
      <c r="AC154" s="148"/>
      <c r="AD154" s="148"/>
      <c r="AE154" s="148"/>
      <c r="AF154" s="148"/>
      <c r="AG154" s="148"/>
      <c r="AH154" s="148"/>
      <c r="AI154" s="148"/>
      <c r="AJ154" s="148"/>
      <c r="AK154" s="148"/>
      <c r="AL154" s="148"/>
      <c r="AM154" s="148"/>
      <c r="AN154" s="148"/>
      <c r="AO154" s="148"/>
      <c r="AP154" s="148"/>
      <c r="AQ154" s="148"/>
      <c r="AR154" s="148"/>
      <c r="AS154" s="148"/>
      <c r="AT154" s="148"/>
      <c r="AU154" s="148"/>
      <c r="AV154" s="148"/>
      <c r="AW154" s="148"/>
      <c r="AX154" s="148"/>
      <c r="AY154" s="148"/>
      <c r="AZ154" s="148"/>
      <c r="BA154" s="148"/>
      <c r="BB154" s="148"/>
      <c r="BC154" s="148"/>
      <c r="BD154" s="148"/>
      <c r="BE154" s="148"/>
      <c r="BF154" s="148"/>
      <c r="BG154" s="148"/>
      <c r="BH154" s="148"/>
      <c r="BI154" s="148"/>
      <c r="BJ154" s="148"/>
      <c r="BK154" s="148"/>
      <c r="BL154" s="148"/>
      <c r="BM154" s="148"/>
      <c r="BN154" s="148"/>
      <c r="BO154" s="148"/>
      <c r="BP154" s="148"/>
      <c r="BQ154" s="148"/>
      <c r="BR154" s="148"/>
      <c r="BS154" s="148"/>
      <c r="BT154" s="148"/>
      <c r="BU154" s="148"/>
      <c r="BV154" s="148"/>
      <c r="BW154" s="148"/>
      <c r="BX154" s="148"/>
      <c r="BY154" s="148"/>
      <c r="BZ154" s="148"/>
      <c r="CA154" s="148"/>
      <c r="CB154" s="148"/>
      <c r="CC154" s="148"/>
      <c r="CD154" s="148"/>
      <c r="CE154" s="148"/>
      <c r="CF154" s="148"/>
      <c r="CG154" s="148"/>
      <c r="CH154" s="148"/>
      <c r="CI154" s="148"/>
      <c r="CJ154" s="148"/>
      <c r="CK154" s="148"/>
      <c r="CL154" s="148"/>
      <c r="CM154" s="148"/>
      <c r="CN154" s="148"/>
      <c r="CO154" s="148"/>
      <c r="CP154" s="148"/>
      <c r="CQ154" s="148"/>
      <c r="CR154" s="148"/>
      <c r="CS154" s="148"/>
      <c r="CT154" s="148"/>
      <c r="CU154" s="148"/>
      <c r="CV154" s="148"/>
      <c r="CW154" s="148"/>
      <c r="CX154" s="148"/>
      <c r="CY154" s="148"/>
      <c r="CZ154" s="148"/>
      <c r="DA154" s="148"/>
      <c r="DB154" s="148"/>
      <c r="DC154" s="148"/>
      <c r="DD154" s="148"/>
      <c r="DE154" s="148"/>
      <c r="DF154" s="148"/>
      <c r="DG154" s="148"/>
      <c r="DH154" s="148"/>
      <c r="DI154" s="148"/>
      <c r="DJ154" s="148"/>
      <c r="DK154" s="148"/>
      <c r="DL154" s="148"/>
      <c r="DM154" s="148"/>
      <c r="DN154" s="148"/>
      <c r="DO154" s="148"/>
      <c r="DP154" s="148"/>
      <c r="DQ154" s="148"/>
      <c r="DR154" s="148"/>
      <c r="DS154" s="148"/>
      <c r="DT154" s="148"/>
      <c r="DU154" s="148"/>
      <c r="DV154" s="148"/>
      <c r="DW154" s="148"/>
      <c r="DX154" s="148"/>
      <c r="DY154" s="148"/>
      <c r="DZ154" s="148"/>
      <c r="EA154" s="148"/>
      <c r="EB154" s="148"/>
      <c r="EC154" s="148"/>
      <c r="ED154" s="148"/>
      <c r="EE154" s="148"/>
      <c r="EF154" s="148"/>
      <c r="EG154" s="148"/>
      <c r="EH154" s="148"/>
      <c r="EI154" s="148"/>
      <c r="EJ154" s="148"/>
      <c r="EK154" s="148"/>
      <c r="EL154" s="148"/>
      <c r="EM154" s="148"/>
      <c r="EN154" s="148"/>
      <c r="EO154" s="148"/>
      <c r="EP154" s="148"/>
      <c r="EQ154" s="148"/>
      <c r="ER154" s="148"/>
      <c r="ES154" s="148"/>
      <c r="ET154" s="148"/>
      <c r="EU154" s="148"/>
      <c r="EV154" s="148"/>
      <c r="EW154" s="148"/>
      <c r="EX154" s="148"/>
      <c r="EY154" s="148"/>
      <c r="EZ154" s="148"/>
      <c r="FA154" s="148"/>
      <c r="FB154" s="148"/>
      <c r="FC154" s="148"/>
      <c r="FD154" s="148"/>
      <c r="FE154" s="148"/>
      <c r="FF154" s="148"/>
      <c r="FG154" s="148"/>
      <c r="FH154" s="148"/>
      <c r="FI154" s="148"/>
      <c r="FJ154" s="148"/>
      <c r="FK154" s="148"/>
      <c r="FL154" s="148"/>
      <c r="FM154" s="148"/>
      <c r="FN154" s="148"/>
      <c r="FO154" s="148"/>
      <c r="FP154" s="148"/>
      <c r="FQ154" s="148"/>
      <c r="FR154" s="148"/>
      <c r="FS154" s="148"/>
      <c r="FT154" s="148"/>
      <c r="FU154" s="148"/>
      <c r="FV154" s="148"/>
      <c r="FW154" s="148"/>
      <c r="FX154" s="148"/>
      <c r="FY154" s="148"/>
      <c r="FZ154" s="148"/>
      <c r="GA154" s="148"/>
      <c r="GB154" s="148"/>
      <c r="GC154" s="148"/>
      <c r="GD154" s="148"/>
      <c r="GE154" s="148"/>
      <c r="GF154" s="148"/>
      <c r="GG154" s="148"/>
      <c r="GH154" s="148"/>
      <c r="GI154" s="148"/>
      <c r="GJ154" s="148"/>
      <c r="GK154" s="148"/>
      <c r="GL154" s="148"/>
      <c r="GM154" s="148"/>
      <c r="GN154" s="148"/>
      <c r="GO154" s="148"/>
      <c r="GP154" s="148"/>
      <c r="GQ154" s="148"/>
      <c r="GR154" s="148"/>
      <c r="GS154" s="148"/>
      <c r="GT154" s="148"/>
      <c r="GU154" s="148"/>
      <c r="GV154" s="148"/>
      <c r="GW154" s="148"/>
      <c r="GX154" s="148"/>
      <c r="GY154" s="148"/>
      <c r="GZ154" s="148"/>
      <c r="HA154" s="148"/>
      <c r="HB154" s="148"/>
      <c r="HC154" s="148"/>
      <c r="HD154" s="148"/>
      <c r="HE154" s="148"/>
      <c r="HF154" s="148"/>
      <c r="HG154" s="148"/>
      <c r="HH154" s="148"/>
      <c r="HI154" s="148"/>
      <c r="HJ154" s="148"/>
      <c r="HK154" s="148"/>
      <c r="HL154" s="148"/>
      <c r="HM154" s="148"/>
      <c r="HN154" s="148"/>
      <c r="HO154" s="148"/>
      <c r="HP154" s="148"/>
      <c r="HQ154" s="148"/>
      <c r="HR154" s="148"/>
      <c r="HS154" s="148"/>
      <c r="HT154" s="148"/>
      <c r="HU154" s="148"/>
      <c r="HV154" s="148"/>
      <c r="HW154" s="148"/>
      <c r="HX154" s="148"/>
      <c r="HY154" s="148"/>
      <c r="HZ154" s="148"/>
      <c r="IA154" s="148"/>
      <c r="IB154" s="148"/>
      <c r="IC154" s="148"/>
      <c r="ID154" s="148"/>
      <c r="IE154" s="148"/>
      <c r="IF154" s="148"/>
      <c r="IG154" s="148"/>
      <c r="IH154" s="148"/>
      <c r="II154" s="148"/>
      <c r="IJ154" s="148"/>
      <c r="IK154" s="148"/>
      <c r="IL154" s="148"/>
      <c r="IM154" s="148"/>
      <c r="IN154" s="148"/>
      <c r="IO154" s="148"/>
      <c r="IP154" s="148"/>
      <c r="IQ154" s="148"/>
      <c r="IR154" s="148"/>
      <c r="IS154" s="148"/>
      <c r="IT154" s="148"/>
      <c r="IU154" s="148"/>
      <c r="IV154" s="148"/>
      <c r="IW154" s="148"/>
      <c r="IX154" s="148"/>
      <c r="IY154" s="148"/>
      <c r="IZ154" s="148"/>
      <c r="JA154" s="148"/>
      <c r="JB154" s="148"/>
    </row>
    <row r="155" spans="1:262" x14ac:dyDescent="0.35">
      <c r="A155" s="1423">
        <v>141</v>
      </c>
      <c r="B155" s="1589"/>
      <c r="C155" s="1558"/>
      <c r="D155" s="1163" t="s">
        <v>1116</v>
      </c>
      <c r="E155" s="1560"/>
      <c r="F155" s="1561"/>
      <c r="G155" s="1562"/>
      <c r="H155" s="1563"/>
      <c r="I155" s="1580"/>
      <c r="J155" s="1574"/>
      <c r="K155" s="1574"/>
      <c r="L155" s="1574"/>
      <c r="M155" s="1575">
        <f>SUM(M153:M154)</f>
        <v>0</v>
      </c>
      <c r="N155" s="1574"/>
      <c r="O155" s="1574"/>
      <c r="P155" s="1576">
        <f t="shared" si="17"/>
        <v>0</v>
      </c>
      <c r="Q155" s="1567"/>
    </row>
    <row r="156" spans="1:262" x14ac:dyDescent="0.35">
      <c r="A156" s="1423">
        <v>142</v>
      </c>
      <c r="B156" s="1557"/>
      <c r="C156" s="1558"/>
      <c r="D156" s="150" t="s">
        <v>720</v>
      </c>
      <c r="E156" s="1560"/>
      <c r="F156" s="1561"/>
      <c r="G156" s="1562"/>
      <c r="H156" s="1563"/>
      <c r="I156" s="1580"/>
      <c r="J156" s="1574"/>
      <c r="K156" s="1574"/>
      <c r="L156" s="1574"/>
      <c r="M156" s="1565"/>
      <c r="N156" s="1574"/>
      <c r="O156" s="1574"/>
      <c r="P156" s="1576"/>
      <c r="Q156" s="1567"/>
    </row>
    <row r="157" spans="1:262" x14ac:dyDescent="0.35">
      <c r="A157" s="1423">
        <v>143</v>
      </c>
      <c r="B157" s="1589"/>
      <c r="C157" s="1558"/>
      <c r="D157" s="1585" t="s">
        <v>311</v>
      </c>
      <c r="E157" s="1560"/>
      <c r="F157" s="1561"/>
      <c r="G157" s="1562"/>
      <c r="H157" s="1563"/>
      <c r="I157" s="1580"/>
      <c r="J157" s="1574"/>
      <c r="K157" s="1574"/>
      <c r="L157" s="1574"/>
      <c r="M157" s="1572">
        <v>10000</v>
      </c>
      <c r="N157" s="1574"/>
      <c r="O157" s="1574"/>
      <c r="P157" s="1566">
        <f>SUM(I157:O157)</f>
        <v>10000</v>
      </c>
      <c r="Q157" s="1567"/>
    </row>
    <row r="158" spans="1:262" x14ac:dyDescent="0.35">
      <c r="A158" s="1423">
        <v>144</v>
      </c>
      <c r="B158" s="1589"/>
      <c r="C158" s="1558"/>
      <c r="D158" s="1163" t="s">
        <v>1064</v>
      </c>
      <c r="E158" s="1560"/>
      <c r="F158" s="1561"/>
      <c r="G158" s="1562"/>
      <c r="H158" s="1563"/>
      <c r="I158" s="1580"/>
      <c r="J158" s="1574"/>
      <c r="K158" s="1574"/>
      <c r="L158" s="1574"/>
      <c r="M158" s="1575">
        <v>0</v>
      </c>
      <c r="N158" s="1575"/>
      <c r="O158" s="1575"/>
      <c r="P158" s="1576">
        <f>SUM(I158:O158)</f>
        <v>0</v>
      </c>
      <c r="Q158" s="1567"/>
    </row>
    <row r="159" spans="1:262" s="272" customFormat="1" x14ac:dyDescent="0.35">
      <c r="A159" s="1423">
        <v>145</v>
      </c>
      <c r="B159" s="1589"/>
      <c r="C159" s="1558"/>
      <c r="D159" s="1174" t="s">
        <v>999</v>
      </c>
      <c r="E159" s="1560"/>
      <c r="F159" s="1561"/>
      <c r="G159" s="1562"/>
      <c r="H159" s="1563"/>
      <c r="I159" s="1580"/>
      <c r="J159" s="1574"/>
      <c r="K159" s="1574"/>
      <c r="L159" s="1574"/>
      <c r="M159" s="1574"/>
      <c r="N159" s="1574"/>
      <c r="O159" s="1574"/>
      <c r="P159" s="1576">
        <f t="shared" ref="P159:P160" si="18">SUM(I159:O159)</f>
        <v>0</v>
      </c>
      <c r="Q159" s="1567"/>
      <c r="R159" s="148"/>
      <c r="S159" s="148"/>
      <c r="T159" s="148"/>
      <c r="U159" s="148"/>
      <c r="V159" s="148"/>
      <c r="W159" s="148"/>
      <c r="X159" s="148"/>
      <c r="Y159" s="148"/>
      <c r="Z159" s="148"/>
      <c r="AA159" s="148"/>
      <c r="AB159" s="148"/>
      <c r="AC159" s="148"/>
      <c r="AD159" s="148"/>
      <c r="AE159" s="148"/>
      <c r="AF159" s="148"/>
      <c r="AG159" s="148"/>
      <c r="AH159" s="148"/>
      <c r="AI159" s="148"/>
      <c r="AJ159" s="148"/>
      <c r="AK159" s="148"/>
      <c r="AL159" s="148"/>
      <c r="AM159" s="148"/>
      <c r="AN159" s="148"/>
      <c r="AO159" s="148"/>
      <c r="AP159" s="148"/>
      <c r="AQ159" s="148"/>
      <c r="AR159" s="148"/>
      <c r="AS159" s="148"/>
      <c r="AT159" s="148"/>
      <c r="AU159" s="148"/>
      <c r="AV159" s="148"/>
      <c r="AW159" s="148"/>
      <c r="AX159" s="148"/>
      <c r="AY159" s="148"/>
      <c r="AZ159" s="148"/>
      <c r="BA159" s="148"/>
      <c r="BB159" s="148"/>
      <c r="BC159" s="148"/>
      <c r="BD159" s="148"/>
      <c r="BE159" s="148"/>
      <c r="BF159" s="148"/>
      <c r="BG159" s="148"/>
      <c r="BH159" s="148"/>
      <c r="BI159" s="148"/>
      <c r="BJ159" s="148"/>
      <c r="BK159" s="148"/>
      <c r="BL159" s="148"/>
      <c r="BM159" s="148"/>
      <c r="BN159" s="148"/>
      <c r="BO159" s="148"/>
      <c r="BP159" s="148"/>
      <c r="BQ159" s="148"/>
      <c r="BR159" s="148"/>
      <c r="BS159" s="148"/>
      <c r="BT159" s="148"/>
      <c r="BU159" s="148"/>
      <c r="BV159" s="148"/>
      <c r="BW159" s="148"/>
      <c r="BX159" s="148"/>
      <c r="BY159" s="148"/>
      <c r="BZ159" s="148"/>
      <c r="CA159" s="148"/>
      <c r="CB159" s="148"/>
      <c r="CC159" s="148"/>
      <c r="CD159" s="148"/>
      <c r="CE159" s="148"/>
      <c r="CF159" s="148"/>
      <c r="CG159" s="148"/>
      <c r="CH159" s="148"/>
      <c r="CI159" s="148"/>
      <c r="CJ159" s="148"/>
      <c r="CK159" s="148"/>
      <c r="CL159" s="148"/>
      <c r="CM159" s="148"/>
      <c r="CN159" s="148"/>
      <c r="CO159" s="148"/>
      <c r="CP159" s="148"/>
      <c r="CQ159" s="148"/>
      <c r="CR159" s="148"/>
      <c r="CS159" s="148"/>
      <c r="CT159" s="148"/>
      <c r="CU159" s="148"/>
      <c r="CV159" s="148"/>
      <c r="CW159" s="148"/>
      <c r="CX159" s="148"/>
      <c r="CY159" s="148"/>
      <c r="CZ159" s="148"/>
      <c r="DA159" s="148"/>
      <c r="DB159" s="148"/>
      <c r="DC159" s="148"/>
      <c r="DD159" s="148"/>
      <c r="DE159" s="148"/>
      <c r="DF159" s="148"/>
      <c r="DG159" s="148"/>
      <c r="DH159" s="148"/>
      <c r="DI159" s="148"/>
      <c r="DJ159" s="148"/>
      <c r="DK159" s="148"/>
      <c r="DL159" s="148"/>
      <c r="DM159" s="148"/>
      <c r="DN159" s="148"/>
      <c r="DO159" s="148"/>
      <c r="DP159" s="148"/>
      <c r="DQ159" s="148"/>
      <c r="DR159" s="148"/>
      <c r="DS159" s="148"/>
      <c r="DT159" s="148"/>
      <c r="DU159" s="148"/>
      <c r="DV159" s="148"/>
      <c r="DW159" s="148"/>
      <c r="DX159" s="148"/>
      <c r="DY159" s="148"/>
      <c r="DZ159" s="148"/>
      <c r="EA159" s="148"/>
      <c r="EB159" s="148"/>
      <c r="EC159" s="148"/>
      <c r="ED159" s="148"/>
      <c r="EE159" s="148"/>
      <c r="EF159" s="148"/>
      <c r="EG159" s="148"/>
      <c r="EH159" s="148"/>
      <c r="EI159" s="148"/>
      <c r="EJ159" s="148"/>
      <c r="EK159" s="148"/>
      <c r="EL159" s="148"/>
      <c r="EM159" s="148"/>
      <c r="EN159" s="148"/>
      <c r="EO159" s="148"/>
      <c r="EP159" s="148"/>
      <c r="EQ159" s="148"/>
      <c r="ER159" s="148"/>
      <c r="ES159" s="148"/>
      <c r="ET159" s="148"/>
      <c r="EU159" s="148"/>
      <c r="EV159" s="148"/>
      <c r="EW159" s="148"/>
      <c r="EX159" s="148"/>
      <c r="EY159" s="148"/>
      <c r="EZ159" s="148"/>
      <c r="FA159" s="148"/>
      <c r="FB159" s="148"/>
      <c r="FC159" s="148"/>
      <c r="FD159" s="148"/>
      <c r="FE159" s="148"/>
      <c r="FF159" s="148"/>
      <c r="FG159" s="148"/>
      <c r="FH159" s="148"/>
      <c r="FI159" s="148"/>
      <c r="FJ159" s="148"/>
      <c r="FK159" s="148"/>
      <c r="FL159" s="148"/>
      <c r="FM159" s="148"/>
      <c r="FN159" s="148"/>
      <c r="FO159" s="148"/>
      <c r="FP159" s="148"/>
      <c r="FQ159" s="148"/>
      <c r="FR159" s="148"/>
      <c r="FS159" s="148"/>
      <c r="FT159" s="148"/>
      <c r="FU159" s="148"/>
      <c r="FV159" s="148"/>
      <c r="FW159" s="148"/>
      <c r="FX159" s="148"/>
      <c r="FY159" s="148"/>
      <c r="FZ159" s="148"/>
      <c r="GA159" s="148"/>
      <c r="GB159" s="148"/>
      <c r="GC159" s="148"/>
      <c r="GD159" s="148"/>
      <c r="GE159" s="148"/>
      <c r="GF159" s="148"/>
      <c r="GG159" s="148"/>
      <c r="GH159" s="148"/>
      <c r="GI159" s="148"/>
      <c r="GJ159" s="148"/>
      <c r="GK159" s="148"/>
      <c r="GL159" s="148"/>
      <c r="GM159" s="148"/>
      <c r="GN159" s="148"/>
      <c r="GO159" s="148"/>
      <c r="GP159" s="148"/>
      <c r="GQ159" s="148"/>
      <c r="GR159" s="148"/>
      <c r="GS159" s="148"/>
      <c r="GT159" s="148"/>
      <c r="GU159" s="148"/>
      <c r="GV159" s="148"/>
      <c r="GW159" s="148"/>
      <c r="GX159" s="148"/>
      <c r="GY159" s="148"/>
      <c r="GZ159" s="148"/>
      <c r="HA159" s="148"/>
      <c r="HB159" s="148"/>
      <c r="HC159" s="148"/>
      <c r="HD159" s="148"/>
      <c r="HE159" s="148"/>
      <c r="HF159" s="148"/>
      <c r="HG159" s="148"/>
      <c r="HH159" s="148"/>
      <c r="HI159" s="148"/>
      <c r="HJ159" s="148"/>
      <c r="HK159" s="148"/>
      <c r="HL159" s="148"/>
      <c r="HM159" s="148"/>
      <c r="HN159" s="148"/>
      <c r="HO159" s="148"/>
      <c r="HP159" s="148"/>
      <c r="HQ159" s="148"/>
      <c r="HR159" s="148"/>
      <c r="HS159" s="148"/>
      <c r="HT159" s="148"/>
      <c r="HU159" s="148"/>
      <c r="HV159" s="148"/>
      <c r="HW159" s="148"/>
      <c r="HX159" s="148"/>
      <c r="HY159" s="148"/>
      <c r="HZ159" s="148"/>
      <c r="IA159" s="148"/>
      <c r="IB159" s="148"/>
      <c r="IC159" s="148"/>
      <c r="ID159" s="148"/>
      <c r="IE159" s="148"/>
      <c r="IF159" s="148"/>
      <c r="IG159" s="148"/>
      <c r="IH159" s="148"/>
      <c r="II159" s="148"/>
      <c r="IJ159" s="148"/>
      <c r="IK159" s="148"/>
      <c r="IL159" s="148"/>
      <c r="IM159" s="148"/>
      <c r="IN159" s="148"/>
      <c r="IO159" s="148"/>
      <c r="IP159" s="148"/>
      <c r="IQ159" s="148"/>
      <c r="IR159" s="148"/>
      <c r="IS159" s="148"/>
      <c r="IT159" s="148"/>
      <c r="IU159" s="148"/>
      <c r="IV159" s="148"/>
      <c r="IW159" s="148"/>
      <c r="IX159" s="148"/>
      <c r="IY159" s="148"/>
      <c r="IZ159" s="148"/>
      <c r="JA159" s="148"/>
      <c r="JB159" s="148"/>
    </row>
    <row r="160" spans="1:262" x14ac:dyDescent="0.35">
      <c r="A160" s="1423">
        <v>146</v>
      </c>
      <c r="B160" s="1589"/>
      <c r="C160" s="1558"/>
      <c r="D160" s="1163" t="s">
        <v>1116</v>
      </c>
      <c r="E160" s="1560"/>
      <c r="F160" s="1561"/>
      <c r="G160" s="1562"/>
      <c r="H160" s="1563"/>
      <c r="I160" s="1580"/>
      <c r="J160" s="1574"/>
      <c r="K160" s="1574"/>
      <c r="L160" s="1574"/>
      <c r="M160" s="1575">
        <f>SUM(M158:M159)</f>
        <v>0</v>
      </c>
      <c r="N160" s="1574"/>
      <c r="O160" s="1574"/>
      <c r="P160" s="1576">
        <f t="shared" si="18"/>
        <v>0</v>
      </c>
      <c r="Q160" s="1567"/>
    </row>
    <row r="161" spans="1:262" x14ac:dyDescent="0.35">
      <c r="A161" s="1423">
        <v>147</v>
      </c>
      <c r="B161" s="1557"/>
      <c r="C161" s="1558"/>
      <c r="D161" s="150" t="s">
        <v>721</v>
      </c>
      <c r="E161" s="1560"/>
      <c r="F161" s="1561"/>
      <c r="G161" s="1562"/>
      <c r="H161" s="1563"/>
      <c r="I161" s="1580"/>
      <c r="J161" s="1574"/>
      <c r="K161" s="1574"/>
      <c r="L161" s="1574"/>
      <c r="M161" s="1565"/>
      <c r="N161" s="1574"/>
      <c r="O161" s="1574"/>
      <c r="P161" s="1576"/>
      <c r="Q161" s="1567"/>
    </row>
    <row r="162" spans="1:262" x14ac:dyDescent="0.35">
      <c r="A162" s="1423">
        <v>148</v>
      </c>
      <c r="B162" s="1589"/>
      <c r="C162" s="1558"/>
      <c r="D162" s="1585" t="s">
        <v>311</v>
      </c>
      <c r="E162" s="1560"/>
      <c r="F162" s="1561"/>
      <c r="G162" s="1562"/>
      <c r="H162" s="1563"/>
      <c r="I162" s="1580"/>
      <c r="J162" s="1574"/>
      <c r="K162" s="1574"/>
      <c r="L162" s="1574"/>
      <c r="M162" s="1572">
        <v>10000</v>
      </c>
      <c r="N162" s="1574"/>
      <c r="O162" s="1574"/>
      <c r="P162" s="1566">
        <f>SUM(I162:O162)</f>
        <v>10000</v>
      </c>
      <c r="Q162" s="1567"/>
    </row>
    <row r="163" spans="1:262" x14ac:dyDescent="0.35">
      <c r="A163" s="1423">
        <v>149</v>
      </c>
      <c r="B163" s="1589"/>
      <c r="C163" s="1558"/>
      <c r="D163" s="1163" t="s">
        <v>1064</v>
      </c>
      <c r="E163" s="1560"/>
      <c r="F163" s="1561"/>
      <c r="G163" s="1562"/>
      <c r="H163" s="1563"/>
      <c r="I163" s="1580"/>
      <c r="J163" s="1574"/>
      <c r="K163" s="1574"/>
      <c r="L163" s="1574"/>
      <c r="M163" s="1575">
        <v>0</v>
      </c>
      <c r="N163" s="1574"/>
      <c r="O163" s="1574"/>
      <c r="P163" s="1576">
        <f>SUM(I163:O163)</f>
        <v>0</v>
      </c>
      <c r="Q163" s="1567"/>
    </row>
    <row r="164" spans="1:262" x14ac:dyDescent="0.35">
      <c r="A164" s="1423">
        <v>150</v>
      </c>
      <c r="B164" s="1589"/>
      <c r="C164" s="1558"/>
      <c r="D164" s="1174" t="s">
        <v>999</v>
      </c>
      <c r="E164" s="1560"/>
      <c r="F164" s="1561"/>
      <c r="G164" s="1562"/>
      <c r="H164" s="1563"/>
      <c r="I164" s="1580"/>
      <c r="J164" s="1574"/>
      <c r="K164" s="1574"/>
      <c r="L164" s="1574"/>
      <c r="M164" s="1574"/>
      <c r="N164" s="1574"/>
      <c r="O164" s="1574"/>
      <c r="P164" s="1576">
        <f t="shared" ref="P164:P165" si="19">SUM(I164:O164)</f>
        <v>0</v>
      </c>
      <c r="Q164" s="1567"/>
    </row>
    <row r="165" spans="1:262" x14ac:dyDescent="0.35">
      <c r="A165" s="1423">
        <v>151</v>
      </c>
      <c r="B165" s="1589"/>
      <c r="C165" s="1558"/>
      <c r="D165" s="1163" t="s">
        <v>1116</v>
      </c>
      <c r="E165" s="1560"/>
      <c r="F165" s="1561"/>
      <c r="G165" s="1562"/>
      <c r="H165" s="1563"/>
      <c r="I165" s="1580"/>
      <c r="J165" s="1574"/>
      <c r="K165" s="1574"/>
      <c r="L165" s="1574"/>
      <c r="M165" s="1575">
        <f>SUM(M163:M164)</f>
        <v>0</v>
      </c>
      <c r="N165" s="1574"/>
      <c r="O165" s="1574"/>
      <c r="P165" s="1576">
        <f t="shared" si="19"/>
        <v>0</v>
      </c>
      <c r="Q165" s="1567"/>
    </row>
    <row r="166" spans="1:262" x14ac:dyDescent="0.35">
      <c r="A166" s="1423">
        <v>152</v>
      </c>
      <c r="B166" s="1557"/>
      <c r="C166" s="1558"/>
      <c r="D166" s="150" t="s">
        <v>790</v>
      </c>
      <c r="E166" s="1560"/>
      <c r="F166" s="1561"/>
      <c r="G166" s="1562"/>
      <c r="H166" s="1563"/>
      <c r="I166" s="1580"/>
      <c r="J166" s="1574"/>
      <c r="K166" s="1574"/>
      <c r="L166" s="1574"/>
      <c r="M166" s="1574"/>
      <c r="N166" s="1574"/>
      <c r="O166" s="1574"/>
      <c r="P166" s="1576"/>
      <c r="Q166" s="1567"/>
    </row>
    <row r="167" spans="1:262" x14ac:dyDescent="0.35">
      <c r="A167" s="1423">
        <v>153</v>
      </c>
      <c r="B167" s="1589"/>
      <c r="C167" s="1558"/>
      <c r="D167" s="1585" t="s">
        <v>311</v>
      </c>
      <c r="E167" s="1560"/>
      <c r="F167" s="1561"/>
      <c r="G167" s="1562"/>
      <c r="H167" s="1563"/>
      <c r="I167" s="1580"/>
      <c r="J167" s="1574"/>
      <c r="K167" s="1574"/>
      <c r="L167" s="1574"/>
      <c r="M167" s="1572">
        <f>1896745-152400+108305+20250+6804+78300+10000</f>
        <v>1968004</v>
      </c>
      <c r="N167" s="1574"/>
      <c r="O167" s="1574"/>
      <c r="P167" s="1566">
        <f>SUM(I167:O167)</f>
        <v>1968004</v>
      </c>
      <c r="Q167" s="1567"/>
    </row>
    <row r="168" spans="1:262" x14ac:dyDescent="0.35">
      <c r="A168" s="1423">
        <v>154</v>
      </c>
      <c r="B168" s="1589"/>
      <c r="C168" s="1558"/>
      <c r="D168" s="1163" t="s">
        <v>1064</v>
      </c>
      <c r="E168" s="1560"/>
      <c r="F168" s="1561"/>
      <c r="G168" s="1562"/>
      <c r="H168" s="1563"/>
      <c r="I168" s="1580"/>
      <c r="J168" s="1574"/>
      <c r="K168" s="1574"/>
      <c r="L168" s="1574"/>
      <c r="M168" s="1575">
        <v>0</v>
      </c>
      <c r="N168" s="1574"/>
      <c r="O168" s="1574"/>
      <c r="P168" s="1576">
        <f>SUM(I168:O168)</f>
        <v>0</v>
      </c>
      <c r="Q168" s="1567"/>
    </row>
    <row r="169" spans="1:262" s="272" customFormat="1" x14ac:dyDescent="0.35">
      <c r="A169" s="1423">
        <v>155</v>
      </c>
      <c r="B169" s="1589"/>
      <c r="C169" s="1558"/>
      <c r="D169" s="1174" t="s">
        <v>999</v>
      </c>
      <c r="E169" s="1560"/>
      <c r="F169" s="1561"/>
      <c r="G169" s="1562"/>
      <c r="H169" s="1563"/>
      <c r="I169" s="1580"/>
      <c r="J169" s="1574"/>
      <c r="K169" s="1574"/>
      <c r="L169" s="1574"/>
      <c r="M169" s="1574"/>
      <c r="N169" s="1574"/>
      <c r="O169" s="1574"/>
      <c r="P169" s="1576">
        <f t="shared" ref="P169:P170" si="20">SUM(I169:O169)</f>
        <v>0</v>
      </c>
      <c r="Q169" s="1567"/>
      <c r="R169" s="148"/>
      <c r="S169" s="148"/>
      <c r="T169" s="148"/>
      <c r="U169" s="148"/>
      <c r="V169" s="148"/>
      <c r="W169" s="148"/>
      <c r="X169" s="148"/>
      <c r="Y169" s="148"/>
      <c r="Z169" s="148"/>
      <c r="AA169" s="148"/>
      <c r="AB169" s="148"/>
      <c r="AC169" s="148"/>
      <c r="AD169" s="148"/>
      <c r="AE169" s="148"/>
      <c r="AF169" s="148"/>
      <c r="AG169" s="148"/>
      <c r="AH169" s="148"/>
      <c r="AI169" s="148"/>
      <c r="AJ169" s="148"/>
      <c r="AK169" s="148"/>
      <c r="AL169" s="148"/>
      <c r="AM169" s="148"/>
      <c r="AN169" s="148"/>
      <c r="AO169" s="148"/>
      <c r="AP169" s="148"/>
      <c r="AQ169" s="148"/>
      <c r="AR169" s="148"/>
      <c r="AS169" s="148"/>
      <c r="AT169" s="148"/>
      <c r="AU169" s="148"/>
      <c r="AV169" s="148"/>
      <c r="AW169" s="148"/>
      <c r="AX169" s="148"/>
      <c r="AY169" s="148"/>
      <c r="AZ169" s="148"/>
      <c r="BA169" s="148"/>
      <c r="BB169" s="148"/>
      <c r="BC169" s="148"/>
      <c r="BD169" s="148"/>
      <c r="BE169" s="148"/>
      <c r="BF169" s="148"/>
      <c r="BG169" s="148"/>
      <c r="BH169" s="148"/>
      <c r="BI169" s="148"/>
      <c r="BJ169" s="148"/>
      <c r="BK169" s="148"/>
      <c r="BL169" s="148"/>
      <c r="BM169" s="148"/>
      <c r="BN169" s="148"/>
      <c r="BO169" s="148"/>
      <c r="BP169" s="148"/>
      <c r="BQ169" s="148"/>
      <c r="BR169" s="148"/>
      <c r="BS169" s="148"/>
      <c r="BT169" s="148"/>
      <c r="BU169" s="148"/>
      <c r="BV169" s="148"/>
      <c r="BW169" s="148"/>
      <c r="BX169" s="148"/>
      <c r="BY169" s="148"/>
      <c r="BZ169" s="148"/>
      <c r="CA169" s="148"/>
      <c r="CB169" s="148"/>
      <c r="CC169" s="148"/>
      <c r="CD169" s="148"/>
      <c r="CE169" s="148"/>
      <c r="CF169" s="148"/>
      <c r="CG169" s="148"/>
      <c r="CH169" s="148"/>
      <c r="CI169" s="148"/>
      <c r="CJ169" s="148"/>
      <c r="CK169" s="148"/>
      <c r="CL169" s="148"/>
      <c r="CM169" s="148"/>
      <c r="CN169" s="148"/>
      <c r="CO169" s="148"/>
      <c r="CP169" s="148"/>
      <c r="CQ169" s="148"/>
      <c r="CR169" s="148"/>
      <c r="CS169" s="148"/>
      <c r="CT169" s="148"/>
      <c r="CU169" s="148"/>
      <c r="CV169" s="148"/>
      <c r="CW169" s="148"/>
      <c r="CX169" s="148"/>
      <c r="CY169" s="148"/>
      <c r="CZ169" s="148"/>
      <c r="DA169" s="148"/>
      <c r="DB169" s="148"/>
      <c r="DC169" s="148"/>
      <c r="DD169" s="148"/>
      <c r="DE169" s="148"/>
      <c r="DF169" s="148"/>
      <c r="DG169" s="148"/>
      <c r="DH169" s="148"/>
      <c r="DI169" s="148"/>
      <c r="DJ169" s="148"/>
      <c r="DK169" s="148"/>
      <c r="DL169" s="148"/>
      <c r="DM169" s="148"/>
      <c r="DN169" s="148"/>
      <c r="DO169" s="148"/>
      <c r="DP169" s="148"/>
      <c r="DQ169" s="148"/>
      <c r="DR169" s="148"/>
      <c r="DS169" s="148"/>
      <c r="DT169" s="148"/>
      <c r="DU169" s="148"/>
      <c r="DV169" s="148"/>
      <c r="DW169" s="148"/>
      <c r="DX169" s="148"/>
      <c r="DY169" s="148"/>
      <c r="DZ169" s="148"/>
      <c r="EA169" s="148"/>
      <c r="EB169" s="148"/>
      <c r="EC169" s="148"/>
      <c r="ED169" s="148"/>
      <c r="EE169" s="148"/>
      <c r="EF169" s="148"/>
      <c r="EG169" s="148"/>
      <c r="EH169" s="148"/>
      <c r="EI169" s="148"/>
      <c r="EJ169" s="148"/>
      <c r="EK169" s="148"/>
      <c r="EL169" s="148"/>
      <c r="EM169" s="148"/>
      <c r="EN169" s="148"/>
      <c r="EO169" s="148"/>
      <c r="EP169" s="148"/>
      <c r="EQ169" s="148"/>
      <c r="ER169" s="148"/>
      <c r="ES169" s="148"/>
      <c r="ET169" s="148"/>
      <c r="EU169" s="148"/>
      <c r="EV169" s="148"/>
      <c r="EW169" s="148"/>
      <c r="EX169" s="148"/>
      <c r="EY169" s="148"/>
      <c r="EZ169" s="148"/>
      <c r="FA169" s="148"/>
      <c r="FB169" s="148"/>
      <c r="FC169" s="148"/>
      <c r="FD169" s="148"/>
      <c r="FE169" s="148"/>
      <c r="FF169" s="148"/>
      <c r="FG169" s="148"/>
      <c r="FH169" s="148"/>
      <c r="FI169" s="148"/>
      <c r="FJ169" s="148"/>
      <c r="FK169" s="148"/>
      <c r="FL169" s="148"/>
      <c r="FM169" s="148"/>
      <c r="FN169" s="148"/>
      <c r="FO169" s="148"/>
      <c r="FP169" s="148"/>
      <c r="FQ169" s="148"/>
      <c r="FR169" s="148"/>
      <c r="FS169" s="148"/>
      <c r="FT169" s="148"/>
      <c r="FU169" s="148"/>
      <c r="FV169" s="148"/>
      <c r="FW169" s="148"/>
      <c r="FX169" s="148"/>
      <c r="FY169" s="148"/>
      <c r="FZ169" s="148"/>
      <c r="GA169" s="148"/>
      <c r="GB169" s="148"/>
      <c r="GC169" s="148"/>
      <c r="GD169" s="148"/>
      <c r="GE169" s="148"/>
      <c r="GF169" s="148"/>
      <c r="GG169" s="148"/>
      <c r="GH169" s="148"/>
      <c r="GI169" s="148"/>
      <c r="GJ169" s="148"/>
      <c r="GK169" s="148"/>
      <c r="GL169" s="148"/>
      <c r="GM169" s="148"/>
      <c r="GN169" s="148"/>
      <c r="GO169" s="148"/>
      <c r="GP169" s="148"/>
      <c r="GQ169" s="148"/>
      <c r="GR169" s="148"/>
      <c r="GS169" s="148"/>
      <c r="GT169" s="148"/>
      <c r="GU169" s="148"/>
      <c r="GV169" s="148"/>
      <c r="GW169" s="148"/>
      <c r="GX169" s="148"/>
      <c r="GY169" s="148"/>
      <c r="GZ169" s="148"/>
      <c r="HA169" s="148"/>
      <c r="HB169" s="148"/>
      <c r="HC169" s="148"/>
      <c r="HD169" s="148"/>
      <c r="HE169" s="148"/>
      <c r="HF169" s="148"/>
      <c r="HG169" s="148"/>
      <c r="HH169" s="148"/>
      <c r="HI169" s="148"/>
      <c r="HJ169" s="148"/>
      <c r="HK169" s="148"/>
      <c r="HL169" s="148"/>
      <c r="HM169" s="148"/>
      <c r="HN169" s="148"/>
      <c r="HO169" s="148"/>
      <c r="HP169" s="148"/>
      <c r="HQ169" s="148"/>
      <c r="HR169" s="148"/>
      <c r="HS169" s="148"/>
      <c r="HT169" s="148"/>
      <c r="HU169" s="148"/>
      <c r="HV169" s="148"/>
      <c r="HW169" s="148"/>
      <c r="HX169" s="148"/>
      <c r="HY169" s="148"/>
      <c r="HZ169" s="148"/>
      <c r="IA169" s="148"/>
      <c r="IB169" s="148"/>
      <c r="IC169" s="148"/>
      <c r="ID169" s="148"/>
      <c r="IE169" s="148"/>
      <c r="IF169" s="148"/>
      <c r="IG169" s="148"/>
      <c r="IH169" s="148"/>
      <c r="II169" s="148"/>
      <c r="IJ169" s="148"/>
      <c r="IK169" s="148"/>
      <c r="IL169" s="148"/>
      <c r="IM169" s="148"/>
      <c r="IN169" s="148"/>
      <c r="IO169" s="148"/>
      <c r="IP169" s="148"/>
      <c r="IQ169" s="148"/>
      <c r="IR169" s="148"/>
      <c r="IS169" s="148"/>
      <c r="IT169" s="148"/>
      <c r="IU169" s="148"/>
      <c r="IV169" s="148"/>
      <c r="IW169" s="148"/>
      <c r="IX169" s="148"/>
      <c r="IY169" s="148"/>
      <c r="IZ169" s="148"/>
      <c r="JA169" s="148"/>
      <c r="JB169" s="148"/>
    </row>
    <row r="170" spans="1:262" s="272" customFormat="1" x14ac:dyDescent="0.35">
      <c r="A170" s="1423">
        <v>156</v>
      </c>
      <c r="B170" s="1589"/>
      <c r="C170" s="1558"/>
      <c r="D170" s="1163" t="s">
        <v>1116</v>
      </c>
      <c r="E170" s="1560"/>
      <c r="F170" s="1561"/>
      <c r="G170" s="1562"/>
      <c r="H170" s="1563"/>
      <c r="I170" s="1580"/>
      <c r="J170" s="1574"/>
      <c r="K170" s="1574"/>
      <c r="L170" s="1574"/>
      <c r="M170" s="1575">
        <f>SUM(M168:M169)</f>
        <v>0</v>
      </c>
      <c r="N170" s="1574"/>
      <c r="O170" s="1574"/>
      <c r="P170" s="1576">
        <f t="shared" si="20"/>
        <v>0</v>
      </c>
      <c r="Q170" s="1567"/>
      <c r="R170" s="148"/>
      <c r="S170" s="148"/>
      <c r="T170" s="148"/>
      <c r="U170" s="148"/>
      <c r="V170" s="148"/>
      <c r="W170" s="148"/>
      <c r="X170" s="148"/>
      <c r="Y170" s="148"/>
      <c r="Z170" s="148"/>
      <c r="AA170" s="148"/>
      <c r="AB170" s="148"/>
      <c r="AC170" s="148"/>
      <c r="AD170" s="148"/>
      <c r="AE170" s="148"/>
      <c r="AF170" s="148"/>
      <c r="AG170" s="148"/>
      <c r="AH170" s="148"/>
      <c r="AI170" s="148"/>
      <c r="AJ170" s="148"/>
      <c r="AK170" s="148"/>
      <c r="AL170" s="148"/>
      <c r="AM170" s="148"/>
      <c r="AN170" s="148"/>
      <c r="AO170" s="148"/>
      <c r="AP170" s="148"/>
      <c r="AQ170" s="148"/>
      <c r="AR170" s="148"/>
      <c r="AS170" s="148"/>
      <c r="AT170" s="148"/>
      <c r="AU170" s="148"/>
      <c r="AV170" s="148"/>
      <c r="AW170" s="148"/>
      <c r="AX170" s="148"/>
      <c r="AY170" s="148"/>
      <c r="AZ170" s="148"/>
      <c r="BA170" s="148"/>
      <c r="BB170" s="148"/>
      <c r="BC170" s="148"/>
      <c r="BD170" s="148"/>
      <c r="BE170" s="148"/>
      <c r="BF170" s="148"/>
      <c r="BG170" s="148"/>
      <c r="BH170" s="148"/>
      <c r="BI170" s="148"/>
      <c r="BJ170" s="148"/>
      <c r="BK170" s="148"/>
      <c r="BL170" s="148"/>
      <c r="BM170" s="148"/>
      <c r="BN170" s="148"/>
      <c r="BO170" s="148"/>
      <c r="BP170" s="148"/>
      <c r="BQ170" s="148"/>
      <c r="BR170" s="148"/>
      <c r="BS170" s="148"/>
      <c r="BT170" s="148"/>
      <c r="BU170" s="148"/>
      <c r="BV170" s="148"/>
      <c r="BW170" s="148"/>
      <c r="BX170" s="148"/>
      <c r="BY170" s="148"/>
      <c r="BZ170" s="148"/>
      <c r="CA170" s="148"/>
      <c r="CB170" s="148"/>
      <c r="CC170" s="148"/>
      <c r="CD170" s="148"/>
      <c r="CE170" s="148"/>
      <c r="CF170" s="148"/>
      <c r="CG170" s="148"/>
      <c r="CH170" s="148"/>
      <c r="CI170" s="148"/>
      <c r="CJ170" s="148"/>
      <c r="CK170" s="148"/>
      <c r="CL170" s="148"/>
      <c r="CM170" s="148"/>
      <c r="CN170" s="148"/>
      <c r="CO170" s="148"/>
      <c r="CP170" s="148"/>
      <c r="CQ170" s="148"/>
      <c r="CR170" s="148"/>
      <c r="CS170" s="148"/>
      <c r="CT170" s="148"/>
      <c r="CU170" s="148"/>
      <c r="CV170" s="148"/>
      <c r="CW170" s="148"/>
      <c r="CX170" s="148"/>
      <c r="CY170" s="148"/>
      <c r="CZ170" s="148"/>
      <c r="DA170" s="148"/>
      <c r="DB170" s="148"/>
      <c r="DC170" s="148"/>
      <c r="DD170" s="148"/>
      <c r="DE170" s="148"/>
      <c r="DF170" s="148"/>
      <c r="DG170" s="148"/>
      <c r="DH170" s="148"/>
      <c r="DI170" s="148"/>
      <c r="DJ170" s="148"/>
      <c r="DK170" s="148"/>
      <c r="DL170" s="148"/>
      <c r="DM170" s="148"/>
      <c r="DN170" s="148"/>
      <c r="DO170" s="148"/>
      <c r="DP170" s="148"/>
      <c r="DQ170" s="148"/>
      <c r="DR170" s="148"/>
      <c r="DS170" s="148"/>
      <c r="DT170" s="148"/>
      <c r="DU170" s="148"/>
      <c r="DV170" s="148"/>
      <c r="DW170" s="148"/>
      <c r="DX170" s="148"/>
      <c r="DY170" s="148"/>
      <c r="DZ170" s="148"/>
      <c r="EA170" s="148"/>
      <c r="EB170" s="148"/>
      <c r="EC170" s="148"/>
      <c r="ED170" s="148"/>
      <c r="EE170" s="148"/>
      <c r="EF170" s="148"/>
      <c r="EG170" s="148"/>
      <c r="EH170" s="148"/>
      <c r="EI170" s="148"/>
      <c r="EJ170" s="148"/>
      <c r="EK170" s="148"/>
      <c r="EL170" s="148"/>
      <c r="EM170" s="148"/>
      <c r="EN170" s="148"/>
      <c r="EO170" s="148"/>
      <c r="EP170" s="148"/>
      <c r="EQ170" s="148"/>
      <c r="ER170" s="148"/>
      <c r="ES170" s="148"/>
      <c r="ET170" s="148"/>
      <c r="EU170" s="148"/>
      <c r="EV170" s="148"/>
      <c r="EW170" s="148"/>
      <c r="EX170" s="148"/>
      <c r="EY170" s="148"/>
      <c r="EZ170" s="148"/>
      <c r="FA170" s="148"/>
      <c r="FB170" s="148"/>
      <c r="FC170" s="148"/>
      <c r="FD170" s="148"/>
      <c r="FE170" s="148"/>
      <c r="FF170" s="148"/>
      <c r="FG170" s="148"/>
      <c r="FH170" s="148"/>
      <c r="FI170" s="148"/>
      <c r="FJ170" s="148"/>
      <c r="FK170" s="148"/>
      <c r="FL170" s="148"/>
      <c r="FM170" s="148"/>
      <c r="FN170" s="148"/>
      <c r="FO170" s="148"/>
      <c r="FP170" s="148"/>
      <c r="FQ170" s="148"/>
      <c r="FR170" s="148"/>
      <c r="FS170" s="148"/>
      <c r="FT170" s="148"/>
      <c r="FU170" s="148"/>
      <c r="FV170" s="148"/>
      <c r="FW170" s="148"/>
      <c r="FX170" s="148"/>
      <c r="FY170" s="148"/>
      <c r="FZ170" s="148"/>
      <c r="GA170" s="148"/>
      <c r="GB170" s="148"/>
      <c r="GC170" s="148"/>
      <c r="GD170" s="148"/>
      <c r="GE170" s="148"/>
      <c r="GF170" s="148"/>
      <c r="GG170" s="148"/>
      <c r="GH170" s="148"/>
      <c r="GI170" s="148"/>
      <c r="GJ170" s="148"/>
      <c r="GK170" s="148"/>
      <c r="GL170" s="148"/>
      <c r="GM170" s="148"/>
      <c r="GN170" s="148"/>
      <c r="GO170" s="148"/>
      <c r="GP170" s="148"/>
      <c r="GQ170" s="148"/>
      <c r="GR170" s="148"/>
      <c r="GS170" s="148"/>
      <c r="GT170" s="148"/>
      <c r="GU170" s="148"/>
      <c r="GV170" s="148"/>
      <c r="GW170" s="148"/>
      <c r="GX170" s="148"/>
      <c r="GY170" s="148"/>
      <c r="GZ170" s="148"/>
      <c r="HA170" s="148"/>
      <c r="HB170" s="148"/>
      <c r="HC170" s="148"/>
      <c r="HD170" s="148"/>
      <c r="HE170" s="148"/>
      <c r="HF170" s="148"/>
      <c r="HG170" s="148"/>
      <c r="HH170" s="148"/>
      <c r="HI170" s="148"/>
      <c r="HJ170" s="148"/>
      <c r="HK170" s="148"/>
      <c r="HL170" s="148"/>
      <c r="HM170" s="148"/>
      <c r="HN170" s="148"/>
      <c r="HO170" s="148"/>
      <c r="HP170" s="148"/>
      <c r="HQ170" s="148"/>
      <c r="HR170" s="148"/>
      <c r="HS170" s="148"/>
      <c r="HT170" s="148"/>
      <c r="HU170" s="148"/>
      <c r="HV170" s="148"/>
      <c r="HW170" s="148"/>
      <c r="HX170" s="148"/>
      <c r="HY170" s="148"/>
      <c r="HZ170" s="148"/>
      <c r="IA170" s="148"/>
      <c r="IB170" s="148"/>
      <c r="IC170" s="148"/>
      <c r="ID170" s="148"/>
      <c r="IE170" s="148"/>
      <c r="IF170" s="148"/>
      <c r="IG170" s="148"/>
      <c r="IH170" s="148"/>
      <c r="II170" s="148"/>
      <c r="IJ170" s="148"/>
      <c r="IK170" s="148"/>
      <c r="IL170" s="148"/>
      <c r="IM170" s="148"/>
      <c r="IN170" s="148"/>
      <c r="IO170" s="148"/>
      <c r="IP170" s="148"/>
      <c r="IQ170" s="148"/>
      <c r="IR170" s="148"/>
      <c r="IS170" s="148"/>
      <c r="IT170" s="148"/>
      <c r="IU170" s="148"/>
      <c r="IV170" s="148"/>
      <c r="IW170" s="148"/>
      <c r="IX170" s="148"/>
      <c r="IY170" s="148"/>
      <c r="IZ170" s="148"/>
      <c r="JA170" s="148"/>
      <c r="JB170" s="148"/>
    </row>
    <row r="171" spans="1:262" s="272" customFormat="1" x14ac:dyDescent="0.35">
      <c r="A171" s="1423">
        <v>157</v>
      </c>
      <c r="B171" s="1589"/>
      <c r="C171" s="1558"/>
      <c r="D171" s="150" t="s">
        <v>792</v>
      </c>
      <c r="E171" s="1560"/>
      <c r="F171" s="1561"/>
      <c r="G171" s="1562"/>
      <c r="H171" s="1563"/>
      <c r="I171" s="1580"/>
      <c r="J171" s="1574"/>
      <c r="K171" s="1574"/>
      <c r="L171" s="1574"/>
      <c r="M171" s="1565"/>
      <c r="N171" s="1574"/>
      <c r="O171" s="1574"/>
      <c r="P171" s="1566"/>
      <c r="Q171" s="1567"/>
      <c r="R171" s="148"/>
      <c r="S171" s="148"/>
      <c r="T171" s="148"/>
      <c r="U171" s="148"/>
      <c r="V171" s="148"/>
      <c r="W171" s="148"/>
      <c r="X171" s="148"/>
      <c r="Y171" s="148"/>
      <c r="Z171" s="148"/>
      <c r="AA171" s="148"/>
      <c r="AB171" s="148"/>
      <c r="AC171" s="148"/>
      <c r="AD171" s="148"/>
      <c r="AE171" s="148"/>
      <c r="AF171" s="148"/>
      <c r="AG171" s="148"/>
      <c r="AH171" s="148"/>
      <c r="AI171" s="148"/>
      <c r="AJ171" s="148"/>
      <c r="AK171" s="148"/>
      <c r="AL171" s="148"/>
      <c r="AM171" s="148"/>
      <c r="AN171" s="148"/>
      <c r="AO171" s="148"/>
      <c r="AP171" s="148"/>
      <c r="AQ171" s="148"/>
      <c r="AR171" s="148"/>
      <c r="AS171" s="148"/>
      <c r="AT171" s="148"/>
      <c r="AU171" s="148"/>
      <c r="AV171" s="148"/>
      <c r="AW171" s="148"/>
      <c r="AX171" s="148"/>
      <c r="AY171" s="148"/>
      <c r="AZ171" s="148"/>
      <c r="BA171" s="148"/>
      <c r="BB171" s="148"/>
      <c r="BC171" s="148"/>
      <c r="BD171" s="148"/>
      <c r="BE171" s="148"/>
      <c r="BF171" s="148"/>
      <c r="BG171" s="148"/>
      <c r="BH171" s="148"/>
      <c r="BI171" s="148"/>
      <c r="BJ171" s="148"/>
      <c r="BK171" s="148"/>
      <c r="BL171" s="148"/>
      <c r="BM171" s="148"/>
      <c r="BN171" s="148"/>
      <c r="BO171" s="148"/>
      <c r="BP171" s="148"/>
      <c r="BQ171" s="148"/>
      <c r="BR171" s="148"/>
      <c r="BS171" s="148"/>
      <c r="BT171" s="148"/>
      <c r="BU171" s="148"/>
      <c r="BV171" s="148"/>
      <c r="BW171" s="148"/>
      <c r="BX171" s="148"/>
      <c r="BY171" s="148"/>
      <c r="BZ171" s="148"/>
      <c r="CA171" s="148"/>
      <c r="CB171" s="148"/>
      <c r="CC171" s="148"/>
      <c r="CD171" s="148"/>
      <c r="CE171" s="148"/>
      <c r="CF171" s="148"/>
      <c r="CG171" s="148"/>
      <c r="CH171" s="148"/>
      <c r="CI171" s="148"/>
      <c r="CJ171" s="148"/>
      <c r="CK171" s="148"/>
      <c r="CL171" s="148"/>
      <c r="CM171" s="148"/>
      <c r="CN171" s="148"/>
      <c r="CO171" s="148"/>
      <c r="CP171" s="148"/>
      <c r="CQ171" s="148"/>
      <c r="CR171" s="148"/>
      <c r="CS171" s="148"/>
      <c r="CT171" s="148"/>
      <c r="CU171" s="148"/>
      <c r="CV171" s="148"/>
      <c r="CW171" s="148"/>
      <c r="CX171" s="148"/>
      <c r="CY171" s="148"/>
      <c r="CZ171" s="148"/>
      <c r="DA171" s="148"/>
      <c r="DB171" s="148"/>
      <c r="DC171" s="148"/>
      <c r="DD171" s="148"/>
      <c r="DE171" s="148"/>
      <c r="DF171" s="148"/>
      <c r="DG171" s="148"/>
      <c r="DH171" s="148"/>
      <c r="DI171" s="148"/>
      <c r="DJ171" s="148"/>
      <c r="DK171" s="148"/>
      <c r="DL171" s="148"/>
      <c r="DM171" s="148"/>
      <c r="DN171" s="148"/>
      <c r="DO171" s="148"/>
      <c r="DP171" s="148"/>
      <c r="DQ171" s="148"/>
      <c r="DR171" s="148"/>
      <c r="DS171" s="148"/>
      <c r="DT171" s="148"/>
      <c r="DU171" s="148"/>
      <c r="DV171" s="148"/>
      <c r="DW171" s="148"/>
      <c r="DX171" s="148"/>
      <c r="DY171" s="148"/>
      <c r="DZ171" s="148"/>
      <c r="EA171" s="148"/>
      <c r="EB171" s="148"/>
      <c r="EC171" s="148"/>
      <c r="ED171" s="148"/>
      <c r="EE171" s="148"/>
      <c r="EF171" s="148"/>
      <c r="EG171" s="148"/>
      <c r="EH171" s="148"/>
      <c r="EI171" s="148"/>
      <c r="EJ171" s="148"/>
      <c r="EK171" s="148"/>
      <c r="EL171" s="148"/>
      <c r="EM171" s="148"/>
      <c r="EN171" s="148"/>
      <c r="EO171" s="148"/>
      <c r="EP171" s="148"/>
      <c r="EQ171" s="148"/>
      <c r="ER171" s="148"/>
      <c r="ES171" s="148"/>
      <c r="ET171" s="148"/>
      <c r="EU171" s="148"/>
      <c r="EV171" s="148"/>
      <c r="EW171" s="148"/>
      <c r="EX171" s="148"/>
      <c r="EY171" s="148"/>
      <c r="EZ171" s="148"/>
      <c r="FA171" s="148"/>
      <c r="FB171" s="148"/>
      <c r="FC171" s="148"/>
      <c r="FD171" s="148"/>
      <c r="FE171" s="148"/>
      <c r="FF171" s="148"/>
      <c r="FG171" s="148"/>
      <c r="FH171" s="148"/>
      <c r="FI171" s="148"/>
      <c r="FJ171" s="148"/>
      <c r="FK171" s="148"/>
      <c r="FL171" s="148"/>
      <c r="FM171" s="148"/>
      <c r="FN171" s="148"/>
      <c r="FO171" s="148"/>
      <c r="FP171" s="148"/>
      <c r="FQ171" s="148"/>
      <c r="FR171" s="148"/>
      <c r="FS171" s="148"/>
      <c r="FT171" s="148"/>
      <c r="FU171" s="148"/>
      <c r="FV171" s="148"/>
      <c r="FW171" s="148"/>
      <c r="FX171" s="148"/>
      <c r="FY171" s="148"/>
      <c r="FZ171" s="148"/>
      <c r="GA171" s="148"/>
      <c r="GB171" s="148"/>
      <c r="GC171" s="148"/>
      <c r="GD171" s="148"/>
      <c r="GE171" s="148"/>
      <c r="GF171" s="148"/>
      <c r="GG171" s="148"/>
      <c r="GH171" s="148"/>
      <c r="GI171" s="148"/>
      <c r="GJ171" s="148"/>
      <c r="GK171" s="148"/>
      <c r="GL171" s="148"/>
      <c r="GM171" s="148"/>
      <c r="GN171" s="148"/>
      <c r="GO171" s="148"/>
      <c r="GP171" s="148"/>
      <c r="GQ171" s="148"/>
      <c r="GR171" s="148"/>
      <c r="GS171" s="148"/>
      <c r="GT171" s="148"/>
      <c r="GU171" s="148"/>
      <c r="GV171" s="148"/>
      <c r="GW171" s="148"/>
      <c r="GX171" s="148"/>
      <c r="GY171" s="148"/>
      <c r="GZ171" s="148"/>
      <c r="HA171" s="148"/>
      <c r="HB171" s="148"/>
      <c r="HC171" s="148"/>
      <c r="HD171" s="148"/>
      <c r="HE171" s="148"/>
      <c r="HF171" s="148"/>
      <c r="HG171" s="148"/>
      <c r="HH171" s="148"/>
      <c r="HI171" s="148"/>
      <c r="HJ171" s="148"/>
      <c r="HK171" s="148"/>
      <c r="HL171" s="148"/>
      <c r="HM171" s="148"/>
      <c r="HN171" s="148"/>
      <c r="HO171" s="148"/>
      <c r="HP171" s="148"/>
      <c r="HQ171" s="148"/>
      <c r="HR171" s="148"/>
      <c r="HS171" s="148"/>
      <c r="HT171" s="148"/>
      <c r="HU171" s="148"/>
      <c r="HV171" s="148"/>
      <c r="HW171" s="148"/>
      <c r="HX171" s="148"/>
      <c r="HY171" s="148"/>
      <c r="HZ171" s="148"/>
      <c r="IA171" s="148"/>
      <c r="IB171" s="148"/>
      <c r="IC171" s="148"/>
      <c r="ID171" s="148"/>
      <c r="IE171" s="148"/>
      <c r="IF171" s="148"/>
      <c r="IG171" s="148"/>
      <c r="IH171" s="148"/>
      <c r="II171" s="148"/>
      <c r="IJ171" s="148"/>
      <c r="IK171" s="148"/>
      <c r="IL171" s="148"/>
      <c r="IM171" s="148"/>
      <c r="IN171" s="148"/>
      <c r="IO171" s="148"/>
      <c r="IP171" s="148"/>
      <c r="IQ171" s="148"/>
      <c r="IR171" s="148"/>
      <c r="IS171" s="148"/>
      <c r="IT171" s="148"/>
      <c r="IU171" s="148"/>
      <c r="IV171" s="148"/>
      <c r="IW171" s="148"/>
      <c r="IX171" s="148"/>
      <c r="IY171" s="148"/>
      <c r="IZ171" s="148"/>
      <c r="JA171" s="148"/>
      <c r="JB171" s="148"/>
    </row>
    <row r="172" spans="1:262" s="272" customFormat="1" x14ac:dyDescent="0.35">
      <c r="A172" s="1423">
        <v>158</v>
      </c>
      <c r="B172" s="1589"/>
      <c r="C172" s="1663"/>
      <c r="D172" s="1719" t="s">
        <v>311</v>
      </c>
      <c r="E172" s="1601"/>
      <c r="F172" s="1720"/>
      <c r="G172" s="1665"/>
      <c r="H172" s="1721"/>
      <c r="I172" s="1722"/>
      <c r="J172" s="1723"/>
      <c r="K172" s="1723"/>
      <c r="L172" s="1723"/>
      <c r="M172" s="1668">
        <v>152400</v>
      </c>
      <c r="N172" s="1723"/>
      <c r="O172" s="1723"/>
      <c r="P172" s="1669">
        <f>SUM(I172:O172)</f>
        <v>152400</v>
      </c>
      <c r="Q172" s="1724"/>
      <c r="R172" s="148"/>
      <c r="S172" s="148"/>
      <c r="T172" s="148"/>
      <c r="U172" s="148"/>
      <c r="V172" s="148"/>
      <c r="W172" s="148"/>
      <c r="X172" s="148"/>
      <c r="Y172" s="148"/>
      <c r="Z172" s="148"/>
      <c r="AA172" s="148"/>
      <c r="AB172" s="148"/>
      <c r="AC172" s="148"/>
      <c r="AD172" s="148"/>
      <c r="AE172" s="148"/>
      <c r="AF172" s="148"/>
      <c r="AG172" s="148"/>
      <c r="AH172" s="148"/>
      <c r="AI172" s="148"/>
      <c r="AJ172" s="148"/>
      <c r="AK172" s="148"/>
      <c r="AL172" s="148"/>
      <c r="AM172" s="148"/>
      <c r="AN172" s="148"/>
      <c r="AO172" s="148"/>
      <c r="AP172" s="148"/>
      <c r="AQ172" s="148"/>
      <c r="AR172" s="148"/>
      <c r="AS172" s="148"/>
      <c r="AT172" s="148"/>
      <c r="AU172" s="148"/>
      <c r="AV172" s="148"/>
      <c r="AW172" s="148"/>
      <c r="AX172" s="148"/>
      <c r="AY172" s="148"/>
      <c r="AZ172" s="148"/>
      <c r="BA172" s="148"/>
      <c r="BB172" s="148"/>
      <c r="BC172" s="148"/>
      <c r="BD172" s="148"/>
      <c r="BE172" s="148"/>
      <c r="BF172" s="148"/>
      <c r="BG172" s="148"/>
      <c r="BH172" s="148"/>
      <c r="BI172" s="148"/>
      <c r="BJ172" s="148"/>
      <c r="BK172" s="148"/>
      <c r="BL172" s="148"/>
      <c r="BM172" s="148"/>
      <c r="BN172" s="148"/>
      <c r="BO172" s="148"/>
      <c r="BP172" s="148"/>
      <c r="BQ172" s="148"/>
      <c r="BR172" s="148"/>
      <c r="BS172" s="148"/>
      <c r="BT172" s="148"/>
      <c r="BU172" s="148"/>
      <c r="BV172" s="148"/>
      <c r="BW172" s="148"/>
      <c r="BX172" s="148"/>
      <c r="BY172" s="148"/>
      <c r="BZ172" s="148"/>
      <c r="CA172" s="148"/>
      <c r="CB172" s="148"/>
      <c r="CC172" s="148"/>
      <c r="CD172" s="148"/>
      <c r="CE172" s="148"/>
      <c r="CF172" s="148"/>
      <c r="CG172" s="148"/>
      <c r="CH172" s="148"/>
      <c r="CI172" s="148"/>
      <c r="CJ172" s="148"/>
      <c r="CK172" s="148"/>
      <c r="CL172" s="148"/>
      <c r="CM172" s="148"/>
      <c r="CN172" s="148"/>
      <c r="CO172" s="148"/>
      <c r="CP172" s="148"/>
      <c r="CQ172" s="148"/>
      <c r="CR172" s="148"/>
      <c r="CS172" s="148"/>
      <c r="CT172" s="148"/>
      <c r="CU172" s="148"/>
      <c r="CV172" s="148"/>
      <c r="CW172" s="148"/>
      <c r="CX172" s="148"/>
      <c r="CY172" s="148"/>
      <c r="CZ172" s="148"/>
      <c r="DA172" s="148"/>
      <c r="DB172" s="148"/>
      <c r="DC172" s="148"/>
      <c r="DD172" s="148"/>
      <c r="DE172" s="148"/>
      <c r="DF172" s="148"/>
      <c r="DG172" s="148"/>
      <c r="DH172" s="148"/>
      <c r="DI172" s="148"/>
      <c r="DJ172" s="148"/>
      <c r="DK172" s="148"/>
      <c r="DL172" s="148"/>
      <c r="DM172" s="148"/>
      <c r="DN172" s="148"/>
      <c r="DO172" s="148"/>
      <c r="DP172" s="148"/>
      <c r="DQ172" s="148"/>
      <c r="DR172" s="148"/>
      <c r="DS172" s="148"/>
      <c r="DT172" s="148"/>
      <c r="DU172" s="148"/>
      <c r="DV172" s="148"/>
      <c r="DW172" s="148"/>
      <c r="DX172" s="148"/>
      <c r="DY172" s="148"/>
      <c r="DZ172" s="148"/>
      <c r="EA172" s="148"/>
      <c r="EB172" s="148"/>
      <c r="EC172" s="148"/>
      <c r="ED172" s="148"/>
      <c r="EE172" s="148"/>
      <c r="EF172" s="148"/>
      <c r="EG172" s="148"/>
      <c r="EH172" s="148"/>
      <c r="EI172" s="148"/>
      <c r="EJ172" s="148"/>
      <c r="EK172" s="148"/>
      <c r="EL172" s="148"/>
      <c r="EM172" s="148"/>
      <c r="EN172" s="148"/>
      <c r="EO172" s="148"/>
      <c r="EP172" s="148"/>
      <c r="EQ172" s="148"/>
      <c r="ER172" s="148"/>
      <c r="ES172" s="148"/>
      <c r="ET172" s="148"/>
      <c r="EU172" s="148"/>
      <c r="EV172" s="148"/>
      <c r="EW172" s="148"/>
      <c r="EX172" s="148"/>
      <c r="EY172" s="148"/>
      <c r="EZ172" s="148"/>
      <c r="FA172" s="148"/>
      <c r="FB172" s="148"/>
      <c r="FC172" s="148"/>
      <c r="FD172" s="148"/>
      <c r="FE172" s="148"/>
      <c r="FF172" s="148"/>
      <c r="FG172" s="148"/>
      <c r="FH172" s="148"/>
      <c r="FI172" s="148"/>
      <c r="FJ172" s="148"/>
      <c r="FK172" s="148"/>
      <c r="FL172" s="148"/>
      <c r="FM172" s="148"/>
      <c r="FN172" s="148"/>
      <c r="FO172" s="148"/>
      <c r="FP172" s="148"/>
      <c r="FQ172" s="148"/>
      <c r="FR172" s="148"/>
      <c r="FS172" s="148"/>
      <c r="FT172" s="148"/>
      <c r="FU172" s="148"/>
      <c r="FV172" s="148"/>
      <c r="FW172" s="148"/>
      <c r="FX172" s="148"/>
      <c r="FY172" s="148"/>
      <c r="FZ172" s="148"/>
      <c r="GA172" s="148"/>
      <c r="GB172" s="148"/>
      <c r="GC172" s="148"/>
      <c r="GD172" s="148"/>
      <c r="GE172" s="148"/>
      <c r="GF172" s="148"/>
      <c r="GG172" s="148"/>
      <c r="GH172" s="148"/>
      <c r="GI172" s="148"/>
      <c r="GJ172" s="148"/>
      <c r="GK172" s="148"/>
      <c r="GL172" s="148"/>
      <c r="GM172" s="148"/>
      <c r="GN172" s="148"/>
      <c r="GO172" s="148"/>
      <c r="GP172" s="148"/>
      <c r="GQ172" s="148"/>
      <c r="GR172" s="148"/>
      <c r="GS172" s="148"/>
      <c r="GT172" s="148"/>
      <c r="GU172" s="148"/>
      <c r="GV172" s="148"/>
      <c r="GW172" s="148"/>
      <c r="GX172" s="148"/>
      <c r="GY172" s="148"/>
      <c r="GZ172" s="148"/>
      <c r="HA172" s="148"/>
      <c r="HB172" s="148"/>
      <c r="HC172" s="148"/>
      <c r="HD172" s="148"/>
      <c r="HE172" s="148"/>
      <c r="HF172" s="148"/>
      <c r="HG172" s="148"/>
      <c r="HH172" s="148"/>
      <c r="HI172" s="148"/>
      <c r="HJ172" s="148"/>
      <c r="HK172" s="148"/>
      <c r="HL172" s="148"/>
      <c r="HM172" s="148"/>
      <c r="HN172" s="148"/>
      <c r="HO172" s="148"/>
      <c r="HP172" s="148"/>
      <c r="HQ172" s="148"/>
      <c r="HR172" s="148"/>
      <c r="HS172" s="148"/>
      <c r="HT172" s="148"/>
      <c r="HU172" s="148"/>
      <c r="HV172" s="148"/>
      <c r="HW172" s="148"/>
      <c r="HX172" s="148"/>
      <c r="HY172" s="148"/>
      <c r="HZ172" s="148"/>
      <c r="IA172" s="148"/>
      <c r="IB172" s="148"/>
      <c r="IC172" s="148"/>
      <c r="ID172" s="148"/>
      <c r="IE172" s="148"/>
      <c r="IF172" s="148"/>
      <c r="IG172" s="148"/>
      <c r="IH172" s="148"/>
      <c r="II172" s="148"/>
      <c r="IJ172" s="148"/>
      <c r="IK172" s="148"/>
      <c r="IL172" s="148"/>
      <c r="IM172" s="148"/>
      <c r="IN172" s="148"/>
      <c r="IO172" s="148"/>
      <c r="IP172" s="148"/>
      <c r="IQ172" s="148"/>
      <c r="IR172" s="148"/>
      <c r="IS172" s="148"/>
      <c r="IT172" s="148"/>
      <c r="IU172" s="148"/>
      <c r="IV172" s="148"/>
      <c r="IW172" s="148"/>
      <c r="IX172" s="148"/>
      <c r="IY172" s="148"/>
      <c r="IZ172" s="148"/>
      <c r="JA172" s="148"/>
      <c r="JB172" s="148"/>
    </row>
    <row r="173" spans="1:262" s="272" customFormat="1" x14ac:dyDescent="0.35">
      <c r="A173" s="1423">
        <v>159</v>
      </c>
      <c r="B173" s="1589"/>
      <c r="C173" s="1725"/>
      <c r="D173" s="1163" t="s">
        <v>1064</v>
      </c>
      <c r="E173" s="1601"/>
      <c r="F173" s="1720"/>
      <c r="G173" s="1665"/>
      <c r="H173" s="1721"/>
      <c r="I173" s="1722"/>
      <c r="J173" s="1722"/>
      <c r="K173" s="1722"/>
      <c r="L173" s="1722"/>
      <c r="M173" s="1671">
        <v>0</v>
      </c>
      <c r="N173" s="1671"/>
      <c r="O173" s="1671"/>
      <c r="P173" s="1672">
        <f>SUM(I173:O173)</f>
        <v>0</v>
      </c>
      <c r="Q173" s="1724"/>
      <c r="R173" s="148"/>
      <c r="S173" s="148"/>
      <c r="T173" s="148"/>
      <c r="U173" s="148"/>
      <c r="V173" s="148"/>
      <c r="W173" s="148"/>
      <c r="X173" s="148"/>
      <c r="Y173" s="148"/>
      <c r="Z173" s="148"/>
      <c r="AA173" s="148"/>
      <c r="AB173" s="148"/>
      <c r="AC173" s="148"/>
      <c r="AD173" s="148"/>
      <c r="AE173" s="148"/>
      <c r="AF173" s="148"/>
      <c r="AG173" s="148"/>
      <c r="AH173" s="148"/>
      <c r="AI173" s="148"/>
      <c r="AJ173" s="148"/>
      <c r="AK173" s="148"/>
      <c r="AL173" s="148"/>
      <c r="AM173" s="148"/>
      <c r="AN173" s="148"/>
      <c r="AO173" s="148"/>
      <c r="AP173" s="148"/>
      <c r="AQ173" s="148"/>
      <c r="AR173" s="148"/>
      <c r="AS173" s="148"/>
      <c r="AT173" s="148"/>
      <c r="AU173" s="148"/>
      <c r="AV173" s="148"/>
      <c r="AW173" s="148"/>
      <c r="AX173" s="148"/>
      <c r="AY173" s="148"/>
      <c r="AZ173" s="148"/>
      <c r="BA173" s="148"/>
      <c r="BB173" s="148"/>
      <c r="BC173" s="148"/>
      <c r="BD173" s="148"/>
      <c r="BE173" s="148"/>
      <c r="BF173" s="148"/>
      <c r="BG173" s="148"/>
      <c r="BH173" s="148"/>
      <c r="BI173" s="148"/>
      <c r="BJ173" s="148"/>
      <c r="BK173" s="148"/>
      <c r="BL173" s="148"/>
      <c r="BM173" s="148"/>
      <c r="BN173" s="148"/>
      <c r="BO173" s="148"/>
      <c r="BP173" s="148"/>
      <c r="BQ173" s="148"/>
      <c r="BR173" s="148"/>
      <c r="BS173" s="148"/>
      <c r="BT173" s="148"/>
      <c r="BU173" s="148"/>
      <c r="BV173" s="148"/>
      <c r="BW173" s="148"/>
      <c r="BX173" s="148"/>
      <c r="BY173" s="148"/>
      <c r="BZ173" s="148"/>
      <c r="CA173" s="148"/>
      <c r="CB173" s="148"/>
      <c r="CC173" s="148"/>
      <c r="CD173" s="148"/>
      <c r="CE173" s="148"/>
      <c r="CF173" s="148"/>
      <c r="CG173" s="148"/>
      <c r="CH173" s="148"/>
      <c r="CI173" s="148"/>
      <c r="CJ173" s="148"/>
      <c r="CK173" s="148"/>
      <c r="CL173" s="148"/>
      <c r="CM173" s="148"/>
      <c r="CN173" s="148"/>
      <c r="CO173" s="148"/>
      <c r="CP173" s="148"/>
      <c r="CQ173" s="148"/>
      <c r="CR173" s="148"/>
      <c r="CS173" s="148"/>
      <c r="CT173" s="148"/>
      <c r="CU173" s="148"/>
      <c r="CV173" s="148"/>
      <c r="CW173" s="148"/>
      <c r="CX173" s="148"/>
      <c r="CY173" s="148"/>
      <c r="CZ173" s="148"/>
      <c r="DA173" s="148"/>
      <c r="DB173" s="148"/>
      <c r="DC173" s="148"/>
      <c r="DD173" s="148"/>
      <c r="DE173" s="148"/>
      <c r="DF173" s="148"/>
      <c r="DG173" s="148"/>
      <c r="DH173" s="148"/>
      <c r="DI173" s="148"/>
      <c r="DJ173" s="148"/>
      <c r="DK173" s="148"/>
      <c r="DL173" s="148"/>
      <c r="DM173" s="148"/>
      <c r="DN173" s="148"/>
      <c r="DO173" s="148"/>
      <c r="DP173" s="148"/>
      <c r="DQ173" s="148"/>
      <c r="DR173" s="148"/>
      <c r="DS173" s="148"/>
      <c r="DT173" s="148"/>
      <c r="DU173" s="148"/>
      <c r="DV173" s="148"/>
      <c r="DW173" s="148"/>
      <c r="DX173" s="148"/>
      <c r="DY173" s="148"/>
      <c r="DZ173" s="148"/>
      <c r="EA173" s="148"/>
      <c r="EB173" s="148"/>
      <c r="EC173" s="148"/>
      <c r="ED173" s="148"/>
      <c r="EE173" s="148"/>
      <c r="EF173" s="148"/>
      <c r="EG173" s="148"/>
      <c r="EH173" s="148"/>
      <c r="EI173" s="148"/>
      <c r="EJ173" s="148"/>
      <c r="EK173" s="148"/>
      <c r="EL173" s="148"/>
      <c r="EM173" s="148"/>
      <c r="EN173" s="148"/>
      <c r="EO173" s="148"/>
      <c r="EP173" s="148"/>
      <c r="EQ173" s="148"/>
      <c r="ER173" s="148"/>
      <c r="ES173" s="148"/>
      <c r="ET173" s="148"/>
      <c r="EU173" s="148"/>
      <c r="EV173" s="148"/>
      <c r="EW173" s="148"/>
      <c r="EX173" s="148"/>
      <c r="EY173" s="148"/>
      <c r="EZ173" s="148"/>
      <c r="FA173" s="148"/>
      <c r="FB173" s="148"/>
      <c r="FC173" s="148"/>
      <c r="FD173" s="148"/>
      <c r="FE173" s="148"/>
      <c r="FF173" s="148"/>
      <c r="FG173" s="148"/>
      <c r="FH173" s="148"/>
      <c r="FI173" s="148"/>
      <c r="FJ173" s="148"/>
      <c r="FK173" s="148"/>
      <c r="FL173" s="148"/>
      <c r="FM173" s="148"/>
      <c r="FN173" s="148"/>
      <c r="FO173" s="148"/>
      <c r="FP173" s="148"/>
      <c r="FQ173" s="148"/>
      <c r="FR173" s="148"/>
      <c r="FS173" s="148"/>
      <c r="FT173" s="148"/>
      <c r="FU173" s="148"/>
      <c r="FV173" s="148"/>
      <c r="FW173" s="148"/>
      <c r="FX173" s="148"/>
      <c r="FY173" s="148"/>
      <c r="FZ173" s="148"/>
      <c r="GA173" s="148"/>
      <c r="GB173" s="148"/>
      <c r="GC173" s="148"/>
      <c r="GD173" s="148"/>
      <c r="GE173" s="148"/>
      <c r="GF173" s="148"/>
      <c r="GG173" s="148"/>
      <c r="GH173" s="148"/>
      <c r="GI173" s="148"/>
      <c r="GJ173" s="148"/>
      <c r="GK173" s="148"/>
      <c r="GL173" s="148"/>
      <c r="GM173" s="148"/>
      <c r="GN173" s="148"/>
      <c r="GO173" s="148"/>
      <c r="GP173" s="148"/>
      <c r="GQ173" s="148"/>
      <c r="GR173" s="148"/>
      <c r="GS173" s="148"/>
      <c r="GT173" s="148"/>
      <c r="GU173" s="148"/>
      <c r="GV173" s="148"/>
      <c r="GW173" s="148"/>
      <c r="GX173" s="148"/>
      <c r="GY173" s="148"/>
      <c r="GZ173" s="148"/>
      <c r="HA173" s="148"/>
      <c r="HB173" s="148"/>
      <c r="HC173" s="148"/>
      <c r="HD173" s="148"/>
      <c r="HE173" s="148"/>
      <c r="HF173" s="148"/>
      <c r="HG173" s="148"/>
      <c r="HH173" s="148"/>
      <c r="HI173" s="148"/>
      <c r="HJ173" s="148"/>
      <c r="HK173" s="148"/>
      <c r="HL173" s="148"/>
      <c r="HM173" s="148"/>
      <c r="HN173" s="148"/>
      <c r="HO173" s="148"/>
      <c r="HP173" s="148"/>
      <c r="HQ173" s="148"/>
      <c r="HR173" s="148"/>
      <c r="HS173" s="148"/>
      <c r="HT173" s="148"/>
      <c r="HU173" s="148"/>
      <c r="HV173" s="148"/>
      <c r="HW173" s="148"/>
      <c r="HX173" s="148"/>
      <c r="HY173" s="148"/>
      <c r="HZ173" s="148"/>
      <c r="IA173" s="148"/>
      <c r="IB173" s="148"/>
      <c r="IC173" s="148"/>
      <c r="ID173" s="148"/>
      <c r="IE173" s="148"/>
      <c r="IF173" s="148"/>
      <c r="IG173" s="148"/>
      <c r="IH173" s="148"/>
      <c r="II173" s="148"/>
      <c r="IJ173" s="148"/>
      <c r="IK173" s="148"/>
      <c r="IL173" s="148"/>
      <c r="IM173" s="148"/>
      <c r="IN173" s="148"/>
      <c r="IO173" s="148"/>
      <c r="IP173" s="148"/>
      <c r="IQ173" s="148"/>
      <c r="IR173" s="148"/>
      <c r="IS173" s="148"/>
      <c r="IT173" s="148"/>
      <c r="IU173" s="148"/>
      <c r="IV173" s="148"/>
      <c r="IW173" s="148"/>
      <c r="IX173" s="148"/>
      <c r="IY173" s="148"/>
      <c r="IZ173" s="148"/>
      <c r="JA173" s="148"/>
      <c r="JB173" s="148"/>
    </row>
    <row r="174" spans="1:262" s="151" customFormat="1" x14ac:dyDescent="0.35">
      <c r="A174" s="1423">
        <v>160</v>
      </c>
      <c r="B174" s="1589"/>
      <c r="C174" s="1726"/>
      <c r="D174" s="1205" t="s">
        <v>999</v>
      </c>
      <c r="E174" s="1560"/>
      <c r="F174" s="1561"/>
      <c r="G174" s="1562"/>
      <c r="H174" s="1563"/>
      <c r="I174" s="1580"/>
      <c r="J174" s="1580"/>
      <c r="K174" s="1580"/>
      <c r="L174" s="1580"/>
      <c r="M174" s="1580"/>
      <c r="N174" s="1580"/>
      <c r="O174" s="1580"/>
      <c r="P174" s="1672">
        <f t="shared" ref="P174:P175" si="21">SUM(I174:O174)</f>
        <v>0</v>
      </c>
      <c r="Q174" s="1567"/>
    </row>
    <row r="175" spans="1:262" s="151" customFormat="1" ht="18" thickBot="1" x14ac:dyDescent="0.4">
      <c r="A175" s="1423">
        <v>161</v>
      </c>
      <c r="B175" s="1589"/>
      <c r="C175" s="1673"/>
      <c r="D175" s="1163" t="s">
        <v>1116</v>
      </c>
      <c r="E175" s="1674"/>
      <c r="F175" s="1727"/>
      <c r="G175" s="1676"/>
      <c r="H175" s="1728"/>
      <c r="I175" s="1729"/>
      <c r="J175" s="1729"/>
      <c r="K175" s="1729"/>
      <c r="L175" s="1729"/>
      <c r="M175" s="1678">
        <f>SUM(M173:M174)</f>
        <v>0</v>
      </c>
      <c r="N175" s="1729"/>
      <c r="O175" s="1729"/>
      <c r="P175" s="1672">
        <f t="shared" si="21"/>
        <v>0</v>
      </c>
      <c r="Q175" s="1730"/>
    </row>
    <row r="176" spans="1:262" s="151" customFormat="1" ht="20.100000000000001" customHeight="1" thickTop="1" thickBot="1" x14ac:dyDescent="0.4">
      <c r="A176" s="1423">
        <v>162</v>
      </c>
      <c r="B176" s="1557"/>
      <c r="C176" s="1731"/>
      <c r="D176" s="1732" t="s">
        <v>849</v>
      </c>
      <c r="E176" s="1733">
        <f>E101+E97+E93+E89+E85+E80</f>
        <v>212406</v>
      </c>
      <c r="F176" s="1733">
        <f t="shared" ref="F176:G176" si="22">F101+F97+F93+F89+F85+F80</f>
        <v>0</v>
      </c>
      <c r="G176" s="1733">
        <f t="shared" si="22"/>
        <v>0</v>
      </c>
      <c r="H176" s="1734"/>
      <c r="I176" s="1735"/>
      <c r="J176" s="1735"/>
      <c r="K176" s="1735"/>
      <c r="L176" s="1735"/>
      <c r="M176" s="1735"/>
      <c r="N176" s="1735"/>
      <c r="O176" s="1735"/>
      <c r="P176" s="1735"/>
      <c r="Q176" s="1736"/>
    </row>
    <row r="177" spans="1:17" s="151" customFormat="1" ht="20.100000000000001" customHeight="1" x14ac:dyDescent="0.35">
      <c r="A177" s="1423">
        <v>163</v>
      </c>
      <c r="B177" s="1546"/>
      <c r="C177" s="1737"/>
      <c r="D177" s="1509" t="s">
        <v>311</v>
      </c>
      <c r="E177" s="1549"/>
      <c r="F177" s="1549"/>
      <c r="G177" s="1551"/>
      <c r="H177" s="1738"/>
      <c r="I177" s="1739">
        <f t="shared" ref="I177:P177" si="23">I172+I167+I162+I157+I152+I147+I142+I137+I132+I127+I122+I117+I112+I106+I81</f>
        <v>0</v>
      </c>
      <c r="J177" s="1739">
        <f t="shared" si="23"/>
        <v>0</v>
      </c>
      <c r="K177" s="1739">
        <f t="shared" si="23"/>
        <v>197850</v>
      </c>
      <c r="L177" s="1739">
        <f t="shared" si="23"/>
        <v>165075</v>
      </c>
      <c r="M177" s="1739">
        <f t="shared" si="23"/>
        <v>2664544</v>
      </c>
      <c r="N177" s="1739">
        <f t="shared" si="23"/>
        <v>0</v>
      </c>
      <c r="O177" s="1739">
        <f t="shared" si="23"/>
        <v>0</v>
      </c>
      <c r="P177" s="1740">
        <f t="shared" si="23"/>
        <v>3027469</v>
      </c>
      <c r="Q177" s="1741"/>
    </row>
    <row r="178" spans="1:17" s="151" customFormat="1" ht="20.100000000000001" customHeight="1" x14ac:dyDescent="0.35">
      <c r="A178" s="1423">
        <v>164</v>
      </c>
      <c r="B178" s="1546"/>
      <c r="C178" s="1737"/>
      <c r="D178" s="1163" t="s">
        <v>1064</v>
      </c>
      <c r="E178" s="1549"/>
      <c r="F178" s="1549"/>
      <c r="G178" s="1551"/>
      <c r="H178" s="1552"/>
      <c r="I178" s="1742">
        <f t="shared" ref="I178:O179" si="24">I173+I168+I163+I158+I153+I148+I143+I138+I133+I128+I123+I118+I113+I107+I82+I102+I98+I94+I90+I86</f>
        <v>0</v>
      </c>
      <c r="J178" s="1742">
        <f t="shared" si="24"/>
        <v>0</v>
      </c>
      <c r="K178" s="1742">
        <f t="shared" si="24"/>
        <v>2450</v>
      </c>
      <c r="L178" s="1742">
        <f t="shared" si="24"/>
        <v>0</v>
      </c>
      <c r="M178" s="1742">
        <f t="shared" si="24"/>
        <v>0</v>
      </c>
      <c r="N178" s="1742">
        <f t="shared" si="24"/>
        <v>209956</v>
      </c>
      <c r="O178" s="1742">
        <f t="shared" si="24"/>
        <v>0</v>
      </c>
      <c r="P178" s="1576">
        <f>SUM(I178:O178)</f>
        <v>212406</v>
      </c>
      <c r="Q178" s="1741"/>
    </row>
    <row r="179" spans="1:17" ht="18" customHeight="1" x14ac:dyDescent="0.35">
      <c r="A179" s="1423">
        <v>165</v>
      </c>
      <c r="B179" s="1557"/>
      <c r="C179" s="1582"/>
      <c r="D179" s="1514" t="s">
        <v>999</v>
      </c>
      <c r="E179" s="1560"/>
      <c r="F179" s="1560"/>
      <c r="G179" s="1562"/>
      <c r="H179" s="1563"/>
      <c r="I179" s="1598">
        <f>I174+I169+I164+I159+I154+I149+I144+I139+I134+I129+I124+I119+I114+I108+I83+I103+I99+I95+I91+I87</f>
        <v>0</v>
      </c>
      <c r="J179" s="1598">
        <f t="shared" si="24"/>
        <v>0</v>
      </c>
      <c r="K179" s="1598">
        <f t="shared" si="24"/>
        <v>0</v>
      </c>
      <c r="L179" s="1598">
        <f t="shared" si="24"/>
        <v>0</v>
      </c>
      <c r="M179" s="1598">
        <f t="shared" si="24"/>
        <v>0</v>
      </c>
      <c r="N179" s="1598">
        <f t="shared" si="24"/>
        <v>0</v>
      </c>
      <c r="O179" s="1598">
        <f t="shared" si="24"/>
        <v>0</v>
      </c>
      <c r="P179" s="1927">
        <f>SUM(I179:O179)</f>
        <v>0</v>
      </c>
      <c r="Q179" s="1604"/>
    </row>
    <row r="180" spans="1:17" ht="18" customHeight="1" thickBot="1" x14ac:dyDescent="0.4">
      <c r="A180" s="1423">
        <v>166</v>
      </c>
      <c r="B180" s="1605"/>
      <c r="C180" s="1606"/>
      <c r="D180" s="1536" t="s">
        <v>1116</v>
      </c>
      <c r="E180" s="1607"/>
      <c r="F180" s="1607"/>
      <c r="G180" s="1608"/>
      <c r="H180" s="1609"/>
      <c r="I180" s="1743">
        <f>SUM(I178:I179)</f>
        <v>0</v>
      </c>
      <c r="J180" s="1743">
        <f t="shared" ref="J180:O180" si="25">SUM(J178:J179)</f>
        <v>0</v>
      </c>
      <c r="K180" s="1743">
        <f t="shared" si="25"/>
        <v>2450</v>
      </c>
      <c r="L180" s="1743">
        <f t="shared" si="25"/>
        <v>0</v>
      </c>
      <c r="M180" s="1743">
        <f t="shared" si="25"/>
        <v>0</v>
      </c>
      <c r="N180" s="1743">
        <f t="shared" si="25"/>
        <v>209956</v>
      </c>
      <c r="O180" s="1743">
        <f t="shared" si="25"/>
        <v>0</v>
      </c>
      <c r="P180" s="1744">
        <f>SUM(P178:P179)</f>
        <v>212406</v>
      </c>
      <c r="Q180" s="1610"/>
    </row>
    <row r="181" spans="1:17" ht="18" customHeight="1" x14ac:dyDescent="0.3">
      <c r="A181" s="1423">
        <v>167</v>
      </c>
      <c r="B181" s="2187" t="s">
        <v>13</v>
      </c>
      <c r="C181" s="2188"/>
      <c r="D181" s="2188"/>
      <c r="E181" s="2188"/>
      <c r="F181" s="2188"/>
      <c r="G181" s="2189"/>
      <c r="H181" s="1611"/>
      <c r="I181" s="1612"/>
      <c r="J181" s="1612"/>
      <c r="K181" s="1612"/>
      <c r="L181" s="1612"/>
      <c r="M181" s="1612"/>
      <c r="N181" s="1612"/>
      <c r="O181" s="1612"/>
      <c r="P181" s="1612"/>
      <c r="Q181" s="1613"/>
    </row>
    <row r="182" spans="1:17" x14ac:dyDescent="0.3">
      <c r="A182" s="1423">
        <v>168</v>
      </c>
      <c r="B182" s="1614"/>
      <c r="C182" s="1615"/>
      <c r="D182" s="1745" t="s">
        <v>311</v>
      </c>
      <c r="E182" s="1615"/>
      <c r="F182" s="1615"/>
      <c r="G182" s="1746"/>
      <c r="H182" s="1747"/>
      <c r="I182" s="1617">
        <f t="shared" ref="I182:P184" si="26">I177+I75</f>
        <v>1000</v>
      </c>
      <c r="J182" s="1617">
        <f t="shared" si="26"/>
        <v>500</v>
      </c>
      <c r="K182" s="1617">
        <f t="shared" si="26"/>
        <v>516546</v>
      </c>
      <c r="L182" s="1617">
        <f t="shared" si="26"/>
        <v>165075</v>
      </c>
      <c r="M182" s="1617">
        <f t="shared" si="26"/>
        <v>2703044</v>
      </c>
      <c r="N182" s="1617">
        <f t="shared" si="26"/>
        <v>68500</v>
      </c>
      <c r="O182" s="1617">
        <f t="shared" si="26"/>
        <v>0</v>
      </c>
      <c r="P182" s="1655">
        <f t="shared" si="26"/>
        <v>3454665</v>
      </c>
      <c r="Q182" s="1748"/>
    </row>
    <row r="183" spans="1:17" x14ac:dyDescent="0.35">
      <c r="A183" s="1423">
        <v>169</v>
      </c>
      <c r="B183" s="1614"/>
      <c r="C183" s="1615"/>
      <c r="D183" s="1163" t="s">
        <v>1064</v>
      </c>
      <c r="E183" s="1615"/>
      <c r="F183" s="1615"/>
      <c r="G183" s="1746"/>
      <c r="H183" s="1747"/>
      <c r="I183" s="1656">
        <f t="shared" si="26"/>
        <v>1000</v>
      </c>
      <c r="J183" s="1656">
        <f t="shared" si="26"/>
        <v>500</v>
      </c>
      <c r="K183" s="1656">
        <f t="shared" si="26"/>
        <v>310552</v>
      </c>
      <c r="L183" s="1656">
        <f t="shared" si="26"/>
        <v>0</v>
      </c>
      <c r="M183" s="1656">
        <f t="shared" si="26"/>
        <v>117594</v>
      </c>
      <c r="N183" s="1656">
        <f t="shared" si="26"/>
        <v>209956</v>
      </c>
      <c r="O183" s="1656">
        <f t="shared" si="26"/>
        <v>0</v>
      </c>
      <c r="P183" s="1576">
        <f>SUM(I183:O183)</f>
        <v>639602</v>
      </c>
      <c r="Q183" s="1748"/>
    </row>
    <row r="184" spans="1:17" x14ac:dyDescent="0.3">
      <c r="A184" s="1423">
        <v>170</v>
      </c>
      <c r="B184" s="1623"/>
      <c r="C184" s="1624"/>
      <c r="D184" s="1514" t="s">
        <v>999</v>
      </c>
      <c r="E184" s="1624"/>
      <c r="F184" s="1624"/>
      <c r="G184" s="1749"/>
      <c r="H184" s="1750"/>
      <c r="I184" s="1751">
        <f t="shared" si="26"/>
        <v>0</v>
      </c>
      <c r="J184" s="1751">
        <f t="shared" si="26"/>
        <v>0</v>
      </c>
      <c r="K184" s="1751">
        <f t="shared" si="26"/>
        <v>-45022</v>
      </c>
      <c r="L184" s="1751">
        <f t="shared" si="26"/>
        <v>0</v>
      </c>
      <c r="M184" s="1751">
        <f t="shared" si="26"/>
        <v>45022</v>
      </c>
      <c r="N184" s="1751">
        <f t="shared" si="26"/>
        <v>0</v>
      </c>
      <c r="O184" s="1751">
        <f t="shared" si="26"/>
        <v>0</v>
      </c>
      <c r="P184" s="1622">
        <f>I184+J184+K184+L184+M184+N184+O184</f>
        <v>0</v>
      </c>
      <c r="Q184" s="1752"/>
    </row>
    <row r="185" spans="1:17" ht="18" thickBot="1" x14ac:dyDescent="0.35">
      <c r="A185" s="1423">
        <v>171</v>
      </c>
      <c r="B185" s="1627"/>
      <c r="C185" s="1628"/>
      <c r="D185" s="1536" t="s">
        <v>1116</v>
      </c>
      <c r="E185" s="1628"/>
      <c r="F185" s="1628"/>
      <c r="G185" s="1753"/>
      <c r="H185" s="1754"/>
      <c r="I185" s="1630">
        <f>SUM(I183:I184)</f>
        <v>1000</v>
      </c>
      <c r="J185" s="1630">
        <f t="shared" ref="J185:O185" si="27">SUM(J183:J184)</f>
        <v>500</v>
      </c>
      <c r="K185" s="1630">
        <f t="shared" si="27"/>
        <v>265530</v>
      </c>
      <c r="L185" s="1630">
        <f t="shared" si="27"/>
        <v>0</v>
      </c>
      <c r="M185" s="1630">
        <f t="shared" si="27"/>
        <v>162616</v>
      </c>
      <c r="N185" s="1630">
        <f t="shared" si="27"/>
        <v>209956</v>
      </c>
      <c r="O185" s="1630">
        <f t="shared" si="27"/>
        <v>0</v>
      </c>
      <c r="P185" s="1630">
        <f>SUM(P183:P184)</f>
        <v>639602</v>
      </c>
      <c r="Q185" s="1755"/>
    </row>
    <row r="186" spans="1:17" x14ac:dyDescent="0.35">
      <c r="B186" s="1633" t="s">
        <v>27</v>
      </c>
      <c r="C186" s="1634"/>
      <c r="D186" s="1633"/>
      <c r="E186" s="1635"/>
      <c r="F186" s="1636"/>
      <c r="G186" s="1635"/>
      <c r="H186" s="269"/>
      <c r="I186" s="1635"/>
      <c r="J186" s="1635"/>
      <c r="K186" s="1635"/>
      <c r="L186" s="1635"/>
      <c r="M186" s="1635"/>
      <c r="N186" s="1635"/>
      <c r="O186" s="1635"/>
      <c r="P186" s="1637"/>
      <c r="Q186" s="1900"/>
    </row>
    <row r="187" spans="1:17" x14ac:dyDescent="0.35">
      <c r="B187" s="1633" t="s">
        <v>28</v>
      </c>
      <c r="C187" s="1634"/>
      <c r="D187" s="1633"/>
      <c r="E187" s="217"/>
      <c r="F187" s="1636"/>
      <c r="G187" s="1635"/>
      <c r="H187" s="269"/>
      <c r="I187" s="1635"/>
      <c r="J187" s="1635"/>
      <c r="K187" s="1635"/>
      <c r="L187" s="1635"/>
      <c r="M187" s="1635"/>
      <c r="N187" s="1635"/>
      <c r="O187" s="1635"/>
      <c r="P187" s="1637"/>
      <c r="Q187" s="1900"/>
    </row>
    <row r="188" spans="1:17" x14ac:dyDescent="0.35">
      <c r="B188" s="1633" t="s">
        <v>29</v>
      </c>
      <c r="C188" s="1634"/>
      <c r="D188" s="1633"/>
      <c r="E188" s="217"/>
      <c r="F188" s="1636"/>
      <c r="G188" s="1635"/>
      <c r="H188" s="269"/>
      <c r="I188" s="1635"/>
      <c r="J188" s="1635"/>
      <c r="K188" s="1635"/>
      <c r="L188" s="1635"/>
      <c r="M188" s="1635"/>
      <c r="N188" s="1635"/>
      <c r="O188" s="1635"/>
      <c r="P188" s="1637"/>
      <c r="Q188" s="1900"/>
    </row>
    <row r="189" spans="1:17" x14ac:dyDescent="0.35">
      <c r="B189" s="1638" t="s">
        <v>965</v>
      </c>
      <c r="C189" s="1638"/>
      <c r="E189" s="1900"/>
      <c r="F189" s="1900"/>
      <c r="G189" s="1900"/>
      <c r="I189" s="1900"/>
      <c r="J189" s="1900"/>
      <c r="K189" s="1900"/>
      <c r="L189" s="1900"/>
      <c r="M189" s="1900"/>
      <c r="N189" s="1900"/>
      <c r="O189" s="1900"/>
      <c r="Q189" s="1900"/>
    </row>
    <row r="190" spans="1:17" x14ac:dyDescent="0.35">
      <c r="B190" s="1903"/>
      <c r="C190" s="1903"/>
      <c r="E190" s="1900"/>
      <c r="F190" s="1900"/>
      <c r="G190" s="1900"/>
      <c r="I190" s="1900"/>
      <c r="J190" s="1900"/>
      <c r="K190" s="1900"/>
      <c r="L190" s="1900"/>
      <c r="M190" s="1900"/>
      <c r="N190" s="1900"/>
      <c r="O190" s="1900"/>
      <c r="Q190" s="1900"/>
    </row>
  </sheetData>
  <mergeCells count="19">
    <mergeCell ref="B181:G181"/>
    <mergeCell ref="R9:S9"/>
    <mergeCell ref="I10:L10"/>
    <mergeCell ref="M10:O10"/>
    <mergeCell ref="P10:P11"/>
    <mergeCell ref="B9:B11"/>
    <mergeCell ref="C9:C11"/>
    <mergeCell ref="D9:D11"/>
    <mergeCell ref="E9:E11"/>
    <mergeCell ref="F9:F11"/>
    <mergeCell ref="G9:G11"/>
    <mergeCell ref="H9:H11"/>
    <mergeCell ref="I9:P9"/>
    <mergeCell ref="Q9:Q11"/>
    <mergeCell ref="A1:D1"/>
    <mergeCell ref="I1:Q1"/>
    <mergeCell ref="A5:Q5"/>
    <mergeCell ref="A6:Q6"/>
    <mergeCell ref="A2:E2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58" fitToHeight="0" orientation="landscape" r:id="rId1"/>
  <headerFooter>
    <oddFooter>&amp;C- &amp;P -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view="pageBreakPreview" topLeftCell="A15" zoomScaleNormal="75" zoomScaleSheetLayoutView="100" workbookViewId="0">
      <selection activeCell="B15" sqref="B15"/>
    </sheetView>
  </sheetViews>
  <sheetFormatPr defaultColWidth="9.140625" defaultRowHeight="16.5" x14ac:dyDescent="0.3"/>
  <cols>
    <col min="1" max="1" width="5.7109375" style="71" customWidth="1"/>
    <col min="2" max="2" width="4.7109375" style="154" customWidth="1"/>
    <col min="3" max="3" width="63.7109375" style="73" customWidth="1"/>
    <col min="4" max="4" width="14.85546875" style="2" customWidth="1"/>
    <col min="5" max="5" width="16" style="154" customWidth="1"/>
    <col min="6" max="6" width="4.85546875" style="73" customWidth="1"/>
    <col min="7" max="7" width="60.140625" style="2" bestFit="1" customWidth="1"/>
    <col min="8" max="8" width="15" style="73" customWidth="1"/>
    <col min="9" max="9" width="15.7109375" style="73" customWidth="1"/>
    <col min="10" max="16384" width="9.140625" style="73"/>
  </cols>
  <sheetData>
    <row r="1" spans="1:9" s="1" customFormat="1" ht="18" customHeight="1" x14ac:dyDescent="0.2">
      <c r="A1" s="105"/>
      <c r="B1" s="2193" t="s">
        <v>980</v>
      </c>
      <c r="C1" s="2193"/>
      <c r="D1" s="158"/>
      <c r="E1" s="159"/>
      <c r="G1" s="158"/>
    </row>
    <row r="2" spans="1:9" s="1" customFormat="1" ht="18" customHeight="1" x14ac:dyDescent="0.3">
      <c r="A2" s="105"/>
      <c r="B2" s="1936" t="s">
        <v>1052</v>
      </c>
      <c r="C2" s="1936"/>
      <c r="D2" s="1936"/>
      <c r="E2" s="1936"/>
      <c r="F2" s="1936"/>
      <c r="G2" s="158"/>
    </row>
    <row r="3" spans="1:9" s="1" customFormat="1" ht="18" customHeight="1" x14ac:dyDescent="0.3">
      <c r="A3" s="105"/>
      <c r="B3" s="500" t="s">
        <v>1109</v>
      </c>
      <c r="C3" s="500"/>
      <c r="D3" s="500"/>
      <c r="E3" s="500"/>
      <c r="F3" s="500"/>
      <c r="G3" s="158"/>
    </row>
    <row r="4" spans="1:9" s="1" customFormat="1" ht="18" customHeight="1" x14ac:dyDescent="0.3">
      <c r="A4" s="105"/>
      <c r="B4" s="1905" t="s">
        <v>1226</v>
      </c>
      <c r="C4" s="1886"/>
      <c r="D4" s="1886"/>
      <c r="E4" s="1886"/>
      <c r="F4" s="1886"/>
      <c r="G4" s="158"/>
    </row>
    <row r="5" spans="1:9" s="1" customFormat="1" ht="24.75" customHeight="1" x14ac:dyDescent="0.2">
      <c r="A5" s="105"/>
      <c r="B5" s="1938" t="s">
        <v>218</v>
      </c>
      <c r="C5" s="1938"/>
      <c r="D5" s="1938"/>
      <c r="E5" s="1938"/>
      <c r="F5" s="1938"/>
      <c r="G5" s="1938"/>
    </row>
    <row r="6" spans="1:9" s="1" customFormat="1" ht="24.75" customHeight="1" x14ac:dyDescent="0.2">
      <c r="A6" s="105"/>
      <c r="B6" s="1938" t="s">
        <v>680</v>
      </c>
      <c r="C6" s="1938"/>
      <c r="D6" s="1938"/>
      <c r="E6" s="1938"/>
      <c r="F6" s="1938"/>
      <c r="G6" s="1938"/>
    </row>
    <row r="7" spans="1:9" x14ac:dyDescent="0.3">
      <c r="A7" s="339"/>
      <c r="B7" s="340"/>
      <c r="C7" s="340"/>
      <c r="D7" s="340"/>
      <c r="E7" s="340"/>
      <c r="F7" s="340"/>
      <c r="G7" s="340"/>
      <c r="H7" s="79"/>
      <c r="I7" s="79" t="s">
        <v>0</v>
      </c>
    </row>
    <row r="8" spans="1:9" ht="17.25" thickBot="1" x14ac:dyDescent="0.35">
      <c r="A8" s="338"/>
      <c r="B8" s="338" t="s">
        <v>1</v>
      </c>
      <c r="C8" s="338" t="s">
        <v>419</v>
      </c>
      <c r="D8" s="338" t="s">
        <v>2</v>
      </c>
      <c r="E8" s="338" t="s">
        <v>4</v>
      </c>
      <c r="F8" s="338" t="s">
        <v>5</v>
      </c>
      <c r="G8" s="338" t="s">
        <v>15</v>
      </c>
      <c r="H8" s="709" t="s">
        <v>16</v>
      </c>
      <c r="I8" s="709" t="s">
        <v>17</v>
      </c>
    </row>
    <row r="9" spans="1:9" ht="51.75" x14ac:dyDescent="0.35">
      <c r="A9" s="71">
        <v>1</v>
      </c>
      <c r="B9" s="1815"/>
      <c r="C9" s="1816" t="s">
        <v>219</v>
      </c>
      <c r="D9" s="1817" t="s">
        <v>988</v>
      </c>
      <c r="E9" s="1817" t="s">
        <v>1110</v>
      </c>
      <c r="F9" s="1818"/>
      <c r="G9" s="1819" t="s">
        <v>220</v>
      </c>
      <c r="H9" s="1817" t="s">
        <v>988</v>
      </c>
      <c r="I9" s="1820" t="s">
        <v>1110</v>
      </c>
    </row>
    <row r="10" spans="1:9" x14ac:dyDescent="0.3">
      <c r="A10" s="71">
        <v>2</v>
      </c>
      <c r="B10" s="553" t="s">
        <v>130</v>
      </c>
      <c r="C10" s="73" t="s">
        <v>221</v>
      </c>
      <c r="D10" s="1821">
        <v>4640257</v>
      </c>
      <c r="E10" s="1821">
        <v>4619469</v>
      </c>
      <c r="F10" s="1822" t="s">
        <v>130</v>
      </c>
      <c r="G10" s="73" t="s">
        <v>40</v>
      </c>
      <c r="H10" s="1823">
        <v>4606337</v>
      </c>
      <c r="I10" s="559">
        <v>4855152</v>
      </c>
    </row>
    <row r="11" spans="1:9" x14ac:dyDescent="0.3">
      <c r="A11" s="71">
        <v>3</v>
      </c>
      <c r="B11" s="553" t="s">
        <v>137</v>
      </c>
      <c r="C11" s="73" t="s">
        <v>179</v>
      </c>
      <c r="D11" s="1821">
        <v>7945120</v>
      </c>
      <c r="E11" s="1821">
        <v>7280120</v>
      </c>
      <c r="F11" s="1822" t="s">
        <v>137</v>
      </c>
      <c r="G11" s="73" t="s">
        <v>222</v>
      </c>
      <c r="H11" s="1823">
        <v>881200</v>
      </c>
      <c r="I11" s="559">
        <v>948750</v>
      </c>
    </row>
    <row r="12" spans="1:9" x14ac:dyDescent="0.3">
      <c r="A12" s="71">
        <v>4</v>
      </c>
      <c r="B12" s="553" t="s">
        <v>138</v>
      </c>
      <c r="C12" s="1824" t="s">
        <v>146</v>
      </c>
      <c r="D12" s="1821">
        <v>2529882</v>
      </c>
      <c r="E12" s="1821">
        <v>2013815</v>
      </c>
      <c r="F12" s="1822" t="s">
        <v>138</v>
      </c>
      <c r="G12" s="73" t="s">
        <v>42</v>
      </c>
      <c r="H12" s="1823">
        <v>5506893</v>
      </c>
      <c r="I12" s="559">
        <v>5669246</v>
      </c>
    </row>
    <row r="13" spans="1:9" x14ac:dyDescent="0.3">
      <c r="A13" s="71">
        <v>5</v>
      </c>
      <c r="B13" s="553" t="s">
        <v>139</v>
      </c>
      <c r="C13" s="73" t="s">
        <v>184</v>
      </c>
      <c r="D13" s="1821">
        <v>0</v>
      </c>
      <c r="E13" s="1821">
        <v>11626</v>
      </c>
      <c r="F13" s="1825" t="s">
        <v>139</v>
      </c>
      <c r="G13" s="73" t="s">
        <v>223</v>
      </c>
      <c r="H13" s="1823">
        <v>23248</v>
      </c>
      <c r="I13" s="559">
        <v>32198</v>
      </c>
    </row>
    <row r="14" spans="1:9" x14ac:dyDescent="0.3">
      <c r="A14" s="71">
        <v>6</v>
      </c>
      <c r="B14" s="553"/>
      <c r="C14" s="1824"/>
      <c r="D14" s="1821"/>
      <c r="E14" s="1821"/>
      <c r="F14" s="1825" t="s">
        <v>140</v>
      </c>
      <c r="G14" s="1826" t="s">
        <v>224</v>
      </c>
      <c r="H14" s="1823">
        <v>3609806</v>
      </c>
      <c r="I14" s="559">
        <v>3471974</v>
      </c>
    </row>
    <row r="15" spans="1:9" x14ac:dyDescent="0.3">
      <c r="A15" s="71">
        <v>7</v>
      </c>
      <c r="B15" s="553"/>
      <c r="C15" s="1824"/>
      <c r="D15" s="1821"/>
      <c r="E15" s="1821"/>
      <c r="F15" s="1825" t="s">
        <v>225</v>
      </c>
      <c r="G15" s="1826" t="s">
        <v>598</v>
      </c>
      <c r="H15" s="1823">
        <v>313087</v>
      </c>
      <c r="I15" s="559">
        <v>141584</v>
      </c>
    </row>
    <row r="16" spans="1:9" ht="17.25" x14ac:dyDescent="0.3">
      <c r="A16" s="71">
        <v>8</v>
      </c>
      <c r="B16" s="1827"/>
      <c r="C16" s="1828" t="s">
        <v>226</v>
      </c>
      <c r="D16" s="1829">
        <v>15115259</v>
      </c>
      <c r="E16" s="1829">
        <v>13925030</v>
      </c>
      <c r="F16" s="1830"/>
      <c r="G16" s="1828" t="s">
        <v>227</v>
      </c>
      <c r="H16" s="1831">
        <v>14940571</v>
      </c>
      <c r="I16" s="1831">
        <v>15118904</v>
      </c>
    </row>
    <row r="17" spans="1:9" ht="17.25" x14ac:dyDescent="0.35">
      <c r="A17" s="71">
        <v>9</v>
      </c>
      <c r="B17" s="1832"/>
      <c r="C17" s="546" t="s">
        <v>228</v>
      </c>
      <c r="D17" s="1833"/>
      <c r="E17" s="1833"/>
      <c r="F17" s="1834"/>
      <c r="G17" s="546" t="s">
        <v>229</v>
      </c>
      <c r="H17" s="1835"/>
      <c r="I17" s="1836"/>
    </row>
    <row r="18" spans="1:9" x14ac:dyDescent="0.3">
      <c r="A18" s="71">
        <v>10</v>
      </c>
      <c r="B18" s="545" t="s">
        <v>130</v>
      </c>
      <c r="C18" s="1837" t="s">
        <v>230</v>
      </c>
      <c r="D18" s="1838">
        <v>8166069</v>
      </c>
      <c r="E18" s="1838">
        <v>10222545</v>
      </c>
      <c r="F18" s="1839" t="s">
        <v>130</v>
      </c>
      <c r="G18" s="1837" t="s">
        <v>231</v>
      </c>
      <c r="H18" s="1823">
        <v>21289183</v>
      </c>
      <c r="I18" s="559">
        <v>21539291</v>
      </c>
    </row>
    <row r="19" spans="1:9" x14ac:dyDescent="0.3">
      <c r="A19" s="71">
        <v>11</v>
      </c>
      <c r="B19" s="545" t="s">
        <v>137</v>
      </c>
      <c r="C19" s="1837" t="s">
        <v>190</v>
      </c>
      <c r="D19" s="1838">
        <v>197543</v>
      </c>
      <c r="E19" s="1838">
        <v>194400</v>
      </c>
      <c r="F19" s="1839" t="s">
        <v>137</v>
      </c>
      <c r="G19" s="1837" t="s">
        <v>164</v>
      </c>
      <c r="H19" s="1823">
        <v>549493</v>
      </c>
      <c r="I19" s="559">
        <v>2072229</v>
      </c>
    </row>
    <row r="20" spans="1:9" x14ac:dyDescent="0.3">
      <c r="A20" s="71">
        <v>12</v>
      </c>
      <c r="B20" s="545" t="s">
        <v>138</v>
      </c>
      <c r="C20" s="73" t="s">
        <v>193</v>
      </c>
      <c r="D20" s="1838">
        <v>0</v>
      </c>
      <c r="E20" s="1838">
        <v>0</v>
      </c>
      <c r="F20" s="1839" t="s">
        <v>138</v>
      </c>
      <c r="G20" s="1837" t="s">
        <v>232</v>
      </c>
      <c r="H20" s="1823">
        <v>388439</v>
      </c>
      <c r="I20" s="559">
        <v>373230</v>
      </c>
    </row>
    <row r="21" spans="1:9" x14ac:dyDescent="0.3">
      <c r="A21" s="71">
        <v>13</v>
      </c>
      <c r="B21" s="545"/>
      <c r="D21" s="1838"/>
      <c r="E21" s="1838"/>
      <c r="F21" s="1839" t="s">
        <v>139</v>
      </c>
      <c r="G21" s="1837" t="s">
        <v>599</v>
      </c>
      <c r="H21" s="1823">
        <v>384588</v>
      </c>
      <c r="I21" s="559">
        <v>493588</v>
      </c>
    </row>
    <row r="22" spans="1:9" ht="18" thickBot="1" x14ac:dyDescent="0.35">
      <c r="A22" s="71">
        <v>14</v>
      </c>
      <c r="B22" s="1840"/>
      <c r="C22" s="1841" t="s">
        <v>233</v>
      </c>
      <c r="D22" s="1842">
        <v>8363612</v>
      </c>
      <c r="E22" s="1842">
        <v>10416945</v>
      </c>
      <c r="F22" s="1843"/>
      <c r="G22" s="1841" t="s">
        <v>234</v>
      </c>
      <c r="H22" s="1844">
        <v>22611703</v>
      </c>
      <c r="I22" s="1844">
        <v>24478338</v>
      </c>
    </row>
    <row r="23" spans="1:9" ht="18.75" thickTop="1" thickBot="1" x14ac:dyDescent="0.35">
      <c r="A23" s="71">
        <v>15</v>
      </c>
      <c r="B23" s="1845"/>
      <c r="C23" s="1846" t="s">
        <v>196</v>
      </c>
      <c r="D23" s="1847">
        <v>23478871</v>
      </c>
      <c r="E23" s="1847">
        <v>24341975</v>
      </c>
      <c r="F23" s="1848"/>
      <c r="G23" s="1846" t="s">
        <v>211</v>
      </c>
      <c r="H23" s="1849">
        <v>37552274</v>
      </c>
      <c r="I23" s="1849">
        <v>39597242</v>
      </c>
    </row>
    <row r="24" spans="1:9" ht="18" thickTop="1" x14ac:dyDescent="0.35">
      <c r="A24" s="71">
        <v>16</v>
      </c>
      <c r="B24" s="1850"/>
      <c r="C24" s="546" t="s">
        <v>235</v>
      </c>
      <c r="D24" s="1851"/>
      <c r="E24" s="1851"/>
      <c r="F24" s="1852"/>
      <c r="G24" s="546" t="s">
        <v>236</v>
      </c>
      <c r="H24" s="1853"/>
      <c r="I24" s="1854"/>
    </row>
    <row r="25" spans="1:9" x14ac:dyDescent="0.3">
      <c r="A25" s="71">
        <v>17</v>
      </c>
      <c r="B25" s="590" t="s">
        <v>130</v>
      </c>
      <c r="C25" s="1" t="s">
        <v>237</v>
      </c>
      <c r="D25" s="1851"/>
      <c r="E25" s="1851"/>
      <c r="F25" s="1852" t="s">
        <v>130</v>
      </c>
      <c r="G25" s="1" t="s">
        <v>238</v>
      </c>
      <c r="H25" s="1853"/>
      <c r="I25" s="1854"/>
    </row>
    <row r="26" spans="1:9" x14ac:dyDescent="0.3">
      <c r="A26" s="71">
        <v>18</v>
      </c>
      <c r="B26" s="590" t="s">
        <v>137</v>
      </c>
      <c r="C26" s="1" t="s">
        <v>310</v>
      </c>
      <c r="D26" s="1851">
        <v>1081085</v>
      </c>
      <c r="E26" s="1851">
        <v>2384006</v>
      </c>
      <c r="F26" s="1852" t="s">
        <v>137</v>
      </c>
      <c r="G26" s="1" t="s">
        <v>266</v>
      </c>
      <c r="H26" s="1853">
        <v>111267</v>
      </c>
      <c r="I26" s="1853">
        <v>111267</v>
      </c>
    </row>
    <row r="27" spans="1:9" x14ac:dyDescent="0.3">
      <c r="A27" s="71">
        <v>19</v>
      </c>
      <c r="B27" s="590" t="s">
        <v>138</v>
      </c>
      <c r="C27" s="1" t="s">
        <v>265</v>
      </c>
      <c r="D27" s="1851">
        <v>0</v>
      </c>
      <c r="E27" s="1851">
        <v>0</v>
      </c>
      <c r="F27" s="1852"/>
      <c r="G27" s="1"/>
      <c r="H27" s="1853"/>
      <c r="I27" s="1854"/>
    </row>
    <row r="28" spans="1:9" ht="17.25" x14ac:dyDescent="0.35">
      <c r="A28" s="71">
        <v>20</v>
      </c>
      <c r="B28" s="1850"/>
      <c r="C28" s="546" t="s">
        <v>239</v>
      </c>
      <c r="D28" s="1851"/>
      <c r="E28" s="1851"/>
      <c r="F28" s="1852"/>
      <c r="G28" s="546" t="s">
        <v>240</v>
      </c>
      <c r="H28" s="1853"/>
      <c r="I28" s="1854"/>
    </row>
    <row r="29" spans="1:9" x14ac:dyDescent="0.3">
      <c r="A29" s="71">
        <v>21</v>
      </c>
      <c r="B29" s="590" t="s">
        <v>139</v>
      </c>
      <c r="C29" s="1" t="s">
        <v>241</v>
      </c>
      <c r="D29" s="1851">
        <v>1409800</v>
      </c>
      <c r="E29" s="1851">
        <v>1260000</v>
      </c>
      <c r="F29" s="1852" t="s">
        <v>138</v>
      </c>
      <c r="G29" s="1" t="s">
        <v>242</v>
      </c>
      <c r="H29" s="1853">
        <v>108504</v>
      </c>
      <c r="I29" s="1853">
        <v>108504</v>
      </c>
    </row>
    <row r="30" spans="1:9" x14ac:dyDescent="0.3">
      <c r="A30" s="71">
        <v>22</v>
      </c>
      <c r="B30" s="590" t="s">
        <v>140</v>
      </c>
      <c r="C30" s="1" t="s">
        <v>237</v>
      </c>
      <c r="D30" s="1851"/>
      <c r="E30" s="1851"/>
      <c r="F30" s="1852" t="s">
        <v>139</v>
      </c>
      <c r="G30" s="1" t="s">
        <v>238</v>
      </c>
      <c r="H30" s="1853"/>
      <c r="I30" s="1854"/>
    </row>
    <row r="31" spans="1:9" x14ac:dyDescent="0.3">
      <c r="A31" s="71">
        <v>23</v>
      </c>
      <c r="B31" s="590" t="s">
        <v>225</v>
      </c>
      <c r="C31" s="1" t="s">
        <v>310</v>
      </c>
      <c r="D31" s="1851">
        <v>11802289</v>
      </c>
      <c r="E31" s="1851">
        <v>11831032</v>
      </c>
      <c r="F31" s="1852"/>
      <c r="G31" s="1"/>
      <c r="H31" s="1853"/>
      <c r="I31" s="1854"/>
    </row>
    <row r="32" spans="1:9" ht="18" thickBot="1" x14ac:dyDescent="0.35">
      <c r="A32" s="71">
        <v>24</v>
      </c>
      <c r="B32" s="604"/>
      <c r="C32" s="605" t="s">
        <v>243</v>
      </c>
      <c r="D32" s="1855">
        <v>14293174</v>
      </c>
      <c r="E32" s="1855">
        <v>15475038</v>
      </c>
      <c r="F32" s="1856"/>
      <c r="G32" s="605" t="s">
        <v>244</v>
      </c>
      <c r="H32" s="1857">
        <v>219771</v>
      </c>
      <c r="I32" s="1857">
        <v>219771</v>
      </c>
    </row>
    <row r="33" spans="1:9" ht="18.75" thickTop="1" thickBot="1" x14ac:dyDescent="0.35">
      <c r="A33" s="71">
        <v>25</v>
      </c>
      <c r="B33" s="1858"/>
      <c r="C33" s="605" t="s">
        <v>245</v>
      </c>
      <c r="D33" s="1842">
        <v>37772045</v>
      </c>
      <c r="E33" s="1842">
        <v>39817013</v>
      </c>
      <c r="F33" s="1859"/>
      <c r="G33" s="605" t="s">
        <v>246</v>
      </c>
      <c r="H33" s="1844">
        <v>37772045</v>
      </c>
      <c r="I33" s="1844">
        <v>39817013</v>
      </c>
    </row>
    <row r="34" spans="1:9" ht="18" thickTop="1" x14ac:dyDescent="0.3">
      <c r="A34" s="71">
        <v>26</v>
      </c>
      <c r="B34" s="1860"/>
      <c r="C34" s="1861" t="s">
        <v>197</v>
      </c>
      <c r="D34" s="1862">
        <v>-14073403</v>
      </c>
      <c r="E34" s="1862">
        <v>-15255267</v>
      </c>
      <c r="F34" s="1863"/>
      <c r="G34" s="1864"/>
      <c r="H34" s="1853"/>
      <c r="I34" s="1854"/>
    </row>
    <row r="35" spans="1:9" ht="17.25" x14ac:dyDescent="0.3">
      <c r="A35" s="71">
        <v>27</v>
      </c>
      <c r="B35" s="1865"/>
      <c r="C35" s="1866" t="s">
        <v>247</v>
      </c>
      <c r="D35" s="1867">
        <v>174688</v>
      </c>
      <c r="E35" s="1867">
        <v>-1193874</v>
      </c>
      <c r="F35" s="1863"/>
      <c r="G35" s="1864"/>
      <c r="H35" s="1853"/>
      <c r="I35" s="1854"/>
    </row>
    <row r="36" spans="1:9" ht="17.25" x14ac:dyDescent="0.3">
      <c r="A36" s="71">
        <v>28</v>
      </c>
      <c r="B36" s="1865"/>
      <c r="C36" s="1866" t="s">
        <v>248</v>
      </c>
      <c r="D36" s="1867">
        <v>-14248091</v>
      </c>
      <c r="E36" s="1867">
        <v>-14061393</v>
      </c>
      <c r="F36" s="1863"/>
      <c r="G36" s="1864"/>
      <c r="H36" s="1853"/>
      <c r="I36" s="1854"/>
    </row>
    <row r="37" spans="1:9" ht="17.25" x14ac:dyDescent="0.3">
      <c r="A37" s="71">
        <v>29</v>
      </c>
      <c r="B37" s="1865"/>
      <c r="C37" s="1868" t="s">
        <v>249</v>
      </c>
      <c r="D37" s="1867">
        <v>-14293174</v>
      </c>
      <c r="E37" s="1867">
        <v>-15475038</v>
      </c>
      <c r="F37" s="1863"/>
      <c r="G37" s="1864"/>
      <c r="H37" s="1853"/>
      <c r="I37" s="1854"/>
    </row>
    <row r="38" spans="1:9" ht="34.5" x14ac:dyDescent="0.3">
      <c r="A38" s="71">
        <v>30</v>
      </c>
      <c r="B38" s="1865"/>
      <c r="C38" s="1869" t="s">
        <v>464</v>
      </c>
      <c r="D38" s="1867">
        <v>12883374</v>
      </c>
      <c r="E38" s="1867">
        <v>14215038</v>
      </c>
      <c r="F38" s="1863"/>
      <c r="G38" s="1864"/>
      <c r="H38" s="1853"/>
      <c r="I38" s="1854"/>
    </row>
    <row r="39" spans="1:9" ht="34.5" x14ac:dyDescent="0.3">
      <c r="A39" s="71">
        <v>31</v>
      </c>
      <c r="B39" s="1870"/>
      <c r="C39" s="1871" t="s">
        <v>465</v>
      </c>
      <c r="D39" s="1872">
        <v>1409800</v>
      </c>
      <c r="E39" s="1872">
        <v>1260000</v>
      </c>
      <c r="F39" s="1873"/>
      <c r="G39" s="1874"/>
      <c r="H39" s="1875"/>
      <c r="I39" s="1876"/>
    </row>
    <row r="40" spans="1:9" x14ac:dyDescent="0.3">
      <c r="A40" s="71">
        <v>32</v>
      </c>
      <c r="B40" s="1877"/>
      <c r="C40" s="73" t="s">
        <v>250</v>
      </c>
      <c r="D40" s="1878">
        <v>0.42879182210018019</v>
      </c>
      <c r="E40" s="1878">
        <v>0.40959968544099479</v>
      </c>
      <c r="F40" s="1879"/>
      <c r="G40" s="73" t="s">
        <v>251</v>
      </c>
      <c r="H40" s="1880">
        <v>0.39849147696398224</v>
      </c>
      <c r="I40" s="1880">
        <v>0.38250410697557852</v>
      </c>
    </row>
    <row r="41" spans="1:9" ht="17.25" thickBot="1" x14ac:dyDescent="0.35">
      <c r="A41" s="71">
        <v>33</v>
      </c>
      <c r="B41" s="1881"/>
      <c r="C41" s="1882" t="s">
        <v>252</v>
      </c>
      <c r="D41" s="1883">
        <v>0.57120817789981981</v>
      </c>
      <c r="E41" s="1883">
        <v>0.59040031455900521</v>
      </c>
      <c r="F41" s="1884"/>
      <c r="G41" s="1882" t="s">
        <v>253</v>
      </c>
      <c r="H41" s="1885">
        <v>0.60150852303601776</v>
      </c>
      <c r="I41" s="1885">
        <v>0.61749589302442154</v>
      </c>
    </row>
  </sheetData>
  <mergeCells count="4">
    <mergeCell ref="B1:C1"/>
    <mergeCell ref="B5:G5"/>
    <mergeCell ref="B6:G6"/>
    <mergeCell ref="B2:F2"/>
  </mergeCells>
  <printOptions horizontalCentered="1" verticalCentered="1"/>
  <pageMargins left="0.19685039370078741" right="0.19685039370078741" top="0.19685039370078741" bottom="0.19685039370078741" header="0.11811023622047245" footer="0.11811023622047245"/>
  <pageSetup paperSize="9" scale="70" orientation="landscape" r:id="rId1"/>
  <headerFooter alignWithMargins="0">
    <oddFooter>&amp;C- &amp;P -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5"/>
  <sheetViews>
    <sheetView view="pageBreakPreview" zoomScaleNormal="100" zoomScaleSheetLayoutView="100" workbookViewId="0">
      <selection activeCell="C4" sqref="C4:G4"/>
    </sheetView>
  </sheetViews>
  <sheetFormatPr defaultColWidth="31.28515625" defaultRowHeight="16.5" x14ac:dyDescent="0.3"/>
  <cols>
    <col min="1" max="1" width="3.7109375" style="67" customWidth="1"/>
    <col min="2" max="2" width="4.7109375" style="11" customWidth="1"/>
    <col min="3" max="3" width="50.7109375" style="21" customWidth="1"/>
    <col min="4" max="6" width="13.7109375" style="13" customWidth="1"/>
    <col min="7" max="7" width="30.7109375" style="14" customWidth="1"/>
    <col min="8" max="8" width="12.140625" style="15" customWidth="1"/>
    <col min="9" max="9" width="12.85546875" style="15" customWidth="1"/>
    <col min="10" max="16384" width="31.28515625" style="15"/>
  </cols>
  <sheetData>
    <row r="1" spans="1:7" x14ac:dyDescent="0.3">
      <c r="A1" s="109"/>
      <c r="B1" s="2193" t="s">
        <v>1055</v>
      </c>
      <c r="C1" s="2193"/>
      <c r="D1" s="1"/>
      <c r="E1" s="12"/>
      <c r="G1" s="341"/>
    </row>
    <row r="2" spans="1:7" x14ac:dyDescent="0.3">
      <c r="A2" s="109"/>
      <c r="B2" s="1936" t="s">
        <v>1053</v>
      </c>
      <c r="C2" s="1936"/>
      <c r="D2" s="1936"/>
      <c r="E2" s="1936"/>
      <c r="F2" s="1936"/>
      <c r="G2" s="341"/>
    </row>
    <row r="3" spans="1:7" x14ac:dyDescent="0.3">
      <c r="A3" s="109"/>
      <c r="B3" s="500" t="s">
        <v>1106</v>
      </c>
      <c r="C3" s="500"/>
      <c r="D3" s="500"/>
      <c r="E3" s="500"/>
      <c r="F3" s="500"/>
      <c r="G3" s="341"/>
    </row>
    <row r="4" spans="1:7" ht="17.25" x14ac:dyDescent="0.3">
      <c r="A4" s="109"/>
      <c r="C4" s="1937" t="s">
        <v>122</v>
      </c>
      <c r="D4" s="1937"/>
      <c r="E4" s="1937"/>
      <c r="F4" s="1937"/>
      <c r="G4" s="1937"/>
    </row>
    <row r="5" spans="1:7" ht="17.25" x14ac:dyDescent="0.3">
      <c r="A5" s="109"/>
      <c r="B5" s="1937" t="s">
        <v>681</v>
      </c>
      <c r="C5" s="1937"/>
      <c r="D5" s="1937"/>
      <c r="E5" s="1937"/>
      <c r="F5" s="1937"/>
      <c r="G5" s="1937"/>
    </row>
    <row r="6" spans="1:7" s="68" customFormat="1" ht="18" customHeight="1" thickBot="1" x14ac:dyDescent="0.35">
      <c r="A6" s="67"/>
      <c r="B6" s="517" t="s">
        <v>1</v>
      </c>
      <c r="C6" s="1756" t="s">
        <v>3</v>
      </c>
      <c r="D6" s="14" t="s">
        <v>2</v>
      </c>
      <c r="E6" s="14" t="s">
        <v>4</v>
      </c>
      <c r="F6" s="14" t="s">
        <v>5</v>
      </c>
      <c r="G6" s="14" t="s">
        <v>15</v>
      </c>
    </row>
    <row r="7" spans="1:7" ht="72" customHeight="1" thickBot="1" x14ac:dyDescent="0.35">
      <c r="B7" s="1757" t="s">
        <v>18</v>
      </c>
      <c r="C7" s="1758" t="s">
        <v>6</v>
      </c>
      <c r="D7" s="1759" t="s">
        <v>682</v>
      </c>
      <c r="E7" s="1759" t="s">
        <v>123</v>
      </c>
      <c r="F7" s="1759" t="s">
        <v>682</v>
      </c>
      <c r="G7" s="1760" t="s">
        <v>124</v>
      </c>
    </row>
    <row r="8" spans="1:7" s="64" customFormat="1" ht="21.75" customHeight="1" thickTop="1" x14ac:dyDescent="0.3">
      <c r="A8" s="517">
        <v>1</v>
      </c>
      <c r="B8" s="553">
        <v>1</v>
      </c>
      <c r="C8" s="1761" t="s">
        <v>314</v>
      </c>
      <c r="D8" s="1762">
        <v>38</v>
      </c>
      <c r="E8" s="1762"/>
      <c r="F8" s="1762">
        <f t="shared" ref="F8:F27" si="0">SUM(D8:E8)</f>
        <v>38</v>
      </c>
      <c r="G8" s="1763"/>
    </row>
    <row r="9" spans="1:7" s="64" customFormat="1" ht="21.75" customHeight="1" x14ac:dyDescent="0.3">
      <c r="A9" s="517">
        <v>2</v>
      </c>
      <c r="B9" s="553">
        <v>2</v>
      </c>
      <c r="C9" s="1761" t="s">
        <v>313</v>
      </c>
      <c r="D9" s="1762">
        <v>70</v>
      </c>
      <c r="E9" s="1762"/>
      <c r="F9" s="1762">
        <f t="shared" si="0"/>
        <v>70</v>
      </c>
      <c r="G9" s="1763"/>
    </row>
    <row r="10" spans="1:7" s="64" customFormat="1" ht="21.75" customHeight="1" x14ac:dyDescent="0.3">
      <c r="A10" s="517">
        <v>3</v>
      </c>
      <c r="B10" s="553">
        <v>3</v>
      </c>
      <c r="C10" s="1761" t="s">
        <v>267</v>
      </c>
      <c r="D10" s="1762">
        <v>83.5</v>
      </c>
      <c r="E10" s="1762"/>
      <c r="F10" s="1762">
        <f t="shared" si="0"/>
        <v>83.5</v>
      </c>
      <c r="G10" s="1763"/>
    </row>
    <row r="11" spans="1:7" s="64" customFormat="1" ht="21.75" customHeight="1" x14ac:dyDescent="0.3">
      <c r="A11" s="517">
        <v>4</v>
      </c>
      <c r="B11" s="553">
        <v>4</v>
      </c>
      <c r="C11" s="1761" t="s">
        <v>268</v>
      </c>
      <c r="D11" s="1762">
        <v>60</v>
      </c>
      <c r="E11" s="1762"/>
      <c r="F11" s="1762">
        <f t="shared" si="0"/>
        <v>60</v>
      </c>
      <c r="G11" s="1763"/>
    </row>
    <row r="12" spans="1:7" s="64" customFormat="1" ht="21.75" customHeight="1" x14ac:dyDescent="0.3">
      <c r="A12" s="517">
        <v>5</v>
      </c>
      <c r="B12" s="553">
        <v>5</v>
      </c>
      <c r="C12" s="1761" t="s">
        <v>269</v>
      </c>
      <c r="D12" s="1762">
        <v>61.5</v>
      </c>
      <c r="E12" s="1762"/>
      <c r="F12" s="1762">
        <f t="shared" si="0"/>
        <v>61.5</v>
      </c>
      <c r="G12" s="1763"/>
    </row>
    <row r="13" spans="1:7" s="64" customFormat="1" ht="27" customHeight="1" x14ac:dyDescent="0.3">
      <c r="A13" s="517">
        <v>6</v>
      </c>
      <c r="B13" s="553">
        <v>6</v>
      </c>
      <c r="C13" s="1761" t="s">
        <v>270</v>
      </c>
      <c r="D13" s="1762">
        <v>36</v>
      </c>
      <c r="E13" s="1762"/>
      <c r="F13" s="1762">
        <f t="shared" si="0"/>
        <v>36</v>
      </c>
      <c r="G13" s="1764"/>
    </row>
    <row r="14" spans="1:7" s="65" customFormat="1" ht="21.75" customHeight="1" x14ac:dyDescent="0.2">
      <c r="A14" s="517">
        <v>7</v>
      </c>
      <c r="B14" s="553"/>
      <c r="C14" s="1765" t="s">
        <v>255</v>
      </c>
      <c r="D14" s="1766">
        <v>2</v>
      </c>
      <c r="E14" s="1766"/>
      <c r="F14" s="1766">
        <f t="shared" si="0"/>
        <v>2</v>
      </c>
      <c r="G14" s="1767"/>
    </row>
    <row r="15" spans="1:7" s="64" customFormat="1" ht="33" x14ac:dyDescent="0.3">
      <c r="A15" s="517">
        <v>8</v>
      </c>
      <c r="B15" s="553">
        <v>7</v>
      </c>
      <c r="C15" s="1768" t="s">
        <v>389</v>
      </c>
      <c r="D15" s="1762">
        <v>200</v>
      </c>
      <c r="E15" s="1762"/>
      <c r="F15" s="1762">
        <f t="shared" si="0"/>
        <v>200</v>
      </c>
      <c r="G15" s="1769"/>
    </row>
    <row r="16" spans="1:7" ht="33" customHeight="1" x14ac:dyDescent="0.3">
      <c r="A16" s="517">
        <v>9</v>
      </c>
      <c r="B16" s="553">
        <v>8</v>
      </c>
      <c r="C16" s="1770" t="s">
        <v>125</v>
      </c>
      <c r="D16" s="1762">
        <v>13.25</v>
      </c>
      <c r="E16" s="1762"/>
      <c r="F16" s="1762">
        <f t="shared" si="0"/>
        <v>13.25</v>
      </c>
      <c r="G16" s="1771"/>
    </row>
    <row r="17" spans="1:7" ht="33" customHeight="1" x14ac:dyDescent="0.3">
      <c r="A17" s="517">
        <v>10</v>
      </c>
      <c r="B17" s="553">
        <v>9</v>
      </c>
      <c r="C17" s="1770" t="s">
        <v>544</v>
      </c>
      <c r="D17" s="1762">
        <v>63</v>
      </c>
      <c r="E17" s="1762"/>
      <c r="F17" s="1762">
        <f t="shared" si="0"/>
        <v>63</v>
      </c>
      <c r="G17" s="1771"/>
    </row>
    <row r="18" spans="1:7" s="65" customFormat="1" ht="21.75" customHeight="1" x14ac:dyDescent="0.2">
      <c r="A18" s="517">
        <v>11</v>
      </c>
      <c r="B18" s="553"/>
      <c r="C18" s="1765" t="s">
        <v>255</v>
      </c>
      <c r="D18" s="1766">
        <v>0</v>
      </c>
      <c r="E18" s="1766"/>
      <c r="F18" s="1766">
        <f t="shared" si="0"/>
        <v>0</v>
      </c>
      <c r="G18" s="1767"/>
    </row>
    <row r="19" spans="1:7" ht="21.75" customHeight="1" x14ac:dyDescent="0.3">
      <c r="A19" s="517">
        <v>12</v>
      </c>
      <c r="B19" s="545">
        <v>10</v>
      </c>
      <c r="C19" s="1772" t="s">
        <v>545</v>
      </c>
      <c r="D19" s="16">
        <v>24.25</v>
      </c>
      <c r="E19" s="16"/>
      <c r="F19" s="16">
        <f t="shared" si="0"/>
        <v>24.25</v>
      </c>
      <c r="G19" s="1771"/>
    </row>
    <row r="20" spans="1:7" ht="33" customHeight="1" x14ac:dyDescent="0.2">
      <c r="A20" s="517">
        <v>13</v>
      </c>
      <c r="B20" s="553">
        <v>11</v>
      </c>
      <c r="C20" s="1770" t="s">
        <v>528</v>
      </c>
      <c r="D20" s="16">
        <v>22</v>
      </c>
      <c r="E20" s="16"/>
      <c r="F20" s="16">
        <f t="shared" si="0"/>
        <v>22</v>
      </c>
      <c r="G20" s="1771"/>
    </row>
    <row r="21" spans="1:7" s="64" customFormat="1" ht="21.75" customHeight="1" x14ac:dyDescent="0.3">
      <c r="A21" s="517">
        <v>14</v>
      </c>
      <c r="B21" s="545">
        <v>12</v>
      </c>
      <c r="C21" s="1773" t="s">
        <v>25</v>
      </c>
      <c r="D21" s="1762">
        <v>51.5</v>
      </c>
      <c r="E21" s="1762"/>
      <c r="F21" s="1762">
        <f t="shared" si="0"/>
        <v>51.5</v>
      </c>
      <c r="G21" s="1763"/>
    </row>
    <row r="22" spans="1:7" s="64" customFormat="1" ht="27.75" customHeight="1" x14ac:dyDescent="0.3">
      <c r="A22" s="517">
        <v>15</v>
      </c>
      <c r="B22" s="545">
        <v>13</v>
      </c>
      <c r="C22" s="1773" t="s">
        <v>34</v>
      </c>
      <c r="D22" s="1762">
        <v>53</v>
      </c>
      <c r="E22" s="1762"/>
      <c r="F22" s="1762">
        <f t="shared" si="0"/>
        <v>53</v>
      </c>
      <c r="G22" s="1774"/>
    </row>
    <row r="23" spans="1:7" s="65" customFormat="1" ht="34.5" x14ac:dyDescent="0.2">
      <c r="A23" s="517">
        <v>16</v>
      </c>
      <c r="B23" s="553"/>
      <c r="C23" s="1765" t="s">
        <v>957</v>
      </c>
      <c r="D23" s="1766">
        <v>6</v>
      </c>
      <c r="E23" s="1766"/>
      <c r="F23" s="1766">
        <f t="shared" si="0"/>
        <v>6</v>
      </c>
      <c r="G23" s="1775"/>
    </row>
    <row r="24" spans="1:7" ht="21.75" customHeight="1" x14ac:dyDescent="0.3">
      <c r="A24" s="517">
        <v>17</v>
      </c>
      <c r="B24" s="545">
        <v>14</v>
      </c>
      <c r="C24" s="1772" t="s">
        <v>533</v>
      </c>
      <c r="D24" s="1762">
        <v>22</v>
      </c>
      <c r="E24" s="1762"/>
      <c r="F24" s="1762">
        <f t="shared" si="0"/>
        <v>22</v>
      </c>
      <c r="G24" s="1771"/>
    </row>
    <row r="25" spans="1:7" s="65" customFormat="1" ht="21.75" customHeight="1" x14ac:dyDescent="0.2">
      <c r="A25" s="517">
        <v>18</v>
      </c>
      <c r="B25" s="553"/>
      <c r="C25" s="1765" t="s">
        <v>255</v>
      </c>
      <c r="D25" s="1766">
        <v>1</v>
      </c>
      <c r="E25" s="1766"/>
      <c r="F25" s="1766">
        <f t="shared" si="0"/>
        <v>1</v>
      </c>
      <c r="G25" s="1767"/>
    </row>
    <row r="26" spans="1:7" s="64" customFormat="1" ht="21.75" customHeight="1" x14ac:dyDescent="0.3">
      <c r="A26" s="517">
        <v>19</v>
      </c>
      <c r="B26" s="545">
        <v>15</v>
      </c>
      <c r="C26" s="1773" t="s">
        <v>157</v>
      </c>
      <c r="D26" s="1762">
        <v>102</v>
      </c>
      <c r="E26" s="1762"/>
      <c r="F26" s="1762">
        <f t="shared" si="0"/>
        <v>102</v>
      </c>
      <c r="G26" s="1763"/>
    </row>
    <row r="27" spans="1:7" ht="21.75" customHeight="1" thickBot="1" x14ac:dyDescent="0.35">
      <c r="A27" s="517">
        <v>20</v>
      </c>
      <c r="B27" s="1776">
        <v>16</v>
      </c>
      <c r="C27" s="1777" t="s">
        <v>271</v>
      </c>
      <c r="D27" s="1778">
        <v>53.25</v>
      </c>
      <c r="E27" s="1778"/>
      <c r="F27" s="1778">
        <f t="shared" si="0"/>
        <v>53.25</v>
      </c>
      <c r="G27" s="1779"/>
    </row>
    <row r="28" spans="1:7" ht="30" customHeight="1" thickTop="1" thickBot="1" x14ac:dyDescent="0.25">
      <c r="A28" s="517">
        <v>21</v>
      </c>
      <c r="B28" s="1780"/>
      <c r="C28" s="1781" t="s">
        <v>126</v>
      </c>
      <c r="D28" s="1782">
        <f>SUM(D8:D27)</f>
        <v>962.25</v>
      </c>
      <c r="E28" s="1782">
        <f>SUM(E8:E27)</f>
        <v>0</v>
      </c>
      <c r="F28" s="1782">
        <f>SUM(F8:F27)</f>
        <v>962.25</v>
      </c>
      <c r="G28" s="1783"/>
    </row>
    <row r="29" spans="1:7" ht="21.75" customHeight="1" x14ac:dyDescent="0.3">
      <c r="A29" s="517">
        <v>22</v>
      </c>
      <c r="B29" s="545">
        <v>17</v>
      </c>
      <c r="C29" s="1772" t="s">
        <v>26</v>
      </c>
      <c r="D29" s="16">
        <v>200</v>
      </c>
      <c r="E29" s="16"/>
      <c r="F29" s="16">
        <f>SUM(D29:E29)</f>
        <v>200</v>
      </c>
      <c r="G29" s="1771"/>
    </row>
    <row r="30" spans="1:7" ht="21.75" customHeight="1" x14ac:dyDescent="0.3">
      <c r="A30" s="517">
        <v>23</v>
      </c>
      <c r="B30" s="545">
        <v>18</v>
      </c>
      <c r="C30" s="1772" t="s">
        <v>127</v>
      </c>
      <c r="D30" s="1"/>
      <c r="E30" s="1"/>
      <c r="F30" s="1">
        <f>SUM(D30:E30)</f>
        <v>0</v>
      </c>
      <c r="G30" s="1784" t="s">
        <v>254</v>
      </c>
    </row>
    <row r="31" spans="1:7" ht="21.75" customHeight="1" x14ac:dyDescent="0.2">
      <c r="A31" s="517">
        <v>24</v>
      </c>
      <c r="B31" s="590"/>
      <c r="C31" s="1785" t="s">
        <v>326</v>
      </c>
      <c r="D31" s="16">
        <v>3</v>
      </c>
      <c r="E31" s="16"/>
      <c r="F31" s="16">
        <f>SUM(D31:E31)</f>
        <v>3</v>
      </c>
      <c r="G31" s="1784"/>
    </row>
    <row r="32" spans="1:7" s="65" customFormat="1" ht="21.75" customHeight="1" thickBot="1" x14ac:dyDescent="0.25">
      <c r="A32" s="517">
        <v>25</v>
      </c>
      <c r="B32" s="553"/>
      <c r="C32" s="1765" t="s">
        <v>293</v>
      </c>
      <c r="D32" s="1766">
        <v>9.8800000000000008</v>
      </c>
      <c r="E32" s="1766"/>
      <c r="F32" s="1766">
        <f>SUM(D32:E32)</f>
        <v>9.8800000000000008</v>
      </c>
      <c r="G32" s="1774"/>
    </row>
    <row r="33" spans="1:7" ht="30" customHeight="1" x14ac:dyDescent="0.2">
      <c r="A33" s="517">
        <v>26</v>
      </c>
      <c r="B33" s="1786"/>
      <c r="C33" s="1787" t="s">
        <v>13</v>
      </c>
      <c r="D33" s="1788">
        <f>SUM(D28:D32)</f>
        <v>1175.1300000000001</v>
      </c>
      <c r="E33" s="1788">
        <f>SUM(E28:E32)</f>
        <v>0</v>
      </c>
      <c r="F33" s="1788">
        <f>SUM(F28:F32)</f>
        <v>1175.1300000000001</v>
      </c>
      <c r="G33" s="1789"/>
    </row>
    <row r="34" spans="1:7" ht="16.5" customHeight="1" x14ac:dyDescent="0.2">
      <c r="A34" s="517">
        <v>27</v>
      </c>
      <c r="B34" s="590"/>
      <c r="C34" s="1790" t="s">
        <v>128</v>
      </c>
      <c r="D34" s="16"/>
      <c r="E34" s="16"/>
      <c r="F34" s="16"/>
      <c r="G34" s="1771"/>
    </row>
    <row r="35" spans="1:7" ht="16.5" customHeight="1" thickBot="1" x14ac:dyDescent="0.25">
      <c r="A35" s="517">
        <v>28</v>
      </c>
      <c r="B35" s="1780"/>
      <c r="C35" s="1791" t="s">
        <v>293</v>
      </c>
      <c r="D35" s="1792">
        <f>SUM(D14,D18,D25,D32)</f>
        <v>12.88</v>
      </c>
      <c r="E35" s="1792">
        <f>SUM(E14,E18,E25,E32)</f>
        <v>0</v>
      </c>
      <c r="F35" s="1792">
        <f>SUM(F14,F18,F25,F32)</f>
        <v>12.88</v>
      </c>
      <c r="G35" s="1793"/>
    </row>
    <row r="39" spans="1:7" s="17" customFormat="1" ht="17.25" x14ac:dyDescent="0.3">
      <c r="A39" s="135"/>
      <c r="B39" s="350"/>
      <c r="C39" s="18"/>
      <c r="D39" s="19"/>
      <c r="E39" s="19"/>
      <c r="F39" s="19"/>
      <c r="G39" s="69"/>
    </row>
    <row r="48" spans="1:7" x14ac:dyDescent="0.3">
      <c r="D48" s="20"/>
    </row>
    <row r="49" spans="4:4" x14ac:dyDescent="0.3">
      <c r="D49" s="20"/>
    </row>
    <row r="50" spans="4:4" x14ac:dyDescent="0.3">
      <c r="D50" s="20"/>
    </row>
    <row r="51" spans="4:4" x14ac:dyDescent="0.3">
      <c r="D51" s="20"/>
    </row>
    <row r="52" spans="4:4" x14ac:dyDescent="0.3">
      <c r="D52" s="20"/>
    </row>
    <row r="53" spans="4:4" x14ac:dyDescent="0.3">
      <c r="D53" s="20"/>
    </row>
    <row r="54" spans="4:4" x14ac:dyDescent="0.3">
      <c r="D54" s="20"/>
    </row>
    <row r="55" spans="4:4" x14ac:dyDescent="0.3">
      <c r="D55" s="20"/>
    </row>
  </sheetData>
  <mergeCells count="4">
    <mergeCell ref="C4:G4"/>
    <mergeCell ref="B5:G5"/>
    <mergeCell ref="B2:F2"/>
    <mergeCell ref="B1:C1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77" orientation="portrait" r:id="rId1"/>
  <headerFooter alignWithMargins="0">
    <oddFooter>&amp;C- &amp;P -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0"/>
  <sheetViews>
    <sheetView view="pageBreakPreview" zoomScaleNormal="100" zoomScaleSheetLayoutView="100" workbookViewId="0">
      <selection activeCell="B6" sqref="B6"/>
    </sheetView>
  </sheetViews>
  <sheetFormatPr defaultColWidth="9.140625" defaultRowHeight="16.5" x14ac:dyDescent="0.2"/>
  <cols>
    <col min="1" max="1" width="4.42578125" style="147" customWidth="1"/>
    <col min="2" max="2" width="65.7109375" style="197" customWidth="1"/>
    <col min="3" max="6" width="15.28515625" style="185" customWidth="1"/>
    <col min="7" max="7" width="15.28515625" style="185" hidden="1" customWidth="1"/>
    <col min="8" max="249" width="9.140625" style="151"/>
    <col min="250" max="250" width="3.7109375" style="151" customWidth="1"/>
    <col min="251" max="251" width="58.7109375" style="151" customWidth="1"/>
    <col min="252" max="255" width="15.28515625" style="151" customWidth="1"/>
    <col min="256" max="16384" width="9.140625" style="151"/>
  </cols>
  <sheetData>
    <row r="1" spans="1:7" ht="17.25" x14ac:dyDescent="0.2">
      <c r="A1" s="442"/>
      <c r="B1" s="2202" t="s">
        <v>981</v>
      </c>
      <c r="C1" s="2202"/>
      <c r="D1" s="151"/>
      <c r="E1" s="151"/>
      <c r="F1" s="151"/>
      <c r="G1" s="151"/>
    </row>
    <row r="2" spans="1:7" x14ac:dyDescent="0.3">
      <c r="A2" s="443"/>
      <c r="B2" s="57"/>
      <c r="C2" s="444"/>
      <c r="D2" s="444"/>
      <c r="E2" s="444"/>
      <c r="F2" s="444"/>
      <c r="G2" s="444"/>
    </row>
    <row r="3" spans="1:7" ht="17.25" x14ac:dyDescent="0.2">
      <c r="A3" s="2203" t="s">
        <v>629</v>
      </c>
      <c r="B3" s="2203"/>
      <c r="C3" s="2203"/>
      <c r="D3" s="2203"/>
      <c r="E3" s="2203"/>
      <c r="F3" s="2203"/>
      <c r="G3" s="151"/>
    </row>
    <row r="4" spans="1:7" ht="17.25" x14ac:dyDescent="0.2">
      <c r="A4" s="2204" t="s">
        <v>348</v>
      </c>
      <c r="B4" s="2204"/>
      <c r="C4" s="2204"/>
      <c r="D4" s="2204"/>
      <c r="E4" s="2204"/>
      <c r="F4" s="2204"/>
      <c r="G4" s="151"/>
    </row>
    <row r="5" spans="1:7" ht="17.25" x14ac:dyDescent="0.2">
      <c r="B5" s="441"/>
      <c r="E5" s="186"/>
      <c r="F5" s="186" t="s">
        <v>0</v>
      </c>
    </row>
    <row r="6" spans="1:7" s="147" customFormat="1" ht="17.25" thickBot="1" x14ac:dyDescent="0.25">
      <c r="A6" s="187"/>
      <c r="B6" s="187" t="s">
        <v>1</v>
      </c>
      <c r="C6" s="147" t="s">
        <v>3</v>
      </c>
      <c r="D6" s="147" t="s">
        <v>2</v>
      </c>
      <c r="E6" s="147" t="s">
        <v>4</v>
      </c>
      <c r="F6" s="147" t="s">
        <v>5</v>
      </c>
      <c r="G6" s="147" t="s">
        <v>4</v>
      </c>
    </row>
    <row r="7" spans="1:7" s="188" customFormat="1" ht="35.1" customHeight="1" x14ac:dyDescent="0.2">
      <c r="A7" s="2205" t="s">
        <v>349</v>
      </c>
      <c r="B7" s="2207" t="s">
        <v>6</v>
      </c>
      <c r="C7" s="2209" t="s">
        <v>626</v>
      </c>
      <c r="D7" s="2209" t="s">
        <v>627</v>
      </c>
      <c r="E7" s="2211" t="s">
        <v>628</v>
      </c>
      <c r="F7" s="2213" t="s">
        <v>865</v>
      </c>
      <c r="G7" s="2200" t="s">
        <v>612</v>
      </c>
    </row>
    <row r="8" spans="1:7" s="188" customFormat="1" ht="35.1" customHeight="1" thickBot="1" x14ac:dyDescent="0.25">
      <c r="A8" s="2206"/>
      <c r="B8" s="2208"/>
      <c r="C8" s="2210"/>
      <c r="D8" s="2210"/>
      <c r="E8" s="2212"/>
      <c r="F8" s="2214"/>
      <c r="G8" s="2201"/>
    </row>
    <row r="9" spans="1:7" s="190" customFormat="1" ht="33" x14ac:dyDescent="0.2">
      <c r="A9" s="149">
        <v>1</v>
      </c>
      <c r="B9" s="189" t="s">
        <v>350</v>
      </c>
      <c r="C9" s="220">
        <v>5000</v>
      </c>
      <c r="D9" s="221"/>
      <c r="E9" s="222"/>
      <c r="F9" s="236"/>
      <c r="G9" s="229"/>
    </row>
    <row r="10" spans="1:7" s="190" customFormat="1" ht="33" x14ac:dyDescent="0.2">
      <c r="A10" s="149">
        <v>2</v>
      </c>
      <c r="B10" s="191" t="s">
        <v>866</v>
      </c>
      <c r="C10" s="192">
        <v>37058</v>
      </c>
      <c r="D10" s="192"/>
      <c r="E10" s="223"/>
      <c r="F10" s="237"/>
      <c r="G10" s="230"/>
    </row>
    <row r="11" spans="1:7" s="190" customFormat="1" ht="30.75" customHeight="1" x14ac:dyDescent="0.2">
      <c r="A11" s="149">
        <v>3</v>
      </c>
      <c r="B11" s="191" t="s">
        <v>867</v>
      </c>
      <c r="C11" s="192">
        <v>7068</v>
      </c>
      <c r="D11" s="192"/>
      <c r="E11" s="223"/>
      <c r="F11" s="237"/>
      <c r="G11" s="230"/>
    </row>
    <row r="12" spans="1:7" s="190" customFormat="1" ht="33" x14ac:dyDescent="0.2">
      <c r="A12" s="149">
        <v>4</v>
      </c>
      <c r="B12" s="191" t="s">
        <v>624</v>
      </c>
      <c r="C12" s="192">
        <v>186554</v>
      </c>
      <c r="D12" s="192"/>
      <c r="E12" s="223"/>
      <c r="F12" s="237"/>
      <c r="G12" s="230"/>
    </row>
    <row r="13" spans="1:7" s="190" customFormat="1" ht="35.25" customHeight="1" x14ac:dyDescent="0.2">
      <c r="A13" s="149">
        <v>5</v>
      </c>
      <c r="B13" s="249" t="s">
        <v>625</v>
      </c>
      <c r="C13" s="192">
        <v>34933</v>
      </c>
      <c r="D13" s="223"/>
      <c r="E13" s="223"/>
      <c r="F13" s="237"/>
      <c r="G13" s="230"/>
    </row>
    <row r="14" spans="1:7" s="190" customFormat="1" ht="33" x14ac:dyDescent="0.2">
      <c r="A14" s="149">
        <v>6</v>
      </c>
      <c r="B14" s="191" t="s">
        <v>868</v>
      </c>
      <c r="C14" s="192">
        <v>52777</v>
      </c>
      <c r="D14" s="223"/>
      <c r="E14" s="223"/>
      <c r="F14" s="237"/>
      <c r="G14" s="230"/>
    </row>
    <row r="15" spans="1:7" s="190" customFormat="1" ht="35.25" customHeight="1" x14ac:dyDescent="0.2">
      <c r="A15" s="149">
        <v>7</v>
      </c>
      <c r="B15" s="249" t="s">
        <v>869</v>
      </c>
      <c r="C15" s="192">
        <v>29875</v>
      </c>
      <c r="D15" s="223"/>
      <c r="E15" s="223"/>
      <c r="F15" s="237"/>
      <c r="G15" s="230"/>
    </row>
    <row r="16" spans="1:7" s="190" customFormat="1" ht="66" x14ac:dyDescent="0.2">
      <c r="A16" s="149">
        <v>8</v>
      </c>
      <c r="B16" s="191" t="s">
        <v>623</v>
      </c>
      <c r="C16" s="224">
        <v>760</v>
      </c>
      <c r="D16" s="223"/>
      <c r="E16" s="223"/>
      <c r="F16" s="237"/>
      <c r="G16" s="230"/>
    </row>
    <row r="17" spans="1:8" s="190" customFormat="1" ht="49.5" x14ac:dyDescent="0.2">
      <c r="A17" s="149">
        <v>9</v>
      </c>
      <c r="B17" s="226" t="s">
        <v>926</v>
      </c>
      <c r="C17" s="227">
        <v>294000</v>
      </c>
      <c r="D17" s="227"/>
      <c r="E17" s="225"/>
      <c r="F17" s="239"/>
      <c r="G17" s="230"/>
    </row>
    <row r="18" spans="1:8" s="190" customFormat="1" ht="48.95" customHeight="1" x14ac:dyDescent="0.3">
      <c r="A18" s="149">
        <v>10</v>
      </c>
      <c r="B18" s="219" t="s">
        <v>946</v>
      </c>
      <c r="C18" s="224">
        <v>13000</v>
      </c>
      <c r="D18" s="223">
        <v>13000</v>
      </c>
      <c r="E18" s="223">
        <v>13000</v>
      </c>
      <c r="F18" s="237"/>
      <c r="G18" s="230"/>
      <c r="H18" s="371"/>
    </row>
    <row r="19" spans="1:8" s="190" customFormat="1" ht="50.25" customHeight="1" x14ac:dyDescent="0.3">
      <c r="A19" s="149">
        <v>11</v>
      </c>
      <c r="B19" s="150" t="s">
        <v>947</v>
      </c>
      <c r="C19" s="224">
        <v>480000</v>
      </c>
      <c r="D19" s="223"/>
      <c r="E19" s="223"/>
      <c r="F19" s="237"/>
      <c r="G19" s="230"/>
    </row>
    <row r="20" spans="1:8" ht="33.75" thickBot="1" x14ac:dyDescent="0.25">
      <c r="A20" s="454">
        <v>12</v>
      </c>
      <c r="B20" s="226" t="s">
        <v>949</v>
      </c>
      <c r="C20" s="227">
        <f>7620/2</f>
        <v>3810</v>
      </c>
      <c r="D20" s="227"/>
      <c r="E20" s="455"/>
      <c r="F20" s="456"/>
      <c r="G20" s="233"/>
    </row>
    <row r="21" spans="1:8" s="190" customFormat="1" ht="30" customHeight="1" thickBot="1" x14ac:dyDescent="0.25">
      <c r="A21" s="2194" t="s">
        <v>958</v>
      </c>
      <c r="B21" s="2195"/>
      <c r="C21" s="461">
        <f>SUM(C9:C19)</f>
        <v>1141025</v>
      </c>
      <c r="D21" s="461">
        <f t="shared" ref="D21:F21" si="0">SUM(D9:D19)</f>
        <v>13000</v>
      </c>
      <c r="E21" s="461">
        <f t="shared" si="0"/>
        <v>13000</v>
      </c>
      <c r="F21" s="462">
        <f t="shared" si="0"/>
        <v>0</v>
      </c>
      <c r="G21" s="230"/>
    </row>
    <row r="22" spans="1:8" s="190" customFormat="1" ht="22.5" customHeight="1" x14ac:dyDescent="0.2">
      <c r="A22" s="457">
        <v>13</v>
      </c>
      <c r="B22" s="463" t="s">
        <v>613</v>
      </c>
      <c r="C22" s="458">
        <v>17000</v>
      </c>
      <c r="D22" s="459"/>
      <c r="E22" s="459"/>
      <c r="F22" s="460"/>
      <c r="G22" s="230"/>
    </row>
    <row r="23" spans="1:8" s="190" customFormat="1" ht="47.1" customHeight="1" x14ac:dyDescent="0.2">
      <c r="A23" s="149">
        <v>14</v>
      </c>
      <c r="B23" s="228" t="s">
        <v>948</v>
      </c>
      <c r="C23" s="224">
        <f>6000+3000+3000</f>
        <v>12000</v>
      </c>
      <c r="D23" s="224">
        <f>6000+3000+3000</f>
        <v>12000</v>
      </c>
      <c r="E23" s="372"/>
      <c r="F23" s="451"/>
      <c r="G23" s="230"/>
    </row>
    <row r="24" spans="1:8" s="190" customFormat="1" ht="33" x14ac:dyDescent="0.2">
      <c r="A24" s="149">
        <v>15</v>
      </c>
      <c r="B24" s="191" t="s">
        <v>351</v>
      </c>
      <c r="C24" s="224">
        <v>103000</v>
      </c>
      <c r="D24" s="223">
        <v>103000</v>
      </c>
      <c r="E24" s="223">
        <v>103000</v>
      </c>
      <c r="F24" s="237">
        <v>103000</v>
      </c>
      <c r="G24" s="230"/>
    </row>
    <row r="25" spans="1:8" s="190" customFormat="1" ht="22.5" customHeight="1" x14ac:dyDescent="0.2">
      <c r="A25" s="149">
        <v>16</v>
      </c>
      <c r="B25" s="191" t="s">
        <v>352</v>
      </c>
      <c r="C25" s="224">
        <v>29500</v>
      </c>
      <c r="D25" s="223">
        <v>29500</v>
      </c>
      <c r="E25" s="223">
        <v>29500</v>
      </c>
      <c r="F25" s="237">
        <v>29500</v>
      </c>
      <c r="G25" s="230"/>
    </row>
    <row r="26" spans="1:8" s="190" customFormat="1" ht="31.5" customHeight="1" x14ac:dyDescent="0.2">
      <c r="A26" s="149">
        <v>17</v>
      </c>
      <c r="B26" s="228" t="s">
        <v>870</v>
      </c>
      <c r="C26" s="224">
        <v>120000</v>
      </c>
      <c r="D26" s="223">
        <v>120000</v>
      </c>
      <c r="E26" s="223"/>
      <c r="F26" s="237"/>
      <c r="G26" s="230"/>
    </row>
    <row r="27" spans="1:8" s="190" customFormat="1" ht="22.5" customHeight="1" x14ac:dyDescent="0.2">
      <c r="A27" s="149">
        <v>18</v>
      </c>
      <c r="B27" s="191" t="s">
        <v>871</v>
      </c>
      <c r="C27" s="192">
        <v>50326</v>
      </c>
      <c r="D27" s="192">
        <v>50348</v>
      </c>
      <c r="E27" s="223"/>
      <c r="F27" s="237"/>
      <c r="G27" s="230"/>
    </row>
    <row r="28" spans="1:8" ht="22.5" customHeight="1" x14ac:dyDescent="0.2">
      <c r="A28" s="149">
        <v>19</v>
      </c>
      <c r="B28" s="152" t="s">
        <v>353</v>
      </c>
      <c r="C28" s="193">
        <v>38100</v>
      </c>
      <c r="D28" s="193">
        <v>38100</v>
      </c>
      <c r="E28" s="223"/>
      <c r="F28" s="238"/>
      <c r="G28" s="231">
        <v>38324</v>
      </c>
    </row>
    <row r="29" spans="1:8" ht="22.5" customHeight="1" x14ac:dyDescent="0.2">
      <c r="A29" s="149">
        <v>20</v>
      </c>
      <c r="B29" s="191" t="s">
        <v>557</v>
      </c>
      <c r="C29" s="193">
        <v>881516</v>
      </c>
      <c r="D29" s="193">
        <v>881516</v>
      </c>
      <c r="E29" s="215">
        <v>881516</v>
      </c>
      <c r="F29" s="238">
        <v>881516</v>
      </c>
      <c r="G29" s="231"/>
    </row>
    <row r="30" spans="1:8" ht="22.5" customHeight="1" x14ac:dyDescent="0.2">
      <c r="A30" s="149">
        <v>21</v>
      </c>
      <c r="B30" s="191" t="s">
        <v>837</v>
      </c>
      <c r="C30" s="193">
        <v>153947</v>
      </c>
      <c r="D30" s="193"/>
      <c r="E30" s="215"/>
      <c r="F30" s="238"/>
      <c r="G30" s="231"/>
    </row>
    <row r="31" spans="1:8" ht="51" customHeight="1" x14ac:dyDescent="0.2">
      <c r="A31" s="149">
        <v>22</v>
      </c>
      <c r="B31" s="191" t="s">
        <v>927</v>
      </c>
      <c r="C31" s="193">
        <f>100000-29240</f>
        <v>70760</v>
      </c>
      <c r="D31" s="193"/>
      <c r="E31" s="215"/>
      <c r="F31" s="238"/>
      <c r="G31" s="231">
        <v>38100</v>
      </c>
    </row>
    <row r="32" spans="1:8" ht="36.950000000000003" customHeight="1" x14ac:dyDescent="0.2">
      <c r="A32" s="149"/>
      <c r="B32" s="191" t="s">
        <v>960</v>
      </c>
      <c r="C32" s="193"/>
      <c r="D32" s="193"/>
      <c r="E32" s="215"/>
      <c r="F32" s="238"/>
      <c r="G32" s="231"/>
    </row>
    <row r="33" spans="1:7" ht="17.25" x14ac:dyDescent="0.2">
      <c r="A33" s="149">
        <v>23</v>
      </c>
      <c r="B33" s="464" t="s">
        <v>8</v>
      </c>
      <c r="C33" s="193">
        <v>277100</v>
      </c>
      <c r="D33" s="193">
        <v>277100</v>
      </c>
      <c r="E33" s="215">
        <v>277100</v>
      </c>
      <c r="F33" s="238">
        <v>277100</v>
      </c>
      <c r="G33" s="231"/>
    </row>
    <row r="34" spans="1:7" ht="17.25" x14ac:dyDescent="0.2">
      <c r="A34" s="149">
        <v>24</v>
      </c>
      <c r="B34" s="464" t="s">
        <v>9</v>
      </c>
      <c r="C34" s="193">
        <v>259250</v>
      </c>
      <c r="D34" s="193">
        <v>259250</v>
      </c>
      <c r="E34" s="215">
        <v>259250</v>
      </c>
      <c r="F34" s="238">
        <v>259250</v>
      </c>
      <c r="G34" s="231"/>
    </row>
    <row r="35" spans="1:7" ht="18" customHeight="1" x14ac:dyDescent="0.2">
      <c r="A35" s="149">
        <v>25</v>
      </c>
      <c r="B35" s="464" t="s">
        <v>305</v>
      </c>
      <c r="C35" s="193">
        <v>45900</v>
      </c>
      <c r="D35" s="193">
        <v>45900</v>
      </c>
      <c r="E35" s="215">
        <v>45900</v>
      </c>
      <c r="F35" s="238">
        <v>45900</v>
      </c>
      <c r="G35" s="231">
        <v>270000</v>
      </c>
    </row>
    <row r="36" spans="1:7" ht="18" customHeight="1" x14ac:dyDescent="0.2">
      <c r="A36" s="149">
        <v>26</v>
      </c>
      <c r="B36" s="464" t="s">
        <v>7</v>
      </c>
      <c r="C36" s="193">
        <v>36550</v>
      </c>
      <c r="D36" s="193">
        <v>36550</v>
      </c>
      <c r="E36" s="215">
        <v>36550</v>
      </c>
      <c r="F36" s="238">
        <v>36550</v>
      </c>
      <c r="G36" s="231">
        <v>288725</v>
      </c>
    </row>
    <row r="37" spans="1:7" ht="18" customHeight="1" x14ac:dyDescent="0.2">
      <c r="A37" s="149">
        <v>27</v>
      </c>
      <c r="B37" s="464" t="s">
        <v>838</v>
      </c>
      <c r="C37" s="193">
        <v>42500</v>
      </c>
      <c r="D37" s="193">
        <v>42500</v>
      </c>
      <c r="E37" s="215">
        <v>42500</v>
      </c>
      <c r="F37" s="238">
        <v>42500</v>
      </c>
      <c r="G37" s="231">
        <v>21000</v>
      </c>
    </row>
    <row r="38" spans="1:7" ht="18" customHeight="1" x14ac:dyDescent="0.2">
      <c r="A38" s="149">
        <v>28</v>
      </c>
      <c r="B38" s="464" t="s">
        <v>308</v>
      </c>
      <c r="C38" s="193">
        <v>169738</v>
      </c>
      <c r="D38" s="193">
        <v>169738</v>
      </c>
      <c r="E38" s="215">
        <v>169738</v>
      </c>
      <c r="F38" s="238">
        <v>169738</v>
      </c>
      <c r="G38" s="231">
        <v>186000</v>
      </c>
    </row>
    <row r="39" spans="1:7" ht="22.5" customHeight="1" x14ac:dyDescent="0.2">
      <c r="A39" s="149">
        <v>29</v>
      </c>
      <c r="B39" s="152" t="s">
        <v>839</v>
      </c>
      <c r="C39" s="193">
        <v>130000</v>
      </c>
      <c r="D39" s="193">
        <v>130000</v>
      </c>
      <c r="E39" s="215">
        <v>130000</v>
      </c>
      <c r="F39" s="238">
        <v>130000</v>
      </c>
      <c r="G39" s="231">
        <v>180000</v>
      </c>
    </row>
    <row r="40" spans="1:7" ht="22.5" customHeight="1" x14ac:dyDescent="0.2">
      <c r="A40" s="149">
        <v>30</v>
      </c>
      <c r="B40" s="152" t="s">
        <v>872</v>
      </c>
      <c r="C40" s="193">
        <v>150000</v>
      </c>
      <c r="D40" s="193">
        <v>150000</v>
      </c>
      <c r="E40" s="215" t="s">
        <v>254</v>
      </c>
      <c r="F40" s="238"/>
      <c r="G40" s="231">
        <v>20000</v>
      </c>
    </row>
    <row r="41" spans="1:7" ht="22.5" customHeight="1" x14ac:dyDescent="0.2">
      <c r="A41" s="149">
        <v>31</v>
      </c>
      <c r="B41" s="152" t="s">
        <v>873</v>
      </c>
      <c r="C41" s="193">
        <v>120000</v>
      </c>
      <c r="D41" s="193">
        <v>120000</v>
      </c>
      <c r="E41" s="215"/>
      <c r="F41" s="238"/>
      <c r="G41" s="231" t="s">
        <v>254</v>
      </c>
    </row>
    <row r="42" spans="1:7" ht="22.5" customHeight="1" x14ac:dyDescent="0.2">
      <c r="A42" s="149">
        <v>32</v>
      </c>
      <c r="B42" s="152" t="s">
        <v>874</v>
      </c>
      <c r="C42" s="194">
        <v>105000</v>
      </c>
      <c r="D42" s="194">
        <v>70000</v>
      </c>
      <c r="E42" s="225"/>
      <c r="F42" s="239"/>
      <c r="G42" s="232"/>
    </row>
    <row r="43" spans="1:7" ht="22.5" customHeight="1" x14ac:dyDescent="0.2">
      <c r="A43" s="149">
        <v>33</v>
      </c>
      <c r="B43" s="191" t="s">
        <v>734</v>
      </c>
      <c r="C43" s="193">
        <v>100000</v>
      </c>
      <c r="D43" s="193"/>
      <c r="E43" s="215"/>
      <c r="F43" s="238"/>
      <c r="G43" s="231"/>
    </row>
    <row r="44" spans="1:7" ht="33.950000000000003" customHeight="1" x14ac:dyDescent="0.2">
      <c r="A44" s="149">
        <v>34</v>
      </c>
      <c r="B44" s="191" t="s">
        <v>354</v>
      </c>
      <c r="C44" s="193">
        <v>239</v>
      </c>
      <c r="D44" s="193">
        <v>239</v>
      </c>
      <c r="E44" s="215">
        <v>239</v>
      </c>
      <c r="F44" s="238">
        <v>239</v>
      </c>
      <c r="G44" s="231"/>
    </row>
    <row r="45" spans="1:7" ht="33" x14ac:dyDescent="0.2">
      <c r="A45" s="149">
        <v>35</v>
      </c>
      <c r="B45" s="152" t="s">
        <v>928</v>
      </c>
      <c r="C45" s="194">
        <v>140000</v>
      </c>
      <c r="D45" s="194">
        <v>140000</v>
      </c>
      <c r="E45" s="225"/>
      <c r="F45" s="239"/>
      <c r="G45" s="232">
        <v>239</v>
      </c>
    </row>
    <row r="46" spans="1:7" ht="22.5" customHeight="1" x14ac:dyDescent="0.2">
      <c r="A46" s="149">
        <v>36</v>
      </c>
      <c r="B46" s="152" t="s">
        <v>355</v>
      </c>
      <c r="C46" s="194">
        <v>25000</v>
      </c>
      <c r="D46" s="194">
        <v>25000</v>
      </c>
      <c r="E46" s="225">
        <v>25000</v>
      </c>
      <c r="F46" s="239">
        <v>25000</v>
      </c>
      <c r="G46" s="232"/>
    </row>
    <row r="47" spans="1:7" ht="50.45" customHeight="1" x14ac:dyDescent="0.2">
      <c r="A47" s="149">
        <v>37</v>
      </c>
      <c r="B47" s="191" t="s">
        <v>356</v>
      </c>
      <c r="C47" s="193">
        <v>25000</v>
      </c>
      <c r="D47" s="193"/>
      <c r="E47" s="215"/>
      <c r="F47" s="238"/>
      <c r="G47" s="231">
        <v>25000</v>
      </c>
    </row>
    <row r="48" spans="1:7" ht="22.5" customHeight="1" x14ac:dyDescent="0.2">
      <c r="A48" s="149">
        <v>38</v>
      </c>
      <c r="B48" s="191" t="s">
        <v>875</v>
      </c>
      <c r="C48" s="193">
        <v>17000</v>
      </c>
      <c r="D48" s="193">
        <v>17000</v>
      </c>
      <c r="E48" s="215">
        <v>17000</v>
      </c>
      <c r="F48" s="238"/>
      <c r="G48" s="231"/>
    </row>
    <row r="49" spans="1:7" ht="22.5" customHeight="1" x14ac:dyDescent="0.2">
      <c r="A49" s="149">
        <v>39</v>
      </c>
      <c r="B49" s="191" t="s">
        <v>357</v>
      </c>
      <c r="C49" s="193">
        <v>30000</v>
      </c>
      <c r="D49" s="193"/>
      <c r="E49" s="215"/>
      <c r="F49" s="238"/>
      <c r="G49" s="231"/>
    </row>
    <row r="50" spans="1:7" ht="33.6" customHeight="1" x14ac:dyDescent="0.2">
      <c r="A50" s="149">
        <v>40</v>
      </c>
      <c r="B50" s="191" t="s">
        <v>517</v>
      </c>
      <c r="C50" s="193">
        <f>40000+40000</f>
        <v>80000</v>
      </c>
      <c r="D50" s="193">
        <f>40000+40000</f>
        <v>80000</v>
      </c>
      <c r="E50" s="215"/>
      <c r="F50" s="238"/>
      <c r="G50" s="231"/>
    </row>
    <row r="51" spans="1:7" ht="45.95" customHeight="1" x14ac:dyDescent="0.2">
      <c r="A51" s="149">
        <v>41</v>
      </c>
      <c r="B51" s="152" t="s">
        <v>929</v>
      </c>
      <c r="C51" s="192">
        <v>25000</v>
      </c>
      <c r="D51" s="192">
        <v>25000</v>
      </c>
      <c r="E51" s="215">
        <v>25000</v>
      </c>
      <c r="F51" s="238">
        <v>25000</v>
      </c>
      <c r="G51" s="231"/>
    </row>
    <row r="52" spans="1:7" ht="66" x14ac:dyDescent="0.2">
      <c r="A52" s="149">
        <v>42</v>
      </c>
      <c r="B52" s="152" t="s">
        <v>930</v>
      </c>
      <c r="C52" s="194">
        <v>24000</v>
      </c>
      <c r="D52" s="194"/>
      <c r="E52" s="225"/>
      <c r="F52" s="239"/>
      <c r="G52" s="232"/>
    </row>
    <row r="53" spans="1:7" ht="22.5" customHeight="1" x14ac:dyDescent="0.2">
      <c r="A53" s="149">
        <v>43</v>
      </c>
      <c r="B53" s="191" t="s">
        <v>931</v>
      </c>
      <c r="C53" s="193">
        <v>22000</v>
      </c>
      <c r="D53" s="193"/>
      <c r="E53" s="215"/>
      <c r="F53" s="238"/>
      <c r="G53" s="231"/>
    </row>
    <row r="54" spans="1:7" ht="22.5" customHeight="1" x14ac:dyDescent="0.2">
      <c r="A54" s="149">
        <v>44</v>
      </c>
      <c r="B54" s="152" t="s">
        <v>440</v>
      </c>
      <c r="C54" s="194">
        <f>46997-32000</f>
        <v>14997</v>
      </c>
      <c r="D54" s="194">
        <f t="shared" ref="D54:F54" si="1">46997-32000</f>
        <v>14997</v>
      </c>
      <c r="E54" s="225">
        <f t="shared" si="1"/>
        <v>14997</v>
      </c>
      <c r="F54" s="239">
        <f t="shared" si="1"/>
        <v>14997</v>
      </c>
      <c r="G54" s="232"/>
    </row>
    <row r="55" spans="1:7" ht="30" customHeight="1" x14ac:dyDescent="0.2">
      <c r="A55" s="149">
        <v>45</v>
      </c>
      <c r="B55" s="152" t="s">
        <v>876</v>
      </c>
      <c r="C55" s="194">
        <f>800*1.27</f>
        <v>1016</v>
      </c>
      <c r="D55" s="194"/>
      <c r="E55" s="215"/>
      <c r="F55" s="239"/>
      <c r="G55" s="232">
        <v>3840</v>
      </c>
    </row>
    <row r="56" spans="1:7" ht="29.45" customHeight="1" x14ac:dyDescent="0.2">
      <c r="A56" s="149">
        <v>46</v>
      </c>
      <c r="B56" s="152" t="s">
        <v>932</v>
      </c>
      <c r="C56" s="194">
        <v>917</v>
      </c>
      <c r="D56" s="194"/>
      <c r="E56" s="215"/>
      <c r="F56" s="239"/>
      <c r="G56" s="232">
        <v>4000</v>
      </c>
    </row>
    <row r="57" spans="1:7" ht="66" customHeight="1" x14ac:dyDescent="0.2">
      <c r="A57" s="149">
        <v>47</v>
      </c>
      <c r="B57" s="191" t="s">
        <v>933</v>
      </c>
      <c r="C57" s="193">
        <v>4583</v>
      </c>
      <c r="D57" s="193">
        <v>5500</v>
      </c>
      <c r="E57" s="215">
        <v>917</v>
      </c>
      <c r="F57" s="238"/>
      <c r="G57" s="231">
        <v>300</v>
      </c>
    </row>
    <row r="58" spans="1:7" ht="22.5" customHeight="1" x14ac:dyDescent="0.2">
      <c r="A58" s="149">
        <v>48</v>
      </c>
      <c r="B58" s="191" t="s">
        <v>518</v>
      </c>
      <c r="C58" s="193">
        <v>3264</v>
      </c>
      <c r="D58" s="193">
        <v>3264</v>
      </c>
      <c r="E58" s="215">
        <v>3264</v>
      </c>
      <c r="F58" s="238">
        <v>3264</v>
      </c>
      <c r="G58" s="231">
        <v>127</v>
      </c>
    </row>
    <row r="59" spans="1:7" ht="22.5" customHeight="1" x14ac:dyDescent="0.2">
      <c r="A59" s="149">
        <v>49</v>
      </c>
      <c r="B59" s="191" t="s">
        <v>519</v>
      </c>
      <c r="C59" s="193">
        <v>3400</v>
      </c>
      <c r="D59" s="193">
        <v>3400</v>
      </c>
      <c r="E59" s="215">
        <v>3400</v>
      </c>
      <c r="F59" s="238">
        <v>3400</v>
      </c>
      <c r="G59" s="231">
        <v>1200</v>
      </c>
    </row>
    <row r="60" spans="1:7" ht="22.5" customHeight="1" x14ac:dyDescent="0.2">
      <c r="A60" s="149">
        <v>50</v>
      </c>
      <c r="B60" s="191" t="s">
        <v>358</v>
      </c>
      <c r="C60" s="193">
        <v>300</v>
      </c>
      <c r="D60" s="193">
        <v>300</v>
      </c>
      <c r="E60" s="215">
        <v>300</v>
      </c>
      <c r="F60" s="238">
        <v>300</v>
      </c>
      <c r="G60" s="231">
        <v>300</v>
      </c>
    </row>
    <row r="61" spans="1:7" ht="22.5" customHeight="1" x14ac:dyDescent="0.2">
      <c r="A61" s="149">
        <v>51</v>
      </c>
      <c r="B61" s="191" t="s">
        <v>359</v>
      </c>
      <c r="C61" s="193">
        <v>127</v>
      </c>
      <c r="D61" s="193">
        <v>127</v>
      </c>
      <c r="E61" s="215">
        <v>127</v>
      </c>
      <c r="F61" s="238">
        <v>127</v>
      </c>
      <c r="G61" s="231">
        <v>120</v>
      </c>
    </row>
    <row r="62" spans="1:7" ht="33" x14ac:dyDescent="0.2">
      <c r="A62" s="149">
        <v>52</v>
      </c>
      <c r="B62" s="191" t="s">
        <v>934</v>
      </c>
      <c r="C62" s="193">
        <v>1200</v>
      </c>
      <c r="D62" s="193">
        <v>1200</v>
      </c>
      <c r="E62" s="215">
        <v>1200</v>
      </c>
      <c r="F62" s="238">
        <v>1200</v>
      </c>
      <c r="G62" s="231">
        <v>1700</v>
      </c>
    </row>
    <row r="63" spans="1:7" ht="22.5" customHeight="1" x14ac:dyDescent="0.2">
      <c r="A63" s="149">
        <v>53</v>
      </c>
      <c r="B63" s="191" t="s">
        <v>935</v>
      </c>
      <c r="C63" s="193">
        <v>300</v>
      </c>
      <c r="D63" s="193">
        <v>300</v>
      </c>
      <c r="E63" s="215">
        <v>300</v>
      </c>
      <c r="F63" s="238">
        <v>300</v>
      </c>
      <c r="G63" s="231">
        <v>600</v>
      </c>
    </row>
    <row r="64" spans="1:7" ht="22.5" customHeight="1" x14ac:dyDescent="0.2">
      <c r="A64" s="149">
        <v>54</v>
      </c>
      <c r="B64" s="191" t="s">
        <v>360</v>
      </c>
      <c r="C64" s="193">
        <v>120</v>
      </c>
      <c r="D64" s="193">
        <v>120</v>
      </c>
      <c r="E64" s="215">
        <v>120</v>
      </c>
      <c r="F64" s="238">
        <v>120</v>
      </c>
      <c r="G64" s="231">
        <v>12000</v>
      </c>
    </row>
    <row r="65" spans="1:7" ht="22.5" customHeight="1" x14ac:dyDescent="0.2">
      <c r="A65" s="149">
        <v>55</v>
      </c>
      <c r="B65" s="191" t="s">
        <v>361</v>
      </c>
      <c r="C65" s="193">
        <v>1700</v>
      </c>
      <c r="D65" s="193">
        <v>1700</v>
      </c>
      <c r="E65" s="215">
        <v>1700</v>
      </c>
      <c r="F65" s="238">
        <v>1700</v>
      </c>
      <c r="G65" s="231">
        <v>356958</v>
      </c>
    </row>
    <row r="66" spans="1:7" ht="33.950000000000003" customHeight="1" x14ac:dyDescent="0.2">
      <c r="A66" s="149">
        <v>56</v>
      </c>
      <c r="B66" s="191" t="s">
        <v>877</v>
      </c>
      <c r="C66" s="193">
        <v>10200</v>
      </c>
      <c r="D66" s="193">
        <v>10200</v>
      </c>
      <c r="E66" s="215">
        <v>10200</v>
      </c>
      <c r="F66" s="238">
        <v>10200</v>
      </c>
      <c r="G66" s="231">
        <v>38148</v>
      </c>
    </row>
    <row r="67" spans="1:7" ht="32.1" customHeight="1" x14ac:dyDescent="0.2">
      <c r="A67" s="149">
        <v>57</v>
      </c>
      <c r="B67" s="152" t="s">
        <v>524</v>
      </c>
      <c r="C67" s="194">
        <v>143385</v>
      </c>
      <c r="D67" s="194">
        <v>143385</v>
      </c>
      <c r="E67" s="215">
        <v>143385</v>
      </c>
      <c r="F67" s="238">
        <v>143385</v>
      </c>
      <c r="G67" s="232"/>
    </row>
    <row r="68" spans="1:7" ht="22.5" customHeight="1" x14ac:dyDescent="0.2">
      <c r="A68" s="149">
        <v>58</v>
      </c>
      <c r="B68" s="152" t="s">
        <v>362</v>
      </c>
      <c r="C68" s="194">
        <v>60000</v>
      </c>
      <c r="D68" s="194">
        <v>60000</v>
      </c>
      <c r="E68" s="215">
        <v>60000</v>
      </c>
      <c r="F68" s="239">
        <v>60000</v>
      </c>
      <c r="G68" s="232">
        <v>95000</v>
      </c>
    </row>
    <row r="69" spans="1:7" ht="36" customHeight="1" x14ac:dyDescent="0.2">
      <c r="A69" s="149">
        <v>59</v>
      </c>
      <c r="B69" s="152" t="s">
        <v>936</v>
      </c>
      <c r="C69" s="194">
        <f>7400*1.27</f>
        <v>9398</v>
      </c>
      <c r="D69" s="194"/>
      <c r="E69" s="215"/>
      <c r="F69" s="239"/>
      <c r="G69" s="232">
        <v>5600</v>
      </c>
    </row>
    <row r="70" spans="1:7" ht="49.5" x14ac:dyDescent="0.2">
      <c r="A70" s="149">
        <v>60</v>
      </c>
      <c r="B70" s="191" t="s">
        <v>937</v>
      </c>
      <c r="C70" s="193">
        <v>34150</v>
      </c>
      <c r="D70" s="193"/>
      <c r="E70" s="215"/>
      <c r="F70" s="238"/>
      <c r="G70" s="231"/>
    </row>
    <row r="71" spans="1:7" ht="22.5" customHeight="1" x14ac:dyDescent="0.2">
      <c r="A71" s="149">
        <v>61</v>
      </c>
      <c r="B71" s="191" t="s">
        <v>961</v>
      </c>
      <c r="C71" s="193">
        <v>57501</v>
      </c>
      <c r="D71" s="193">
        <v>57501</v>
      </c>
      <c r="E71" s="215">
        <v>57501</v>
      </c>
      <c r="F71" s="238">
        <v>57501</v>
      </c>
      <c r="G71" s="231"/>
    </row>
    <row r="72" spans="1:7" ht="33" x14ac:dyDescent="0.2">
      <c r="A72" s="149">
        <v>62</v>
      </c>
      <c r="B72" s="191" t="s">
        <v>938</v>
      </c>
      <c r="C72" s="193">
        <v>8800</v>
      </c>
      <c r="D72" s="193"/>
      <c r="E72" s="215"/>
      <c r="F72" s="238"/>
      <c r="G72" s="231">
        <v>53800</v>
      </c>
    </row>
    <row r="73" spans="1:7" ht="22.5" customHeight="1" x14ac:dyDescent="0.2">
      <c r="A73" s="149">
        <v>63</v>
      </c>
      <c r="B73" s="191" t="s">
        <v>11</v>
      </c>
      <c r="C73" s="193">
        <f t="shared" ref="C73:F73" si="2">30000*1.27</f>
        <v>38100</v>
      </c>
      <c r="D73" s="193">
        <f t="shared" si="2"/>
        <v>38100</v>
      </c>
      <c r="E73" s="215">
        <f t="shared" si="2"/>
        <v>38100</v>
      </c>
      <c r="F73" s="238">
        <f t="shared" si="2"/>
        <v>38100</v>
      </c>
      <c r="G73" s="231">
        <v>72000</v>
      </c>
    </row>
    <row r="74" spans="1:7" ht="22.5" customHeight="1" x14ac:dyDescent="0.2">
      <c r="A74" s="149">
        <v>64</v>
      </c>
      <c r="B74" s="191" t="s">
        <v>12</v>
      </c>
      <c r="C74" s="193">
        <v>9601</v>
      </c>
      <c r="D74" s="193">
        <v>9601</v>
      </c>
      <c r="E74" s="215">
        <v>9601</v>
      </c>
      <c r="F74" s="238">
        <v>9601</v>
      </c>
      <c r="G74" s="231"/>
    </row>
    <row r="75" spans="1:7" ht="22.5" customHeight="1" x14ac:dyDescent="0.2">
      <c r="A75" s="149">
        <v>65</v>
      </c>
      <c r="B75" s="191" t="s">
        <v>430</v>
      </c>
      <c r="C75" s="193">
        <f>14980*1.27</f>
        <v>19024.599999999999</v>
      </c>
      <c r="D75" s="193"/>
      <c r="E75" s="215"/>
      <c r="F75" s="238"/>
      <c r="G75" s="231">
        <f>30000*1.27</f>
        <v>38100</v>
      </c>
    </row>
    <row r="76" spans="1:7" ht="30.95" customHeight="1" x14ac:dyDescent="0.2">
      <c r="A76" s="149">
        <v>66</v>
      </c>
      <c r="B76" s="191" t="s">
        <v>878</v>
      </c>
      <c r="C76" s="193">
        <f>6700*1.27</f>
        <v>8509</v>
      </c>
      <c r="D76" s="193">
        <f>6700*1.27</f>
        <v>8509</v>
      </c>
      <c r="E76" s="215"/>
      <c r="F76" s="238"/>
      <c r="G76" s="231">
        <v>9653</v>
      </c>
    </row>
    <row r="77" spans="1:7" ht="30" customHeight="1" x14ac:dyDescent="0.2">
      <c r="A77" s="149">
        <v>67</v>
      </c>
      <c r="B77" s="152" t="s">
        <v>363</v>
      </c>
      <c r="C77" s="193">
        <v>80578</v>
      </c>
      <c r="D77" s="193"/>
      <c r="E77" s="215"/>
      <c r="F77" s="238"/>
      <c r="G77" s="231"/>
    </row>
    <row r="78" spans="1:7" ht="29.25" customHeight="1" x14ac:dyDescent="0.2">
      <c r="A78" s="149">
        <v>68</v>
      </c>
      <c r="B78" s="152" t="s">
        <v>879</v>
      </c>
      <c r="C78" s="193">
        <v>5100</v>
      </c>
      <c r="D78" s="193">
        <v>5100</v>
      </c>
      <c r="E78" s="215">
        <v>5100</v>
      </c>
      <c r="F78" s="238">
        <v>5100</v>
      </c>
      <c r="G78" s="231"/>
    </row>
    <row r="79" spans="1:7" ht="30" customHeight="1" x14ac:dyDescent="0.2">
      <c r="A79" s="149">
        <v>69</v>
      </c>
      <c r="B79" s="152" t="s">
        <v>939</v>
      </c>
      <c r="C79" s="194">
        <v>5200</v>
      </c>
      <c r="D79" s="194">
        <v>5200</v>
      </c>
      <c r="E79" s="225"/>
      <c r="F79" s="239"/>
      <c r="G79" s="232">
        <v>6000</v>
      </c>
    </row>
    <row r="80" spans="1:7" ht="22.5" customHeight="1" x14ac:dyDescent="0.2">
      <c r="A80" s="149">
        <v>70</v>
      </c>
      <c r="B80" s="152" t="s">
        <v>880</v>
      </c>
      <c r="C80" s="194">
        <f t="shared" ref="C80:E80" si="3">15*12</f>
        <v>180</v>
      </c>
      <c r="D80" s="194">
        <f t="shared" si="3"/>
        <v>180</v>
      </c>
      <c r="E80" s="225">
        <f t="shared" si="3"/>
        <v>180</v>
      </c>
      <c r="F80" s="239">
        <v>180</v>
      </c>
      <c r="G80" s="232"/>
    </row>
    <row r="81" spans="1:7" ht="22.5" customHeight="1" x14ac:dyDescent="0.2">
      <c r="A81" s="149">
        <v>71</v>
      </c>
      <c r="B81" s="152" t="s">
        <v>940</v>
      </c>
      <c r="C81" s="194">
        <v>417000</v>
      </c>
      <c r="D81" s="194"/>
      <c r="E81" s="225"/>
      <c r="F81" s="239"/>
      <c r="G81" s="232"/>
    </row>
    <row r="82" spans="1:7" ht="51" customHeight="1" x14ac:dyDescent="0.2">
      <c r="A82" s="149">
        <v>72</v>
      </c>
      <c r="B82" s="226" t="s">
        <v>941</v>
      </c>
      <c r="C82" s="227">
        <f>1224*1.27</f>
        <v>1554.48</v>
      </c>
      <c r="D82" s="227"/>
      <c r="E82" s="225"/>
      <c r="F82" s="239"/>
      <c r="G82" s="233">
        <f>15*12</f>
        <v>180</v>
      </c>
    </row>
    <row r="83" spans="1:7" ht="49.5" x14ac:dyDescent="0.2">
      <c r="A83" s="149">
        <v>73</v>
      </c>
      <c r="B83" s="226" t="s">
        <v>942</v>
      </c>
      <c r="C83" s="227">
        <v>2896</v>
      </c>
      <c r="D83" s="227"/>
      <c r="E83" s="225"/>
      <c r="F83" s="239"/>
      <c r="G83" s="233"/>
    </row>
    <row r="84" spans="1:7" ht="49.5" customHeight="1" thickBot="1" x14ac:dyDescent="0.25">
      <c r="A84" s="149">
        <v>74</v>
      </c>
      <c r="B84" s="226" t="s">
        <v>943</v>
      </c>
      <c r="C84" s="227">
        <v>94299</v>
      </c>
      <c r="D84" s="227"/>
      <c r="E84" s="225"/>
      <c r="F84" s="239"/>
      <c r="G84" s="233"/>
    </row>
    <row r="85" spans="1:7" s="153" customFormat="1" ht="29.25" customHeight="1" thickBot="1" x14ac:dyDescent="0.25">
      <c r="A85" s="2196" t="s">
        <v>364</v>
      </c>
      <c r="B85" s="2197"/>
      <c r="C85" s="195">
        <f>SUM(C22:C84)</f>
        <v>4337826.08</v>
      </c>
      <c r="D85" s="195">
        <f>SUM(D22:D84)</f>
        <v>3191425</v>
      </c>
      <c r="E85" s="195">
        <f>SUM(E22:E84)</f>
        <v>2392685</v>
      </c>
      <c r="F85" s="452">
        <f>SUM(F22:F84)</f>
        <v>2374768</v>
      </c>
      <c r="G85" s="234">
        <f>SUM(G28:G84)</f>
        <v>1767014</v>
      </c>
    </row>
    <row r="86" spans="1:7" s="153" customFormat="1" ht="30" customHeight="1" thickBot="1" x14ac:dyDescent="0.25">
      <c r="A86" s="2198" t="s">
        <v>13</v>
      </c>
      <c r="B86" s="2199"/>
      <c r="C86" s="196">
        <f>SUM(C85,C21)</f>
        <v>5478851.0800000001</v>
      </c>
      <c r="D86" s="196">
        <f>SUM(D85,D21)</f>
        <v>3204425</v>
      </c>
      <c r="E86" s="196">
        <f>SUM(E85,E21)</f>
        <v>2405685</v>
      </c>
      <c r="F86" s="453">
        <f>SUM(F85,F21)</f>
        <v>2374768</v>
      </c>
      <c r="G86" s="235" t="e">
        <f>SUM(G85,#REF!)</f>
        <v>#REF!</v>
      </c>
    </row>
    <row r="89" spans="1:7" ht="17.25" x14ac:dyDescent="0.2">
      <c r="B89" s="248"/>
    </row>
    <row r="90" spans="1:7" ht="17.25" x14ac:dyDescent="0.2">
      <c r="B90" s="248"/>
    </row>
  </sheetData>
  <mergeCells count="13">
    <mergeCell ref="A21:B21"/>
    <mergeCell ref="A85:B85"/>
    <mergeCell ref="A86:B86"/>
    <mergeCell ref="G7:G8"/>
    <mergeCell ref="B1:C1"/>
    <mergeCell ref="A3:F3"/>
    <mergeCell ref="A4:F4"/>
    <mergeCell ref="A7:A8"/>
    <mergeCell ref="B7:B8"/>
    <mergeCell ref="C7:C8"/>
    <mergeCell ref="D7:D8"/>
    <mergeCell ref="E7:E8"/>
    <mergeCell ref="F7:F8"/>
  </mergeCells>
  <printOptions horizontalCentered="1"/>
  <pageMargins left="0.19685039370078741" right="0.19685039370078741" top="0.59055118110236227" bottom="0.19685039370078741" header="0.51181102362204722" footer="0.51181102362204722"/>
  <pageSetup paperSize="9" scale="77" fitToHeight="0" orientation="portrait" r:id="rId1"/>
  <headerFooter>
    <oddFooter>&amp;C
- &amp;P -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7"/>
  <sheetViews>
    <sheetView view="pageBreakPreview" topLeftCell="B1" zoomScale="90" zoomScaleNormal="100" zoomScaleSheetLayoutView="90" workbookViewId="0">
      <selection activeCell="J16" sqref="J16"/>
    </sheetView>
  </sheetViews>
  <sheetFormatPr defaultColWidth="9.85546875" defaultRowHeight="16.5" x14ac:dyDescent="0.3"/>
  <cols>
    <col min="1" max="1" width="3.7109375" style="162" customWidth="1"/>
    <col min="2" max="2" width="3.7109375" style="163" customWidth="1"/>
    <col min="3" max="3" width="18.85546875" style="181" customWidth="1"/>
    <col min="4" max="4" width="19.7109375" style="163" customWidth="1"/>
    <col min="5" max="5" width="13.5703125" style="163" customWidth="1"/>
    <col min="6" max="8" width="11.7109375" style="163" customWidth="1"/>
    <col min="9" max="9" width="13.42578125" style="163" customWidth="1"/>
    <col min="10" max="11" width="12.7109375" style="163" customWidth="1"/>
    <col min="12" max="18" width="11.7109375" style="163" customWidth="1"/>
    <col min="19" max="21" width="11.7109375" style="164" customWidth="1"/>
    <col min="22" max="249" width="8" style="164" customWidth="1"/>
    <col min="250" max="250" width="2.42578125" style="164" bestFit="1" customWidth="1"/>
    <col min="251" max="251" width="28.28515625" style="164" bestFit="1" customWidth="1"/>
    <col min="252" max="252" width="14.28515625" style="164" bestFit="1" customWidth="1"/>
    <col min="253" max="253" width="13.5703125" style="164" bestFit="1" customWidth="1"/>
    <col min="254" max="254" width="10.7109375" style="164" bestFit="1" customWidth="1"/>
    <col min="255" max="255" width="9.42578125" style="164" bestFit="1" customWidth="1"/>
    <col min="256" max="256" width="9.85546875" style="164" bestFit="1"/>
    <col min="257" max="16384" width="9.85546875" style="164"/>
  </cols>
  <sheetData>
    <row r="1" spans="1:21" x14ac:dyDescent="0.3">
      <c r="B1" s="1950" t="s">
        <v>982</v>
      </c>
      <c r="C1" s="1950"/>
      <c r="D1" s="1950"/>
      <c r="E1" s="1950"/>
      <c r="F1" s="1950"/>
    </row>
    <row r="2" spans="1:21" s="165" customFormat="1" ht="17.25" x14ac:dyDescent="0.2">
      <c r="A2" s="162"/>
      <c r="B2" s="2218" t="s">
        <v>122</v>
      </c>
      <c r="C2" s="2218"/>
      <c r="D2" s="2218"/>
      <c r="E2" s="2218"/>
      <c r="F2" s="2218"/>
      <c r="G2" s="2218"/>
      <c r="H2" s="2218"/>
      <c r="I2" s="2218"/>
      <c r="J2" s="2218"/>
      <c r="K2" s="2218"/>
      <c r="L2" s="2218"/>
      <c r="M2" s="2218"/>
      <c r="N2" s="2218"/>
      <c r="O2" s="2218"/>
      <c r="P2" s="2218"/>
      <c r="Q2" s="2218"/>
      <c r="R2" s="2218"/>
      <c r="S2" s="2218"/>
      <c r="T2" s="2218"/>
      <c r="U2" s="2218"/>
    </row>
    <row r="3" spans="1:21" s="165" customFormat="1" ht="17.25" x14ac:dyDescent="0.2">
      <c r="A3" s="162"/>
      <c r="B3" s="2218" t="s">
        <v>14</v>
      </c>
      <c r="C3" s="2218"/>
      <c r="D3" s="2218"/>
      <c r="E3" s="2218"/>
      <c r="F3" s="2218"/>
      <c r="G3" s="2218"/>
      <c r="H3" s="2218"/>
      <c r="I3" s="2218"/>
      <c r="J3" s="2218"/>
      <c r="K3" s="2218"/>
      <c r="L3" s="2218"/>
      <c r="M3" s="2218"/>
      <c r="N3" s="2218"/>
      <c r="O3" s="2218"/>
      <c r="P3" s="2218"/>
      <c r="Q3" s="2218"/>
      <c r="R3" s="2218"/>
      <c r="S3" s="2218"/>
      <c r="T3" s="2218"/>
      <c r="U3" s="2218"/>
    </row>
    <row r="4" spans="1:21" s="165" customFormat="1" ht="17.25" x14ac:dyDescent="0.2">
      <c r="A4" s="162"/>
      <c r="B4" s="2218" t="s">
        <v>365</v>
      </c>
      <c r="C4" s="2218"/>
      <c r="D4" s="2218"/>
      <c r="E4" s="2218"/>
      <c r="F4" s="2218"/>
      <c r="G4" s="2218"/>
      <c r="H4" s="2218"/>
      <c r="I4" s="2218"/>
      <c r="J4" s="2218"/>
      <c r="K4" s="2218"/>
      <c r="L4" s="2218"/>
      <c r="M4" s="2218"/>
      <c r="N4" s="2218"/>
      <c r="O4" s="2218"/>
      <c r="P4" s="2218"/>
      <c r="Q4" s="2218"/>
      <c r="R4" s="2218"/>
      <c r="S4" s="2218"/>
      <c r="T4" s="2218"/>
      <c r="U4" s="2218"/>
    </row>
    <row r="5" spans="1:21" ht="17.25" x14ac:dyDescent="0.35">
      <c r="B5" s="166"/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66"/>
      <c r="Q5" s="166"/>
      <c r="R5" s="166"/>
      <c r="S5" s="166"/>
      <c r="T5" s="2219" t="s">
        <v>0</v>
      </c>
      <c r="U5" s="2219"/>
    </row>
    <row r="6" spans="1:21" ht="17.25" thickBot="1" x14ac:dyDescent="0.35">
      <c r="B6" s="2215" t="s">
        <v>1</v>
      </c>
      <c r="C6" s="2215"/>
      <c r="D6" s="167" t="s">
        <v>3</v>
      </c>
      <c r="E6" s="167" t="s">
        <v>2</v>
      </c>
      <c r="F6" s="167" t="s">
        <v>4</v>
      </c>
      <c r="G6" s="167" t="s">
        <v>5</v>
      </c>
      <c r="H6" s="167" t="s">
        <v>15</v>
      </c>
      <c r="I6" s="167" t="s">
        <v>16</v>
      </c>
      <c r="J6" s="167" t="s">
        <v>17</v>
      </c>
      <c r="K6" s="167" t="s">
        <v>36</v>
      </c>
      <c r="L6" s="167" t="s">
        <v>30</v>
      </c>
      <c r="M6" s="167" t="s">
        <v>23</v>
      </c>
      <c r="N6" s="167" t="s">
        <v>37</v>
      </c>
      <c r="O6" s="167" t="s">
        <v>38</v>
      </c>
      <c r="P6" s="167" t="s">
        <v>160</v>
      </c>
      <c r="Q6" s="167" t="s">
        <v>161</v>
      </c>
      <c r="R6" s="168" t="s">
        <v>162</v>
      </c>
      <c r="S6" s="168" t="s">
        <v>366</v>
      </c>
      <c r="T6" s="168" t="s">
        <v>603</v>
      </c>
      <c r="U6" s="168" t="s">
        <v>604</v>
      </c>
    </row>
    <row r="7" spans="1:21" s="162" customFormat="1" ht="99.75" customHeight="1" thickBot="1" x14ac:dyDescent="0.25">
      <c r="B7" s="2216" t="s">
        <v>367</v>
      </c>
      <c r="C7" s="2217"/>
      <c r="D7" s="140" t="s">
        <v>368</v>
      </c>
      <c r="E7" s="140" t="s">
        <v>369</v>
      </c>
      <c r="F7" s="140" t="s">
        <v>370</v>
      </c>
      <c r="G7" s="140" t="s">
        <v>371</v>
      </c>
      <c r="H7" s="140" t="s">
        <v>852</v>
      </c>
      <c r="I7" s="140" t="s">
        <v>918</v>
      </c>
      <c r="J7" s="140" t="s">
        <v>853</v>
      </c>
      <c r="K7" s="140" t="s">
        <v>854</v>
      </c>
      <c r="L7" s="140" t="s">
        <v>425</v>
      </c>
      <c r="M7" s="140" t="s">
        <v>855</v>
      </c>
      <c r="N7" s="140" t="s">
        <v>426</v>
      </c>
      <c r="O7" s="140" t="s">
        <v>521</v>
      </c>
      <c r="P7" s="140" t="s">
        <v>605</v>
      </c>
      <c r="Q7" s="140" t="s">
        <v>856</v>
      </c>
      <c r="R7" s="140" t="s">
        <v>857</v>
      </c>
      <c r="S7" s="140" t="s">
        <v>522</v>
      </c>
      <c r="T7" s="140" t="s">
        <v>606</v>
      </c>
      <c r="U7" s="245" t="s">
        <v>858</v>
      </c>
    </row>
    <row r="8" spans="1:21" ht="33" customHeight="1" thickTop="1" x14ac:dyDescent="0.3">
      <c r="A8" s="162">
        <v>1</v>
      </c>
      <c r="B8" s="169" t="s">
        <v>130</v>
      </c>
      <c r="C8" s="141" t="s">
        <v>427</v>
      </c>
      <c r="D8" s="170" t="s">
        <v>372</v>
      </c>
      <c r="E8" s="161" t="s">
        <v>859</v>
      </c>
      <c r="F8" s="142">
        <v>44104</v>
      </c>
      <c r="G8" s="143">
        <v>1500000</v>
      </c>
      <c r="H8" s="143">
        <v>0</v>
      </c>
      <c r="I8" s="143"/>
      <c r="J8" s="143">
        <v>0</v>
      </c>
      <c r="K8" s="143">
        <v>0</v>
      </c>
      <c r="L8" s="143">
        <v>0</v>
      </c>
      <c r="M8" s="143">
        <f t="shared" ref="M8:M13" si="0">H8+J8-L8+I8</f>
        <v>0</v>
      </c>
      <c r="N8" s="143">
        <f>4000+10000</f>
        <v>14000</v>
      </c>
      <c r="O8" s="143">
        <v>0</v>
      </c>
      <c r="P8" s="143"/>
      <c r="Q8" s="143"/>
      <c r="R8" s="143"/>
      <c r="S8" s="143"/>
      <c r="T8" s="143"/>
      <c r="U8" s="246"/>
    </row>
    <row r="9" spans="1:21" ht="33" x14ac:dyDescent="0.3">
      <c r="A9" s="162">
        <v>2</v>
      </c>
      <c r="B9" s="171" t="s">
        <v>137</v>
      </c>
      <c r="C9" s="172" t="s">
        <v>373</v>
      </c>
      <c r="D9" s="144" t="s">
        <v>374</v>
      </c>
      <c r="E9" s="173">
        <v>40736</v>
      </c>
      <c r="F9" s="173">
        <v>48040</v>
      </c>
      <c r="G9" s="361">
        <v>484000</v>
      </c>
      <c r="H9" s="361">
        <v>39625</v>
      </c>
      <c r="I9" s="361"/>
      <c r="J9" s="361">
        <v>0</v>
      </c>
      <c r="K9" s="361">
        <v>0</v>
      </c>
      <c r="L9" s="361">
        <v>12340</v>
      </c>
      <c r="M9" s="361">
        <f t="shared" si="0"/>
        <v>27285</v>
      </c>
      <c r="N9" s="361">
        <v>818</v>
      </c>
      <c r="O9" s="361">
        <v>12341</v>
      </c>
      <c r="P9" s="361">
        <v>12340</v>
      </c>
      <c r="Q9" s="361">
        <v>2604</v>
      </c>
      <c r="R9" s="361">
        <f>M9-O9-P9-Q9</f>
        <v>0</v>
      </c>
      <c r="S9" s="361">
        <v>530</v>
      </c>
      <c r="T9" s="361">
        <v>241</v>
      </c>
      <c r="U9" s="362">
        <v>15</v>
      </c>
    </row>
    <row r="10" spans="1:21" ht="38.25" customHeight="1" x14ac:dyDescent="0.3">
      <c r="A10" s="162">
        <v>3</v>
      </c>
      <c r="B10" s="171" t="s">
        <v>138</v>
      </c>
      <c r="C10" s="172" t="s">
        <v>375</v>
      </c>
      <c r="D10" s="144" t="s">
        <v>374</v>
      </c>
      <c r="E10" s="173">
        <v>41502</v>
      </c>
      <c r="F10" s="173">
        <v>45153</v>
      </c>
      <c r="G10" s="361">
        <v>650000</v>
      </c>
      <c r="H10" s="361">
        <v>46681</v>
      </c>
      <c r="I10" s="361"/>
      <c r="J10" s="361">
        <v>0</v>
      </c>
      <c r="K10" s="361">
        <v>0</v>
      </c>
      <c r="L10" s="361">
        <v>46681</v>
      </c>
      <c r="M10" s="361">
        <f t="shared" si="0"/>
        <v>0</v>
      </c>
      <c r="N10" s="361">
        <v>686</v>
      </c>
      <c r="O10" s="361">
        <v>0</v>
      </c>
      <c r="P10" s="361">
        <v>0</v>
      </c>
      <c r="Q10" s="361"/>
      <c r="R10" s="361"/>
      <c r="S10" s="361">
        <v>0</v>
      </c>
      <c r="T10" s="361">
        <v>0</v>
      </c>
      <c r="U10" s="362"/>
    </row>
    <row r="11" spans="1:21" ht="38.25" customHeight="1" x14ac:dyDescent="0.3">
      <c r="A11" s="162">
        <v>4</v>
      </c>
      <c r="B11" s="171" t="s">
        <v>139</v>
      </c>
      <c r="C11" s="172" t="s">
        <v>376</v>
      </c>
      <c r="D11" s="144" t="s">
        <v>377</v>
      </c>
      <c r="E11" s="173">
        <v>41555</v>
      </c>
      <c r="F11" s="173">
        <v>48859</v>
      </c>
      <c r="G11" s="361">
        <v>200000</v>
      </c>
      <c r="H11" s="361">
        <v>112411</v>
      </c>
      <c r="I11" s="361"/>
      <c r="J11" s="361">
        <v>0</v>
      </c>
      <c r="K11" s="361">
        <v>0</v>
      </c>
      <c r="L11" s="361">
        <v>8918</v>
      </c>
      <c r="M11" s="361">
        <f t="shared" si="0"/>
        <v>103493</v>
      </c>
      <c r="N11" s="361">
        <v>3406</v>
      </c>
      <c r="O11" s="361">
        <v>8918</v>
      </c>
      <c r="P11" s="361">
        <v>8918</v>
      </c>
      <c r="Q11" s="361">
        <v>8918</v>
      </c>
      <c r="R11" s="361">
        <f>M11-O11-P11-Q11</f>
        <v>76739</v>
      </c>
      <c r="S11" s="361">
        <v>3128</v>
      </c>
      <c r="T11" s="361">
        <v>2829</v>
      </c>
      <c r="U11" s="362">
        <v>2571</v>
      </c>
    </row>
    <row r="12" spans="1:21" ht="35.25" customHeight="1" x14ac:dyDescent="0.3">
      <c r="A12" s="162">
        <v>5</v>
      </c>
      <c r="B12" s="171" t="s">
        <v>140</v>
      </c>
      <c r="C12" s="172" t="s">
        <v>428</v>
      </c>
      <c r="D12" s="144" t="s">
        <v>374</v>
      </c>
      <c r="E12" s="173">
        <v>41759</v>
      </c>
      <c r="F12" s="173">
        <v>49064</v>
      </c>
      <c r="G12" s="361">
        <v>200000</v>
      </c>
      <c r="H12" s="361">
        <v>128840</v>
      </c>
      <c r="I12" s="361"/>
      <c r="J12" s="361">
        <v>0</v>
      </c>
      <c r="K12" s="361">
        <v>0</v>
      </c>
      <c r="L12" s="361">
        <v>8886</v>
      </c>
      <c r="M12" s="361">
        <f t="shared" si="0"/>
        <v>119954</v>
      </c>
      <c r="N12" s="361">
        <v>2869</v>
      </c>
      <c r="O12" s="361">
        <v>8886</v>
      </c>
      <c r="P12" s="361">
        <v>8886</v>
      </c>
      <c r="Q12" s="361">
        <v>8886</v>
      </c>
      <c r="R12" s="361">
        <f>M12-P12-Q12-O12</f>
        <v>93296</v>
      </c>
      <c r="S12" s="361">
        <v>2666</v>
      </c>
      <c r="T12" s="361">
        <v>2463</v>
      </c>
      <c r="U12" s="362">
        <v>2260</v>
      </c>
    </row>
    <row r="13" spans="1:21" ht="36" customHeight="1" x14ac:dyDescent="0.3">
      <c r="A13" s="162">
        <v>6</v>
      </c>
      <c r="B13" s="174" t="s">
        <v>225</v>
      </c>
      <c r="C13" s="175" t="s">
        <v>429</v>
      </c>
      <c r="D13" s="145" t="s">
        <v>372</v>
      </c>
      <c r="E13" s="176">
        <v>41759</v>
      </c>
      <c r="F13" s="176">
        <v>45285</v>
      </c>
      <c r="G13" s="363">
        <v>151317</v>
      </c>
      <c r="H13" s="363">
        <v>77521</v>
      </c>
      <c r="I13" s="363"/>
      <c r="J13" s="363">
        <v>0</v>
      </c>
      <c r="K13" s="363">
        <v>0</v>
      </c>
      <c r="L13" s="363">
        <v>19679</v>
      </c>
      <c r="M13" s="363">
        <f t="shared" si="0"/>
        <v>57842</v>
      </c>
      <c r="N13" s="363">
        <v>1192</v>
      </c>
      <c r="O13" s="363">
        <v>19679</v>
      </c>
      <c r="P13" s="363">
        <v>19678</v>
      </c>
      <c r="Q13" s="363">
        <v>18485</v>
      </c>
      <c r="R13" s="361">
        <f>M13-P13-Q13-O13</f>
        <v>0</v>
      </c>
      <c r="S13" s="363">
        <v>858</v>
      </c>
      <c r="T13" s="363">
        <v>523</v>
      </c>
      <c r="U13" s="364">
        <v>187</v>
      </c>
    </row>
    <row r="14" spans="1:21" ht="33" customHeight="1" x14ac:dyDescent="0.3">
      <c r="A14" s="162">
        <v>7</v>
      </c>
      <c r="B14" s="174" t="s">
        <v>378</v>
      </c>
      <c r="C14" s="175" t="s">
        <v>923</v>
      </c>
      <c r="D14" s="145" t="s">
        <v>372</v>
      </c>
      <c r="E14" s="176">
        <v>42943</v>
      </c>
      <c r="F14" s="176">
        <v>46568</v>
      </c>
      <c r="G14" s="363">
        <v>99000</v>
      </c>
      <c r="H14" s="363">
        <v>93000</v>
      </c>
      <c r="I14" s="363"/>
      <c r="J14" s="363">
        <v>0</v>
      </c>
      <c r="K14" s="363">
        <v>0</v>
      </c>
      <c r="L14" s="363">
        <v>12000</v>
      </c>
      <c r="M14" s="363">
        <f>H14+J14-L14+I14</f>
        <v>81000</v>
      </c>
      <c r="N14" s="363">
        <v>1336</v>
      </c>
      <c r="O14" s="363">
        <v>12000</v>
      </c>
      <c r="P14" s="363">
        <v>12000</v>
      </c>
      <c r="Q14" s="363">
        <v>12000</v>
      </c>
      <c r="R14" s="361">
        <f>M14-P14-Q14-O14</f>
        <v>45000</v>
      </c>
      <c r="S14" s="363">
        <v>1155</v>
      </c>
      <c r="T14" s="363">
        <v>974</v>
      </c>
      <c r="U14" s="364">
        <v>793</v>
      </c>
    </row>
    <row r="15" spans="1:21" ht="33" customHeight="1" x14ac:dyDescent="0.3">
      <c r="A15" s="162">
        <v>8</v>
      </c>
      <c r="B15" s="174" t="s">
        <v>607</v>
      </c>
      <c r="C15" s="175" t="s">
        <v>924</v>
      </c>
      <c r="D15" s="145" t="s">
        <v>372</v>
      </c>
      <c r="E15" s="176">
        <v>43641</v>
      </c>
      <c r="F15" s="176">
        <v>47299</v>
      </c>
      <c r="G15" s="363">
        <v>1260000</v>
      </c>
      <c r="H15" s="363">
        <v>0</v>
      </c>
      <c r="I15" s="363"/>
      <c r="J15" s="363">
        <v>629000</v>
      </c>
      <c r="K15" s="363">
        <v>631000</v>
      </c>
      <c r="L15" s="363">
        <v>0</v>
      </c>
      <c r="M15" s="363">
        <f>H15+J15-L15+I15+K15</f>
        <v>1260000</v>
      </c>
      <c r="N15" s="363">
        <v>13999</v>
      </c>
      <c r="O15" s="363">
        <v>76364</v>
      </c>
      <c r="P15" s="363">
        <v>152727</v>
      </c>
      <c r="Q15" s="363">
        <v>152727</v>
      </c>
      <c r="R15" s="363">
        <f>M15-P15-Q15-O15</f>
        <v>878182</v>
      </c>
      <c r="S15" s="363">
        <v>15881</v>
      </c>
      <c r="T15" s="363">
        <v>13305</v>
      </c>
      <c r="U15" s="364">
        <v>12365</v>
      </c>
    </row>
    <row r="16" spans="1:21" s="165" customFormat="1" ht="30" customHeight="1" thickBot="1" x14ac:dyDescent="0.25">
      <c r="A16" s="162">
        <v>9</v>
      </c>
      <c r="B16" s="177"/>
      <c r="C16" s="178"/>
      <c r="D16" s="214"/>
      <c r="E16" s="365"/>
      <c r="F16" s="365"/>
      <c r="G16" s="366"/>
      <c r="H16" s="366"/>
      <c r="I16" s="366"/>
      <c r="J16" s="366"/>
      <c r="K16" s="366"/>
      <c r="L16" s="366"/>
      <c r="M16" s="366"/>
      <c r="N16" s="366"/>
      <c r="O16" s="366"/>
      <c r="P16" s="366"/>
      <c r="Q16" s="366"/>
      <c r="R16" s="366"/>
      <c r="S16" s="366"/>
      <c r="T16" s="366"/>
      <c r="U16" s="367"/>
    </row>
    <row r="17" spans="1:21" ht="30" customHeight="1" thickTop="1" thickBot="1" x14ac:dyDescent="0.35">
      <c r="A17" s="162">
        <v>10</v>
      </c>
      <c r="B17" s="179" t="s">
        <v>256</v>
      </c>
      <c r="C17" s="180" t="s">
        <v>379</v>
      </c>
      <c r="D17" s="180"/>
      <c r="E17" s="180"/>
      <c r="F17" s="180"/>
      <c r="G17" s="180"/>
      <c r="H17" s="180">
        <f>SUM(H8:H16)</f>
        <v>498078</v>
      </c>
      <c r="I17" s="180">
        <f t="shared" ref="I17:U17" si="1">SUM(I8:I16)</f>
        <v>0</v>
      </c>
      <c r="J17" s="180">
        <f t="shared" si="1"/>
        <v>629000</v>
      </c>
      <c r="K17" s="180">
        <f t="shared" si="1"/>
        <v>631000</v>
      </c>
      <c r="L17" s="180">
        <f t="shared" si="1"/>
        <v>108504</v>
      </c>
      <c r="M17" s="180">
        <f t="shared" si="1"/>
        <v>1649574</v>
      </c>
      <c r="N17" s="180">
        <f t="shared" si="1"/>
        <v>38306</v>
      </c>
      <c r="O17" s="180">
        <f t="shared" si="1"/>
        <v>138188</v>
      </c>
      <c r="P17" s="180">
        <f t="shared" si="1"/>
        <v>214549</v>
      </c>
      <c r="Q17" s="180">
        <f t="shared" si="1"/>
        <v>203620</v>
      </c>
      <c r="R17" s="180">
        <f t="shared" si="1"/>
        <v>1093217</v>
      </c>
      <c r="S17" s="180">
        <f t="shared" si="1"/>
        <v>24218</v>
      </c>
      <c r="T17" s="180">
        <f t="shared" si="1"/>
        <v>20335</v>
      </c>
      <c r="U17" s="247">
        <f t="shared" si="1"/>
        <v>18191</v>
      </c>
    </row>
  </sheetData>
  <mergeCells count="7">
    <mergeCell ref="B1:F1"/>
    <mergeCell ref="B6:C6"/>
    <mergeCell ref="B7:C7"/>
    <mergeCell ref="B2:U2"/>
    <mergeCell ref="B3:U3"/>
    <mergeCell ref="B4:U4"/>
    <mergeCell ref="T5:U5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58" fitToHeight="0" orientation="landscape" verticalDpi="300" r:id="rId1"/>
  <headerFooter>
    <oddFooter>&amp;C- &amp;P -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R33"/>
  <sheetViews>
    <sheetView view="pageBreakPreview" zoomScaleNormal="100" zoomScaleSheetLayoutView="100" workbookViewId="0">
      <selection activeCell="D21" sqref="D21"/>
    </sheetView>
  </sheetViews>
  <sheetFormatPr defaultColWidth="3" defaultRowHeight="17.25" x14ac:dyDescent="0.3"/>
  <cols>
    <col min="1" max="1" width="3.28515625" style="198" bestFit="1" customWidth="1"/>
    <col min="2" max="2" width="5.140625" style="203" customWidth="1"/>
    <col min="3" max="3" width="4.42578125" style="204" customWidth="1"/>
    <col min="4" max="4" width="58.140625" style="204" customWidth="1"/>
    <col min="5" max="5" width="16" style="205" customWidth="1"/>
    <col min="6" max="6" width="15.85546875" style="202" customWidth="1"/>
    <col min="7" max="250" width="8" style="202" customWidth="1"/>
    <col min="251" max="251" width="3" style="202" bestFit="1" customWidth="1"/>
    <col min="252" max="16384" width="3" style="23"/>
  </cols>
  <sheetData>
    <row r="1" spans="1:252" x14ac:dyDescent="0.3">
      <c r="B1" s="2223" t="s">
        <v>983</v>
      </c>
      <c r="C1" s="2223"/>
      <c r="D1" s="2224"/>
      <c r="E1" s="199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  <c r="AC1" s="200"/>
      <c r="AD1" s="200"/>
      <c r="AE1" s="200"/>
      <c r="AF1" s="200"/>
      <c r="AG1" s="200"/>
      <c r="AH1" s="200"/>
      <c r="AI1" s="200"/>
      <c r="AJ1" s="200"/>
      <c r="AK1" s="200"/>
      <c r="AL1" s="200"/>
      <c r="AM1" s="200"/>
      <c r="AN1" s="200"/>
      <c r="AO1" s="200"/>
      <c r="AP1" s="200"/>
      <c r="AQ1" s="200"/>
      <c r="AR1" s="200"/>
      <c r="AS1" s="200"/>
      <c r="AT1" s="200"/>
      <c r="AU1" s="200"/>
      <c r="AV1" s="200"/>
      <c r="AW1" s="200"/>
      <c r="AX1" s="200"/>
      <c r="AY1" s="200"/>
      <c r="AZ1" s="200"/>
      <c r="BA1" s="200"/>
      <c r="BB1" s="200"/>
      <c r="BC1" s="200"/>
      <c r="BD1" s="200"/>
      <c r="BE1" s="200"/>
      <c r="BF1" s="200"/>
      <c r="BG1" s="200"/>
      <c r="BH1" s="200"/>
      <c r="BI1" s="200"/>
      <c r="BJ1" s="200"/>
      <c r="BK1" s="200"/>
      <c r="BL1" s="200"/>
      <c r="BM1" s="200"/>
      <c r="BN1" s="200"/>
      <c r="BO1" s="200"/>
      <c r="BP1" s="200"/>
      <c r="BQ1" s="200"/>
      <c r="BR1" s="200"/>
      <c r="BS1" s="200"/>
      <c r="BT1" s="200"/>
      <c r="BU1" s="200"/>
      <c r="BV1" s="200"/>
      <c r="BW1" s="200"/>
      <c r="BX1" s="200"/>
      <c r="BY1" s="200"/>
      <c r="BZ1" s="200"/>
      <c r="CA1" s="200"/>
      <c r="CB1" s="200"/>
      <c r="CC1" s="200"/>
      <c r="CD1" s="200"/>
      <c r="CE1" s="200"/>
      <c r="CF1" s="200"/>
      <c r="CG1" s="200"/>
      <c r="CH1" s="200"/>
      <c r="CI1" s="200"/>
      <c r="CJ1" s="200"/>
      <c r="CK1" s="200"/>
      <c r="CL1" s="200"/>
      <c r="CM1" s="200"/>
      <c r="CN1" s="200"/>
      <c r="CO1" s="200"/>
      <c r="CP1" s="200"/>
      <c r="CQ1" s="200"/>
      <c r="CR1" s="200"/>
      <c r="CS1" s="200"/>
      <c r="CT1" s="200"/>
      <c r="CU1" s="200"/>
      <c r="CV1" s="200"/>
      <c r="CW1" s="200"/>
      <c r="CX1" s="200"/>
      <c r="CY1" s="200"/>
      <c r="CZ1" s="200"/>
      <c r="DA1" s="200"/>
      <c r="DB1" s="200"/>
      <c r="DC1" s="200"/>
      <c r="DD1" s="200"/>
      <c r="DE1" s="200"/>
      <c r="DF1" s="200"/>
      <c r="DG1" s="200"/>
      <c r="DH1" s="200"/>
      <c r="DI1" s="200"/>
      <c r="DJ1" s="200"/>
      <c r="DK1" s="200"/>
      <c r="DL1" s="200"/>
      <c r="DM1" s="200"/>
      <c r="DN1" s="200"/>
      <c r="DO1" s="200"/>
      <c r="DP1" s="200"/>
      <c r="DQ1" s="200"/>
      <c r="DR1" s="200"/>
      <c r="DS1" s="200"/>
      <c r="DT1" s="200"/>
      <c r="DU1" s="200"/>
      <c r="DV1" s="200"/>
      <c r="DW1" s="200"/>
      <c r="DX1" s="200"/>
      <c r="DY1" s="200"/>
      <c r="DZ1" s="200"/>
      <c r="EA1" s="200"/>
      <c r="EB1" s="200"/>
      <c r="EC1" s="200"/>
      <c r="ED1" s="200"/>
      <c r="EE1" s="200"/>
      <c r="EF1" s="200"/>
      <c r="EG1" s="200"/>
      <c r="EH1" s="200"/>
      <c r="EI1" s="200"/>
      <c r="EJ1" s="200"/>
      <c r="EK1" s="200"/>
      <c r="EL1" s="200"/>
      <c r="EM1" s="200"/>
      <c r="EN1" s="200"/>
      <c r="EO1" s="200"/>
      <c r="EP1" s="200"/>
      <c r="EQ1" s="200"/>
      <c r="ER1" s="200"/>
      <c r="ES1" s="200"/>
      <c r="ET1" s="200"/>
      <c r="EU1" s="200"/>
      <c r="EV1" s="200"/>
      <c r="EW1" s="200"/>
      <c r="EX1" s="200"/>
      <c r="EY1" s="200"/>
      <c r="EZ1" s="200"/>
      <c r="FA1" s="200"/>
      <c r="FB1" s="200"/>
      <c r="FC1" s="200"/>
      <c r="FD1" s="200"/>
      <c r="FE1" s="200"/>
      <c r="FF1" s="200"/>
      <c r="FG1" s="200"/>
      <c r="FH1" s="200"/>
      <c r="FI1" s="200"/>
      <c r="FJ1" s="200"/>
      <c r="FK1" s="200"/>
      <c r="FL1" s="200"/>
      <c r="FM1" s="200"/>
      <c r="FN1" s="200"/>
      <c r="FO1" s="200"/>
      <c r="FP1" s="200"/>
      <c r="FQ1" s="200"/>
      <c r="FR1" s="200"/>
      <c r="FS1" s="200"/>
      <c r="FT1" s="200"/>
      <c r="FU1" s="200"/>
      <c r="FV1" s="200"/>
      <c r="FW1" s="200"/>
      <c r="FX1" s="200"/>
      <c r="FY1" s="200"/>
      <c r="FZ1" s="200"/>
      <c r="GA1" s="200"/>
      <c r="GB1" s="200"/>
      <c r="GC1" s="200"/>
      <c r="GD1" s="200"/>
      <c r="GE1" s="200"/>
      <c r="GF1" s="200"/>
      <c r="GG1" s="200"/>
      <c r="GH1" s="200"/>
      <c r="GI1" s="200"/>
      <c r="GJ1" s="200"/>
      <c r="GK1" s="200"/>
      <c r="GL1" s="200"/>
      <c r="GM1" s="200"/>
      <c r="GN1" s="200"/>
      <c r="GO1" s="200"/>
      <c r="GP1" s="200"/>
      <c r="GQ1" s="200"/>
      <c r="GR1" s="200"/>
      <c r="GS1" s="200"/>
      <c r="GT1" s="200"/>
      <c r="GU1" s="200"/>
      <c r="GV1" s="200"/>
      <c r="GW1" s="200"/>
      <c r="GX1" s="200"/>
      <c r="GY1" s="200"/>
      <c r="GZ1" s="200"/>
      <c r="HA1" s="200"/>
      <c r="HB1" s="200"/>
      <c r="HC1" s="200"/>
      <c r="HD1" s="200"/>
      <c r="HE1" s="200"/>
      <c r="HF1" s="200"/>
      <c r="HG1" s="200"/>
      <c r="HH1" s="200"/>
      <c r="HI1" s="200"/>
      <c r="HJ1" s="200"/>
      <c r="HK1" s="200"/>
      <c r="HL1" s="200"/>
      <c r="HM1" s="200"/>
      <c r="HN1" s="200"/>
      <c r="HO1" s="200"/>
      <c r="HP1" s="200"/>
      <c r="HQ1" s="200"/>
      <c r="HR1" s="200"/>
      <c r="HS1" s="200"/>
      <c r="HT1" s="200"/>
      <c r="HU1" s="200"/>
      <c r="HV1" s="200"/>
      <c r="HW1" s="200"/>
      <c r="HX1" s="200"/>
      <c r="HY1" s="200"/>
      <c r="HZ1" s="200"/>
      <c r="IA1" s="200"/>
      <c r="IB1" s="200"/>
      <c r="IC1" s="200"/>
      <c r="ID1" s="200"/>
      <c r="IE1" s="200"/>
      <c r="IF1" s="200"/>
      <c r="IG1" s="200"/>
      <c r="IH1" s="200"/>
      <c r="II1" s="200"/>
      <c r="IJ1" s="200"/>
      <c r="IK1" s="200"/>
      <c r="IL1" s="200"/>
      <c r="IM1" s="200"/>
      <c r="IN1" s="200"/>
      <c r="IO1" s="200"/>
      <c r="IP1" s="200"/>
      <c r="IQ1" s="200"/>
      <c r="IR1" s="93"/>
    </row>
    <row r="2" spans="1:252" x14ac:dyDescent="0.3">
      <c r="B2" s="373"/>
      <c r="C2" s="373"/>
      <c r="D2" s="373"/>
      <c r="E2" s="199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Q2" s="200"/>
      <c r="AR2" s="200"/>
      <c r="AS2" s="200"/>
      <c r="AT2" s="200"/>
      <c r="AU2" s="200"/>
      <c r="AV2" s="200"/>
      <c r="AW2" s="200"/>
      <c r="AX2" s="200"/>
      <c r="AY2" s="200"/>
      <c r="AZ2" s="200"/>
      <c r="BA2" s="200"/>
      <c r="BB2" s="200"/>
      <c r="BC2" s="200"/>
      <c r="BD2" s="200"/>
      <c r="BE2" s="200"/>
      <c r="BF2" s="200"/>
      <c r="BG2" s="200"/>
      <c r="BH2" s="200"/>
      <c r="BI2" s="200"/>
      <c r="BJ2" s="200"/>
      <c r="BK2" s="200"/>
      <c r="BL2" s="200"/>
      <c r="BM2" s="200"/>
      <c r="BN2" s="200"/>
      <c r="BO2" s="200"/>
      <c r="BP2" s="200"/>
      <c r="BQ2" s="200"/>
      <c r="BR2" s="200"/>
      <c r="BS2" s="200"/>
      <c r="BT2" s="200"/>
      <c r="BU2" s="200"/>
      <c r="BV2" s="200"/>
      <c r="BW2" s="200"/>
      <c r="BX2" s="200"/>
      <c r="BY2" s="200"/>
      <c r="BZ2" s="200"/>
      <c r="CA2" s="200"/>
      <c r="CB2" s="200"/>
      <c r="CC2" s="200"/>
      <c r="CD2" s="200"/>
      <c r="CE2" s="200"/>
      <c r="CF2" s="200"/>
      <c r="CG2" s="200"/>
      <c r="CH2" s="200"/>
      <c r="CI2" s="200"/>
      <c r="CJ2" s="200"/>
      <c r="CK2" s="200"/>
      <c r="CL2" s="200"/>
      <c r="CM2" s="200"/>
      <c r="CN2" s="200"/>
      <c r="CO2" s="200"/>
      <c r="CP2" s="200"/>
      <c r="CQ2" s="200"/>
      <c r="CR2" s="200"/>
      <c r="CS2" s="200"/>
      <c r="CT2" s="200"/>
      <c r="CU2" s="200"/>
      <c r="CV2" s="200"/>
      <c r="CW2" s="200"/>
      <c r="CX2" s="200"/>
      <c r="CY2" s="200"/>
      <c r="CZ2" s="200"/>
      <c r="DA2" s="200"/>
      <c r="DB2" s="200"/>
      <c r="DC2" s="200"/>
      <c r="DD2" s="200"/>
      <c r="DE2" s="200"/>
      <c r="DF2" s="200"/>
      <c r="DG2" s="200"/>
      <c r="DH2" s="200"/>
      <c r="DI2" s="200"/>
      <c r="DJ2" s="200"/>
      <c r="DK2" s="200"/>
      <c r="DL2" s="200"/>
      <c r="DM2" s="200"/>
      <c r="DN2" s="200"/>
      <c r="DO2" s="200"/>
      <c r="DP2" s="200"/>
      <c r="DQ2" s="200"/>
      <c r="DR2" s="200"/>
      <c r="DS2" s="200"/>
      <c r="DT2" s="200"/>
      <c r="DU2" s="200"/>
      <c r="DV2" s="200"/>
      <c r="DW2" s="200"/>
      <c r="DX2" s="200"/>
      <c r="DY2" s="200"/>
      <c r="DZ2" s="200"/>
      <c r="EA2" s="200"/>
      <c r="EB2" s="200"/>
      <c r="EC2" s="200"/>
      <c r="ED2" s="200"/>
      <c r="EE2" s="200"/>
      <c r="EF2" s="200"/>
      <c r="EG2" s="200"/>
      <c r="EH2" s="200"/>
      <c r="EI2" s="200"/>
      <c r="EJ2" s="200"/>
      <c r="EK2" s="200"/>
      <c r="EL2" s="200"/>
      <c r="EM2" s="200"/>
      <c r="EN2" s="200"/>
      <c r="EO2" s="200"/>
      <c r="EP2" s="200"/>
      <c r="EQ2" s="200"/>
      <c r="ER2" s="200"/>
      <c r="ES2" s="200"/>
      <c r="ET2" s="200"/>
      <c r="EU2" s="200"/>
      <c r="EV2" s="200"/>
      <c r="EW2" s="200"/>
      <c r="EX2" s="200"/>
      <c r="EY2" s="200"/>
      <c r="EZ2" s="200"/>
      <c r="FA2" s="200"/>
      <c r="FB2" s="200"/>
      <c r="FC2" s="200"/>
      <c r="FD2" s="200"/>
      <c r="FE2" s="200"/>
      <c r="FF2" s="200"/>
      <c r="FG2" s="200"/>
      <c r="FH2" s="200"/>
      <c r="FI2" s="200"/>
      <c r="FJ2" s="200"/>
      <c r="FK2" s="200"/>
      <c r="FL2" s="200"/>
      <c r="FM2" s="200"/>
      <c r="FN2" s="200"/>
      <c r="FO2" s="200"/>
      <c r="FP2" s="200"/>
      <c r="FQ2" s="200"/>
      <c r="FR2" s="200"/>
      <c r="FS2" s="200"/>
      <c r="FT2" s="200"/>
      <c r="FU2" s="200"/>
      <c r="FV2" s="200"/>
      <c r="FW2" s="200"/>
      <c r="FX2" s="200"/>
      <c r="FY2" s="200"/>
      <c r="FZ2" s="200"/>
      <c r="GA2" s="200"/>
      <c r="GB2" s="200"/>
      <c r="GC2" s="200"/>
      <c r="GD2" s="200"/>
      <c r="GE2" s="200"/>
      <c r="GF2" s="200"/>
      <c r="GG2" s="200"/>
      <c r="GH2" s="200"/>
      <c r="GI2" s="200"/>
      <c r="GJ2" s="200"/>
      <c r="GK2" s="200"/>
      <c r="GL2" s="200"/>
      <c r="GM2" s="200"/>
      <c r="GN2" s="200"/>
      <c r="GO2" s="200"/>
      <c r="GP2" s="200"/>
      <c r="GQ2" s="200"/>
      <c r="GR2" s="200"/>
      <c r="GS2" s="200"/>
      <c r="GT2" s="200"/>
      <c r="GU2" s="200"/>
      <c r="GV2" s="200"/>
      <c r="GW2" s="200"/>
      <c r="GX2" s="200"/>
      <c r="GY2" s="200"/>
      <c r="GZ2" s="200"/>
      <c r="HA2" s="200"/>
      <c r="HB2" s="200"/>
      <c r="HC2" s="200"/>
      <c r="HD2" s="200"/>
      <c r="HE2" s="200"/>
      <c r="HF2" s="200"/>
      <c r="HG2" s="200"/>
      <c r="HH2" s="200"/>
      <c r="HI2" s="200"/>
      <c r="HJ2" s="200"/>
      <c r="HK2" s="200"/>
      <c r="HL2" s="200"/>
      <c r="HM2" s="200"/>
      <c r="HN2" s="200"/>
      <c r="HO2" s="200"/>
      <c r="HP2" s="200"/>
      <c r="HQ2" s="200"/>
      <c r="HR2" s="200"/>
      <c r="HS2" s="200"/>
      <c r="HT2" s="200"/>
      <c r="HU2" s="200"/>
      <c r="HV2" s="200"/>
      <c r="HW2" s="200"/>
      <c r="HX2" s="200"/>
      <c r="HY2" s="200"/>
      <c r="HZ2" s="200"/>
      <c r="IA2" s="200"/>
      <c r="IB2" s="200"/>
      <c r="IC2" s="200"/>
      <c r="ID2" s="200"/>
      <c r="IE2" s="200"/>
      <c r="IF2" s="200"/>
      <c r="IG2" s="200"/>
      <c r="IH2" s="200"/>
      <c r="II2" s="200"/>
      <c r="IJ2" s="200"/>
      <c r="IK2" s="200"/>
      <c r="IL2" s="200"/>
      <c r="IM2" s="200"/>
      <c r="IN2" s="200"/>
      <c r="IO2" s="200"/>
      <c r="IP2" s="200"/>
      <c r="IQ2" s="200"/>
      <c r="IR2" s="93"/>
    </row>
    <row r="3" spans="1:252" x14ac:dyDescent="0.35">
      <c r="B3" s="2225" t="s">
        <v>921</v>
      </c>
      <c r="C3" s="2225"/>
      <c r="D3" s="2225"/>
      <c r="E3" s="2225"/>
      <c r="F3" s="2225"/>
      <c r="G3" s="201"/>
      <c r="H3" s="201"/>
      <c r="I3" s="201"/>
      <c r="J3" s="201"/>
      <c r="K3" s="201"/>
      <c r="L3" s="201"/>
      <c r="M3" s="201"/>
      <c r="N3" s="201"/>
      <c r="O3" s="201"/>
      <c r="P3" s="201"/>
      <c r="Q3" s="201"/>
      <c r="R3" s="201"/>
      <c r="S3" s="201"/>
      <c r="T3" s="201"/>
      <c r="U3" s="201"/>
      <c r="V3" s="201"/>
      <c r="W3" s="201"/>
      <c r="X3" s="201"/>
      <c r="Y3" s="201"/>
      <c r="Z3" s="201"/>
      <c r="AA3" s="201"/>
      <c r="AB3" s="201"/>
      <c r="AC3" s="201"/>
      <c r="AD3" s="201"/>
      <c r="AE3" s="201"/>
      <c r="AF3" s="201"/>
      <c r="AG3" s="201"/>
      <c r="AH3" s="201"/>
      <c r="AI3" s="201"/>
      <c r="AJ3" s="201"/>
      <c r="AK3" s="201"/>
      <c r="AL3" s="201"/>
      <c r="AM3" s="201"/>
      <c r="AN3" s="201"/>
      <c r="AO3" s="201"/>
      <c r="AP3" s="201"/>
      <c r="AQ3" s="201"/>
      <c r="AR3" s="201"/>
      <c r="AS3" s="201"/>
      <c r="AT3" s="201"/>
      <c r="AU3" s="201"/>
      <c r="AV3" s="201"/>
      <c r="AW3" s="201"/>
      <c r="AX3" s="201"/>
      <c r="AY3" s="201"/>
      <c r="AZ3" s="201"/>
      <c r="BA3" s="201"/>
      <c r="BB3" s="201"/>
      <c r="BC3" s="201"/>
      <c r="BD3" s="201"/>
      <c r="BE3" s="201"/>
      <c r="BF3" s="201"/>
      <c r="BG3" s="201"/>
      <c r="BH3" s="201"/>
      <c r="BI3" s="201"/>
      <c r="BJ3" s="201"/>
      <c r="BK3" s="201"/>
      <c r="BL3" s="201"/>
      <c r="BM3" s="201"/>
      <c r="BN3" s="201"/>
      <c r="BO3" s="201"/>
      <c r="BP3" s="201"/>
      <c r="BQ3" s="201"/>
      <c r="BR3" s="201"/>
      <c r="BS3" s="201"/>
      <c r="BT3" s="201"/>
      <c r="BU3" s="201"/>
      <c r="BV3" s="201"/>
      <c r="BW3" s="201"/>
      <c r="BX3" s="201"/>
      <c r="BY3" s="201"/>
      <c r="BZ3" s="201"/>
      <c r="CA3" s="201"/>
      <c r="CB3" s="201"/>
      <c r="CC3" s="201"/>
      <c r="CD3" s="201"/>
      <c r="CE3" s="201"/>
      <c r="CF3" s="201"/>
      <c r="CG3" s="201"/>
      <c r="CH3" s="201"/>
      <c r="CI3" s="201"/>
      <c r="CJ3" s="201"/>
      <c r="CK3" s="201"/>
      <c r="CL3" s="201"/>
      <c r="CM3" s="201"/>
      <c r="CN3" s="201"/>
      <c r="CO3" s="201"/>
      <c r="CP3" s="201"/>
      <c r="CQ3" s="201"/>
      <c r="CR3" s="201"/>
      <c r="CS3" s="201"/>
      <c r="CT3" s="201"/>
      <c r="CU3" s="201"/>
      <c r="CV3" s="201"/>
      <c r="CW3" s="201"/>
      <c r="CX3" s="201"/>
      <c r="CY3" s="201"/>
      <c r="CZ3" s="201"/>
      <c r="DA3" s="201"/>
      <c r="DB3" s="201"/>
      <c r="DC3" s="201"/>
      <c r="DD3" s="201"/>
      <c r="DE3" s="201"/>
      <c r="DF3" s="201"/>
      <c r="DG3" s="201"/>
      <c r="DH3" s="201"/>
      <c r="DI3" s="201"/>
      <c r="DJ3" s="201"/>
      <c r="DK3" s="201"/>
      <c r="DL3" s="201"/>
      <c r="DM3" s="201"/>
      <c r="DN3" s="201"/>
      <c r="DO3" s="201"/>
      <c r="DP3" s="201"/>
      <c r="DQ3" s="201"/>
      <c r="DR3" s="201"/>
      <c r="DS3" s="201"/>
      <c r="DT3" s="201"/>
      <c r="DU3" s="201"/>
      <c r="DV3" s="201"/>
      <c r="DW3" s="201"/>
      <c r="DX3" s="201"/>
      <c r="DY3" s="201"/>
      <c r="DZ3" s="201"/>
      <c r="EA3" s="201"/>
      <c r="EB3" s="201"/>
      <c r="EC3" s="201"/>
      <c r="ED3" s="201"/>
      <c r="EE3" s="201"/>
      <c r="EF3" s="201"/>
      <c r="EG3" s="201"/>
      <c r="EH3" s="201"/>
      <c r="EI3" s="201"/>
      <c r="EJ3" s="201"/>
      <c r="EK3" s="201"/>
      <c r="EL3" s="201"/>
      <c r="EM3" s="201"/>
      <c r="EN3" s="201"/>
      <c r="EO3" s="201"/>
      <c r="EP3" s="201"/>
      <c r="EQ3" s="201"/>
      <c r="ER3" s="201"/>
      <c r="ES3" s="201"/>
      <c r="ET3" s="201"/>
      <c r="EU3" s="201"/>
      <c r="EV3" s="201"/>
      <c r="EW3" s="201"/>
      <c r="EX3" s="201"/>
      <c r="EY3" s="201"/>
      <c r="EZ3" s="201"/>
      <c r="FA3" s="201"/>
      <c r="FB3" s="201"/>
      <c r="FC3" s="201"/>
      <c r="FD3" s="201"/>
      <c r="FE3" s="201"/>
      <c r="FF3" s="201"/>
      <c r="FG3" s="201"/>
      <c r="FH3" s="201"/>
      <c r="FI3" s="201"/>
      <c r="FJ3" s="201"/>
      <c r="FK3" s="201"/>
      <c r="FL3" s="201"/>
      <c r="FM3" s="201"/>
      <c r="FN3" s="201"/>
      <c r="FO3" s="201"/>
      <c r="FP3" s="201"/>
      <c r="FQ3" s="201"/>
      <c r="FR3" s="201"/>
      <c r="FS3" s="201"/>
      <c r="FT3" s="201"/>
      <c r="FU3" s="201"/>
      <c r="FV3" s="201"/>
      <c r="FW3" s="201"/>
      <c r="FX3" s="201"/>
      <c r="FY3" s="201"/>
      <c r="FZ3" s="201"/>
      <c r="GA3" s="201"/>
      <c r="GB3" s="201"/>
      <c r="GC3" s="201"/>
      <c r="GD3" s="201"/>
      <c r="GE3" s="201"/>
      <c r="GF3" s="201"/>
      <c r="GG3" s="201"/>
      <c r="GH3" s="201"/>
      <c r="GI3" s="201"/>
      <c r="GJ3" s="201"/>
      <c r="GK3" s="201"/>
      <c r="GL3" s="201"/>
      <c r="GM3" s="201"/>
      <c r="GN3" s="201"/>
      <c r="GO3" s="201"/>
      <c r="GP3" s="201"/>
      <c r="GQ3" s="201"/>
      <c r="GR3" s="201"/>
      <c r="GS3" s="201"/>
      <c r="GT3" s="201"/>
      <c r="GU3" s="201"/>
      <c r="GV3" s="201"/>
      <c r="GW3" s="201"/>
      <c r="GX3" s="201"/>
      <c r="GY3" s="201"/>
      <c r="GZ3" s="201"/>
      <c r="HA3" s="201"/>
      <c r="HB3" s="201"/>
      <c r="HC3" s="201"/>
      <c r="HD3" s="201"/>
      <c r="HE3" s="201"/>
      <c r="HF3" s="201"/>
      <c r="HG3" s="201"/>
      <c r="HH3" s="201"/>
      <c r="HI3" s="201"/>
      <c r="HJ3" s="201"/>
      <c r="HK3" s="201"/>
      <c r="HL3" s="201"/>
      <c r="HM3" s="201"/>
      <c r="HN3" s="201"/>
      <c r="HO3" s="201"/>
      <c r="HP3" s="201"/>
      <c r="HQ3" s="201"/>
      <c r="HR3" s="201"/>
      <c r="HS3" s="201"/>
      <c r="HT3" s="201"/>
      <c r="HU3" s="201"/>
      <c r="HV3" s="201"/>
      <c r="HW3" s="201"/>
      <c r="HX3" s="201"/>
      <c r="HY3" s="201"/>
      <c r="HZ3" s="201"/>
      <c r="IA3" s="201"/>
      <c r="IB3" s="201"/>
      <c r="IC3" s="201"/>
      <c r="ID3" s="201"/>
      <c r="IE3" s="201"/>
      <c r="IF3" s="201"/>
      <c r="IG3" s="201"/>
      <c r="IH3" s="201"/>
      <c r="II3" s="201"/>
      <c r="IJ3" s="201"/>
      <c r="IK3" s="201"/>
      <c r="IL3" s="201"/>
      <c r="IM3" s="201"/>
      <c r="IN3" s="201"/>
      <c r="IO3" s="201"/>
      <c r="IP3" s="201"/>
      <c r="IQ3" s="201"/>
      <c r="IR3" s="26"/>
    </row>
    <row r="4" spans="1:252" x14ac:dyDescent="0.3">
      <c r="B4" s="2226" t="s">
        <v>925</v>
      </c>
      <c r="C4" s="2226"/>
      <c r="D4" s="2226"/>
      <c r="E4" s="2226"/>
      <c r="F4" s="2226"/>
    </row>
    <row r="5" spans="1:252" x14ac:dyDescent="0.3">
      <c r="B5" s="445"/>
      <c r="C5" s="445"/>
      <c r="D5" s="445"/>
      <c r="E5" s="445"/>
      <c r="F5" s="445"/>
    </row>
    <row r="6" spans="1:252" x14ac:dyDescent="0.3">
      <c r="B6" s="368"/>
      <c r="C6" s="368"/>
      <c r="D6" s="368"/>
      <c r="E6" s="368"/>
      <c r="F6" s="242" t="s">
        <v>0</v>
      </c>
    </row>
    <row r="7" spans="1:252" thickBot="1" x14ac:dyDescent="0.35">
      <c r="B7" s="2232" t="s">
        <v>1</v>
      </c>
      <c r="C7" s="2232"/>
      <c r="D7" s="2232"/>
      <c r="E7" s="206" t="s">
        <v>3</v>
      </c>
      <c r="F7" s="211" t="s">
        <v>2</v>
      </c>
    </row>
    <row r="8" spans="1:252" ht="35.25" customHeight="1" thickBot="1" x14ac:dyDescent="0.35">
      <c r="A8" s="374">
        <v>1</v>
      </c>
      <c r="B8" s="2220" t="s">
        <v>861</v>
      </c>
      <c r="C8" s="2221"/>
      <c r="D8" s="2222"/>
      <c r="E8" s="375" t="s">
        <v>881</v>
      </c>
      <c r="F8" s="375" t="s">
        <v>882</v>
      </c>
      <c r="G8" s="211"/>
      <c r="H8" s="211"/>
      <c r="I8" s="211"/>
      <c r="J8" s="211"/>
      <c r="K8" s="211"/>
      <c r="L8" s="211"/>
      <c r="M8" s="211"/>
      <c r="N8" s="211"/>
      <c r="O8" s="211"/>
      <c r="P8" s="211"/>
      <c r="Q8" s="211"/>
      <c r="R8" s="211"/>
      <c r="S8" s="211"/>
      <c r="T8" s="211"/>
      <c r="U8" s="211"/>
      <c r="V8" s="211"/>
      <c r="W8" s="211"/>
      <c r="X8" s="211"/>
      <c r="Y8" s="211"/>
      <c r="Z8" s="211"/>
      <c r="AA8" s="211"/>
      <c r="AB8" s="211"/>
      <c r="AC8" s="211"/>
      <c r="AD8" s="211"/>
      <c r="AE8" s="211"/>
      <c r="AF8" s="211"/>
      <c r="AG8" s="211"/>
      <c r="AH8" s="211"/>
      <c r="AI8" s="211"/>
      <c r="AJ8" s="211"/>
      <c r="AK8" s="211"/>
      <c r="AL8" s="211"/>
      <c r="AM8" s="211"/>
      <c r="AN8" s="211"/>
      <c r="AO8" s="211"/>
      <c r="AP8" s="211"/>
      <c r="AQ8" s="211"/>
      <c r="AR8" s="211"/>
      <c r="AS8" s="211"/>
      <c r="AT8" s="211"/>
      <c r="AU8" s="211"/>
      <c r="AV8" s="211"/>
      <c r="AW8" s="211"/>
      <c r="AX8" s="211"/>
      <c r="AY8" s="211"/>
      <c r="AZ8" s="211"/>
      <c r="BA8" s="211"/>
      <c r="BB8" s="211"/>
      <c r="BC8" s="211"/>
      <c r="BD8" s="211"/>
      <c r="BE8" s="211"/>
      <c r="BF8" s="211"/>
      <c r="BG8" s="211"/>
      <c r="BH8" s="211"/>
      <c r="BI8" s="211"/>
      <c r="BJ8" s="211"/>
      <c r="BK8" s="211"/>
      <c r="BL8" s="211"/>
      <c r="BM8" s="211"/>
      <c r="BN8" s="211"/>
      <c r="BO8" s="211"/>
      <c r="BP8" s="211"/>
      <c r="BQ8" s="211"/>
      <c r="BR8" s="211"/>
      <c r="BS8" s="211"/>
      <c r="BT8" s="211"/>
      <c r="BU8" s="211"/>
      <c r="BV8" s="211"/>
      <c r="BW8" s="211"/>
      <c r="BX8" s="211"/>
      <c r="BY8" s="211"/>
      <c r="BZ8" s="211"/>
      <c r="CA8" s="211"/>
      <c r="CB8" s="211"/>
      <c r="CC8" s="211"/>
      <c r="CD8" s="211"/>
      <c r="CE8" s="211"/>
      <c r="CF8" s="211"/>
      <c r="CG8" s="211"/>
      <c r="CH8" s="211"/>
      <c r="CI8" s="211"/>
      <c r="CJ8" s="211"/>
      <c r="CK8" s="211"/>
      <c r="CL8" s="211"/>
      <c r="CM8" s="211"/>
      <c r="CN8" s="211"/>
      <c r="CO8" s="211"/>
      <c r="CP8" s="211"/>
      <c r="CQ8" s="211"/>
      <c r="CR8" s="211"/>
      <c r="CS8" s="211"/>
      <c r="CT8" s="211"/>
      <c r="CU8" s="211"/>
      <c r="CV8" s="211"/>
      <c r="CW8" s="211"/>
      <c r="CX8" s="211"/>
      <c r="CY8" s="211"/>
      <c r="CZ8" s="211"/>
      <c r="DA8" s="211"/>
      <c r="DB8" s="211"/>
      <c r="DC8" s="211"/>
      <c r="DD8" s="211"/>
      <c r="DE8" s="211"/>
      <c r="DF8" s="211"/>
      <c r="DG8" s="211"/>
      <c r="DH8" s="211"/>
      <c r="DI8" s="211"/>
      <c r="DJ8" s="211"/>
      <c r="DK8" s="211"/>
      <c r="DL8" s="211"/>
      <c r="DM8" s="211"/>
      <c r="DN8" s="211"/>
      <c r="DO8" s="211"/>
      <c r="DP8" s="211"/>
      <c r="DQ8" s="211"/>
      <c r="DR8" s="211"/>
      <c r="DS8" s="211"/>
      <c r="DT8" s="211"/>
      <c r="DU8" s="211"/>
      <c r="DV8" s="211"/>
      <c r="DW8" s="211"/>
      <c r="DX8" s="211"/>
      <c r="DY8" s="211"/>
      <c r="DZ8" s="211"/>
      <c r="EA8" s="211"/>
      <c r="EB8" s="211"/>
      <c r="EC8" s="211"/>
      <c r="ED8" s="211"/>
      <c r="EE8" s="211"/>
      <c r="EF8" s="211"/>
      <c r="EG8" s="211"/>
      <c r="EH8" s="211"/>
      <c r="EI8" s="211"/>
      <c r="EJ8" s="211"/>
      <c r="EK8" s="211"/>
      <c r="EL8" s="211"/>
      <c r="EM8" s="211"/>
      <c r="EN8" s="211"/>
      <c r="EO8" s="211"/>
      <c r="EP8" s="211"/>
      <c r="EQ8" s="211"/>
      <c r="ER8" s="211"/>
      <c r="ES8" s="211"/>
      <c r="ET8" s="211"/>
      <c r="EU8" s="211"/>
      <c r="EV8" s="211"/>
      <c r="EW8" s="211"/>
      <c r="EX8" s="211"/>
      <c r="EY8" s="211"/>
      <c r="EZ8" s="211"/>
      <c r="FA8" s="211"/>
      <c r="FB8" s="211"/>
      <c r="FC8" s="211"/>
      <c r="FD8" s="211"/>
      <c r="FE8" s="211"/>
      <c r="FF8" s="211"/>
      <c r="FG8" s="211"/>
      <c r="FH8" s="211"/>
      <c r="FI8" s="211"/>
      <c r="FJ8" s="211"/>
      <c r="FK8" s="211"/>
      <c r="FL8" s="211"/>
      <c r="FM8" s="211"/>
      <c r="FN8" s="211"/>
      <c r="FO8" s="211"/>
      <c r="FP8" s="211"/>
      <c r="FQ8" s="211"/>
      <c r="FR8" s="211"/>
      <c r="FS8" s="211"/>
      <c r="FT8" s="211"/>
      <c r="FU8" s="211"/>
      <c r="FV8" s="211"/>
      <c r="FW8" s="211"/>
      <c r="FX8" s="211"/>
      <c r="FY8" s="211"/>
      <c r="FZ8" s="211"/>
      <c r="GA8" s="211"/>
      <c r="GB8" s="211"/>
      <c r="GC8" s="211"/>
      <c r="GD8" s="211"/>
      <c r="GE8" s="211"/>
      <c r="GF8" s="211"/>
      <c r="GG8" s="211"/>
      <c r="GH8" s="211"/>
      <c r="GI8" s="211"/>
      <c r="GJ8" s="211"/>
      <c r="GK8" s="211"/>
      <c r="GL8" s="211"/>
      <c r="GM8" s="211"/>
      <c r="GN8" s="211"/>
      <c r="GO8" s="211"/>
      <c r="GP8" s="211"/>
      <c r="GQ8" s="211"/>
      <c r="GR8" s="211"/>
      <c r="GS8" s="211"/>
      <c r="GT8" s="211"/>
      <c r="GU8" s="211"/>
      <c r="GV8" s="211"/>
      <c r="GW8" s="211"/>
      <c r="GX8" s="211"/>
      <c r="GY8" s="211"/>
      <c r="GZ8" s="211"/>
      <c r="HA8" s="211"/>
      <c r="HB8" s="211"/>
      <c r="HC8" s="211"/>
      <c r="HD8" s="211"/>
      <c r="HE8" s="211"/>
      <c r="HF8" s="211"/>
      <c r="HG8" s="211"/>
      <c r="HH8" s="211"/>
      <c r="HI8" s="211"/>
      <c r="HJ8" s="211"/>
      <c r="HK8" s="211"/>
      <c r="HL8" s="211"/>
      <c r="HM8" s="211"/>
      <c r="HN8" s="211"/>
      <c r="HO8" s="211"/>
      <c r="HP8" s="211"/>
      <c r="HQ8" s="211"/>
      <c r="HR8" s="211"/>
      <c r="HS8" s="211"/>
      <c r="HT8" s="211"/>
      <c r="HU8" s="211"/>
      <c r="HV8" s="211"/>
      <c r="HW8" s="211"/>
      <c r="HX8" s="211"/>
      <c r="HY8" s="211"/>
      <c r="HZ8" s="211"/>
      <c r="IA8" s="211"/>
      <c r="IB8" s="211"/>
      <c r="IC8" s="211"/>
      <c r="ID8" s="211"/>
      <c r="IE8" s="211"/>
      <c r="IF8" s="211"/>
      <c r="IG8" s="211"/>
      <c r="IH8" s="211"/>
      <c r="II8" s="211"/>
      <c r="IJ8" s="211"/>
      <c r="IK8" s="211"/>
      <c r="IL8" s="211"/>
      <c r="IM8" s="211"/>
      <c r="IN8" s="211"/>
      <c r="IO8" s="211"/>
      <c r="IP8" s="211"/>
      <c r="IQ8" s="211"/>
      <c r="IR8" s="26"/>
    </row>
    <row r="9" spans="1:252" ht="66.95" customHeight="1" x14ac:dyDescent="0.3">
      <c r="A9" s="2234">
        <v>2</v>
      </c>
      <c r="B9" s="2235">
        <v>1</v>
      </c>
      <c r="C9" s="2238" t="s">
        <v>883</v>
      </c>
      <c r="D9" s="2239"/>
      <c r="E9" s="2240">
        <v>50000</v>
      </c>
      <c r="F9" s="2249"/>
    </row>
    <row r="10" spans="1:252" ht="16.5" customHeight="1" thickBot="1" x14ac:dyDescent="0.35">
      <c r="A10" s="2234"/>
      <c r="B10" s="2237"/>
      <c r="C10" s="376"/>
      <c r="D10" s="377" t="s">
        <v>735</v>
      </c>
      <c r="E10" s="2242"/>
      <c r="F10" s="2250"/>
      <c r="G10" s="201"/>
      <c r="H10" s="201"/>
      <c r="I10" s="201"/>
      <c r="J10" s="201"/>
      <c r="K10" s="201"/>
      <c r="L10" s="201"/>
      <c r="M10" s="201"/>
      <c r="N10" s="201"/>
      <c r="O10" s="201"/>
      <c r="P10" s="201"/>
      <c r="Q10" s="201"/>
      <c r="R10" s="201"/>
      <c r="S10" s="201"/>
      <c r="T10" s="201"/>
      <c r="U10" s="201"/>
      <c r="V10" s="201"/>
      <c r="W10" s="201"/>
      <c r="X10" s="201"/>
      <c r="Y10" s="201"/>
      <c r="Z10" s="201"/>
      <c r="AA10" s="201"/>
      <c r="AB10" s="201"/>
      <c r="AC10" s="201"/>
      <c r="AD10" s="201"/>
      <c r="AE10" s="201"/>
      <c r="AF10" s="201"/>
      <c r="AG10" s="201"/>
      <c r="AH10" s="201"/>
      <c r="AI10" s="201"/>
      <c r="AJ10" s="201"/>
      <c r="AK10" s="201"/>
      <c r="AL10" s="201"/>
      <c r="AM10" s="201"/>
      <c r="AN10" s="201"/>
      <c r="AO10" s="201"/>
      <c r="AP10" s="201"/>
      <c r="AQ10" s="201"/>
      <c r="AR10" s="201"/>
      <c r="AS10" s="201"/>
      <c r="AT10" s="201"/>
      <c r="AU10" s="201"/>
      <c r="AV10" s="201"/>
      <c r="AW10" s="201"/>
      <c r="AX10" s="201"/>
      <c r="AY10" s="201"/>
      <c r="AZ10" s="201"/>
      <c r="BA10" s="201"/>
      <c r="BB10" s="201"/>
      <c r="BC10" s="201"/>
      <c r="BD10" s="201"/>
      <c r="BE10" s="201"/>
      <c r="BF10" s="201"/>
      <c r="BG10" s="201"/>
      <c r="BH10" s="201"/>
      <c r="BI10" s="201"/>
      <c r="BJ10" s="201"/>
      <c r="BK10" s="201"/>
      <c r="BL10" s="201"/>
      <c r="BM10" s="201"/>
      <c r="BN10" s="201"/>
      <c r="BO10" s="201"/>
      <c r="BP10" s="201"/>
      <c r="BQ10" s="201"/>
      <c r="BR10" s="201"/>
      <c r="BS10" s="201"/>
      <c r="BT10" s="201"/>
      <c r="BU10" s="201"/>
      <c r="BV10" s="201"/>
      <c r="BW10" s="201"/>
      <c r="BX10" s="201"/>
      <c r="BY10" s="201"/>
      <c r="BZ10" s="201"/>
      <c r="CA10" s="201"/>
      <c r="CB10" s="201"/>
      <c r="CC10" s="201"/>
      <c r="CD10" s="201"/>
      <c r="CE10" s="201"/>
      <c r="CF10" s="201"/>
      <c r="CG10" s="201"/>
      <c r="CH10" s="201"/>
      <c r="CI10" s="201"/>
      <c r="CJ10" s="201"/>
      <c r="CK10" s="201"/>
      <c r="CL10" s="201"/>
      <c r="CM10" s="201"/>
      <c r="CN10" s="201"/>
      <c r="CO10" s="201"/>
      <c r="CP10" s="201"/>
      <c r="CQ10" s="201"/>
      <c r="CR10" s="201"/>
      <c r="CS10" s="201"/>
      <c r="CT10" s="201"/>
      <c r="CU10" s="201"/>
      <c r="CV10" s="201"/>
      <c r="CW10" s="201"/>
      <c r="CX10" s="201"/>
      <c r="CY10" s="201"/>
      <c r="CZ10" s="201"/>
      <c r="DA10" s="201"/>
      <c r="DB10" s="201"/>
      <c r="DC10" s="201"/>
      <c r="DD10" s="201"/>
      <c r="DE10" s="201"/>
      <c r="DF10" s="201"/>
      <c r="DG10" s="201"/>
      <c r="DH10" s="201"/>
      <c r="DI10" s="201"/>
      <c r="DJ10" s="201"/>
      <c r="DK10" s="201"/>
      <c r="DL10" s="201"/>
      <c r="DM10" s="201"/>
      <c r="DN10" s="201"/>
      <c r="DO10" s="201"/>
      <c r="DP10" s="201"/>
      <c r="DQ10" s="201"/>
      <c r="DR10" s="201"/>
      <c r="DS10" s="201"/>
      <c r="DT10" s="201"/>
      <c r="DU10" s="201"/>
      <c r="DV10" s="201"/>
      <c r="DW10" s="201"/>
      <c r="DX10" s="201"/>
      <c r="DY10" s="201"/>
      <c r="DZ10" s="201"/>
      <c r="EA10" s="201"/>
      <c r="EB10" s="201"/>
      <c r="EC10" s="201"/>
      <c r="ED10" s="201"/>
      <c r="EE10" s="201"/>
      <c r="EF10" s="201"/>
      <c r="EG10" s="201"/>
      <c r="EH10" s="201"/>
      <c r="EI10" s="201"/>
      <c r="EJ10" s="201"/>
      <c r="EK10" s="201"/>
      <c r="EL10" s="201"/>
      <c r="EM10" s="201"/>
      <c r="EN10" s="201"/>
      <c r="EO10" s="201"/>
      <c r="EP10" s="201"/>
      <c r="EQ10" s="201"/>
      <c r="ER10" s="201"/>
      <c r="ES10" s="201"/>
      <c r="ET10" s="201"/>
      <c r="EU10" s="201"/>
      <c r="EV10" s="201"/>
      <c r="EW10" s="201"/>
      <c r="EX10" s="201"/>
      <c r="EY10" s="201"/>
      <c r="EZ10" s="201"/>
      <c r="FA10" s="201"/>
      <c r="FB10" s="201"/>
      <c r="FC10" s="201"/>
      <c r="FD10" s="201"/>
      <c r="FE10" s="201"/>
      <c r="FF10" s="201"/>
      <c r="FG10" s="201"/>
      <c r="FH10" s="201"/>
      <c r="FI10" s="201"/>
      <c r="FJ10" s="201"/>
      <c r="FK10" s="201"/>
      <c r="FL10" s="201"/>
      <c r="FM10" s="201"/>
      <c r="FN10" s="201"/>
      <c r="FO10" s="201"/>
      <c r="FP10" s="201"/>
      <c r="FQ10" s="201"/>
      <c r="FR10" s="201"/>
      <c r="FS10" s="201"/>
      <c r="FT10" s="201"/>
      <c r="FU10" s="201"/>
      <c r="FV10" s="201"/>
      <c r="FW10" s="201"/>
      <c r="FX10" s="201"/>
      <c r="FY10" s="201"/>
      <c r="FZ10" s="201"/>
      <c r="GA10" s="201"/>
      <c r="GB10" s="201"/>
      <c r="GC10" s="201"/>
      <c r="GD10" s="201"/>
      <c r="GE10" s="201"/>
      <c r="GF10" s="201"/>
      <c r="GG10" s="201"/>
      <c r="GH10" s="201"/>
      <c r="GI10" s="201"/>
      <c r="GJ10" s="201"/>
      <c r="GK10" s="201"/>
      <c r="GL10" s="201"/>
      <c r="GM10" s="201"/>
      <c r="GN10" s="201"/>
      <c r="GO10" s="201"/>
      <c r="GP10" s="201"/>
      <c r="GQ10" s="201"/>
      <c r="GR10" s="201"/>
      <c r="GS10" s="201"/>
      <c r="GT10" s="201"/>
      <c r="GU10" s="201"/>
      <c r="GV10" s="201"/>
      <c r="GW10" s="201"/>
      <c r="GX10" s="201"/>
      <c r="GY10" s="201"/>
      <c r="GZ10" s="201"/>
      <c r="HA10" s="201"/>
      <c r="HB10" s="201"/>
      <c r="HC10" s="201"/>
      <c r="HD10" s="201"/>
      <c r="HE10" s="201"/>
      <c r="HF10" s="201"/>
      <c r="HG10" s="201"/>
      <c r="HH10" s="201"/>
      <c r="HI10" s="201"/>
      <c r="HJ10" s="201"/>
      <c r="HK10" s="201"/>
      <c r="HL10" s="201"/>
      <c r="HM10" s="201"/>
      <c r="HN10" s="201"/>
      <c r="HO10" s="201"/>
      <c r="HP10" s="201"/>
      <c r="HQ10" s="201"/>
      <c r="HR10" s="201"/>
      <c r="HS10" s="201"/>
      <c r="HT10" s="201"/>
      <c r="HU10" s="201"/>
      <c r="HV10" s="201"/>
      <c r="HW10" s="201"/>
      <c r="HX10" s="201"/>
      <c r="HY10" s="201"/>
      <c r="HZ10" s="201"/>
      <c r="IA10" s="201"/>
      <c r="IB10" s="201"/>
      <c r="IC10" s="201"/>
      <c r="ID10" s="201"/>
      <c r="IE10" s="201"/>
      <c r="IF10" s="201"/>
      <c r="IG10" s="201"/>
      <c r="IH10" s="201"/>
      <c r="II10" s="201"/>
      <c r="IJ10" s="201"/>
      <c r="IK10" s="201"/>
      <c r="IL10" s="201"/>
      <c r="IM10" s="201"/>
      <c r="IN10" s="201"/>
      <c r="IO10" s="201"/>
      <c r="IP10" s="201"/>
      <c r="IQ10" s="201"/>
      <c r="IR10" s="26"/>
    </row>
    <row r="11" spans="1:252" ht="36.950000000000003" customHeight="1" x14ac:dyDescent="0.3">
      <c r="A11" s="2234">
        <v>3</v>
      </c>
      <c r="B11" s="2235">
        <v>2</v>
      </c>
      <c r="C11" s="2238" t="s">
        <v>884</v>
      </c>
      <c r="D11" s="2239"/>
      <c r="E11" s="2240">
        <v>50000</v>
      </c>
      <c r="F11" s="2243">
        <v>184000</v>
      </c>
      <c r="G11" s="201"/>
      <c r="H11" s="201"/>
      <c r="I11" s="201"/>
      <c r="J11" s="201"/>
      <c r="K11" s="201"/>
      <c r="L11" s="201"/>
      <c r="M11" s="201"/>
      <c r="N11" s="201" t="s">
        <v>254</v>
      </c>
      <c r="O11" s="201"/>
      <c r="P11" s="201"/>
      <c r="Q11" s="201"/>
      <c r="R11" s="201"/>
      <c r="S11" s="201"/>
      <c r="T11" s="201"/>
      <c r="U11" s="201"/>
      <c r="V11" s="201"/>
      <c r="W11" s="201"/>
      <c r="X11" s="201"/>
      <c r="Y11" s="201"/>
      <c r="Z11" s="201"/>
      <c r="AA11" s="201"/>
      <c r="AB11" s="201"/>
      <c r="AC11" s="201"/>
      <c r="AD11" s="201"/>
      <c r="AE11" s="201"/>
      <c r="AF11" s="201"/>
      <c r="AG11" s="201"/>
      <c r="AH11" s="201"/>
      <c r="AI11" s="201"/>
      <c r="AJ11" s="201"/>
      <c r="AK11" s="201"/>
      <c r="AL11" s="201"/>
      <c r="AM11" s="201"/>
      <c r="AN11" s="201"/>
      <c r="AO11" s="201"/>
      <c r="AP11" s="201"/>
      <c r="AQ11" s="201"/>
      <c r="AR11" s="201"/>
      <c r="AS11" s="201"/>
      <c r="AT11" s="201"/>
      <c r="AU11" s="201"/>
      <c r="AV11" s="201"/>
      <c r="AW11" s="201"/>
      <c r="AX11" s="201"/>
      <c r="AY11" s="201"/>
      <c r="AZ11" s="201"/>
      <c r="BA11" s="201"/>
      <c r="BB11" s="201"/>
      <c r="BC11" s="201"/>
      <c r="BD11" s="201"/>
      <c r="BE11" s="201"/>
      <c r="BF11" s="201"/>
      <c r="BG11" s="201"/>
      <c r="BH11" s="201"/>
      <c r="BI11" s="201"/>
      <c r="BJ11" s="201"/>
      <c r="BK11" s="201"/>
      <c r="BL11" s="201"/>
      <c r="BM11" s="201"/>
      <c r="BN11" s="201"/>
      <c r="BO11" s="201"/>
      <c r="BP11" s="201"/>
      <c r="BQ11" s="201"/>
      <c r="BR11" s="201"/>
      <c r="BS11" s="201"/>
      <c r="BT11" s="201"/>
      <c r="BU11" s="201"/>
      <c r="BV11" s="201"/>
      <c r="BW11" s="201"/>
      <c r="BX11" s="201"/>
      <c r="BY11" s="201"/>
      <c r="BZ11" s="201"/>
      <c r="CA11" s="201"/>
      <c r="CB11" s="201"/>
      <c r="CC11" s="201"/>
      <c r="CD11" s="201"/>
      <c r="CE11" s="201"/>
      <c r="CF11" s="201"/>
      <c r="CG11" s="201"/>
      <c r="CH11" s="201"/>
      <c r="CI11" s="201"/>
      <c r="CJ11" s="201"/>
      <c r="CK11" s="201"/>
      <c r="CL11" s="201"/>
      <c r="CM11" s="201"/>
      <c r="CN11" s="201"/>
      <c r="CO11" s="201"/>
      <c r="CP11" s="201"/>
      <c r="CQ11" s="201"/>
      <c r="CR11" s="201"/>
      <c r="CS11" s="201"/>
      <c r="CT11" s="201"/>
      <c r="CU11" s="201"/>
      <c r="CV11" s="201"/>
      <c r="CW11" s="201"/>
      <c r="CX11" s="201"/>
      <c r="CY11" s="201"/>
      <c r="CZ11" s="201"/>
      <c r="DA11" s="201"/>
      <c r="DB11" s="201"/>
      <c r="DC11" s="201"/>
      <c r="DD11" s="201"/>
      <c r="DE11" s="201"/>
      <c r="DF11" s="201"/>
      <c r="DG11" s="201"/>
      <c r="DH11" s="201"/>
      <c r="DI11" s="201"/>
      <c r="DJ11" s="201"/>
      <c r="DK11" s="201"/>
      <c r="DL11" s="201"/>
      <c r="DM11" s="201"/>
      <c r="DN11" s="201"/>
      <c r="DO11" s="201"/>
      <c r="DP11" s="201"/>
      <c r="DQ11" s="201"/>
      <c r="DR11" s="201"/>
      <c r="DS11" s="201"/>
      <c r="DT11" s="201"/>
      <c r="DU11" s="201"/>
      <c r="DV11" s="201"/>
      <c r="DW11" s="201"/>
      <c r="DX11" s="201"/>
      <c r="DY11" s="201"/>
      <c r="DZ11" s="201"/>
      <c r="EA11" s="201"/>
      <c r="EB11" s="201"/>
      <c r="EC11" s="201"/>
      <c r="ED11" s="201"/>
      <c r="EE11" s="201"/>
      <c r="EF11" s="201"/>
      <c r="EG11" s="201"/>
      <c r="EH11" s="201"/>
      <c r="EI11" s="201"/>
      <c r="EJ11" s="201"/>
      <c r="EK11" s="201"/>
      <c r="EL11" s="201"/>
      <c r="EM11" s="201"/>
      <c r="EN11" s="201"/>
      <c r="EO11" s="201"/>
      <c r="EP11" s="201"/>
      <c r="EQ11" s="201"/>
      <c r="ER11" s="201"/>
      <c r="ES11" s="201"/>
      <c r="ET11" s="201"/>
      <c r="EU11" s="201"/>
      <c r="EV11" s="201"/>
      <c r="EW11" s="201"/>
      <c r="EX11" s="201"/>
      <c r="EY11" s="201"/>
      <c r="EZ11" s="201"/>
      <c r="FA11" s="201"/>
      <c r="FB11" s="201"/>
      <c r="FC11" s="201"/>
      <c r="FD11" s="201"/>
      <c r="FE11" s="201"/>
      <c r="FF11" s="201"/>
      <c r="FG11" s="201"/>
      <c r="FH11" s="201"/>
      <c r="FI11" s="201"/>
      <c r="FJ11" s="201"/>
      <c r="FK11" s="201"/>
      <c r="FL11" s="201"/>
      <c r="FM11" s="201"/>
      <c r="FN11" s="201"/>
      <c r="FO11" s="201"/>
      <c r="FP11" s="201"/>
      <c r="FQ11" s="201"/>
      <c r="FR11" s="201"/>
      <c r="FS11" s="201"/>
      <c r="FT11" s="201"/>
      <c r="FU11" s="201"/>
      <c r="FV11" s="201"/>
      <c r="FW11" s="201"/>
      <c r="FX11" s="201"/>
      <c r="FY11" s="201"/>
      <c r="FZ11" s="201"/>
      <c r="GA11" s="201"/>
      <c r="GB11" s="201"/>
      <c r="GC11" s="201"/>
      <c r="GD11" s="201"/>
      <c r="GE11" s="201"/>
      <c r="GF11" s="201"/>
      <c r="GG11" s="201"/>
      <c r="GH11" s="201"/>
      <c r="GI11" s="201"/>
      <c r="GJ11" s="201"/>
      <c r="GK11" s="201"/>
      <c r="GL11" s="201"/>
      <c r="GM11" s="201"/>
      <c r="GN11" s="201"/>
      <c r="GO11" s="201"/>
      <c r="GP11" s="201"/>
      <c r="GQ11" s="201"/>
      <c r="GR11" s="201"/>
      <c r="GS11" s="201"/>
      <c r="GT11" s="201"/>
      <c r="GU11" s="201"/>
      <c r="GV11" s="201"/>
      <c r="GW11" s="201"/>
      <c r="GX11" s="201"/>
      <c r="GY11" s="201"/>
      <c r="GZ11" s="201"/>
      <c r="HA11" s="201"/>
      <c r="HB11" s="201"/>
      <c r="HC11" s="201"/>
      <c r="HD11" s="201"/>
      <c r="HE11" s="201"/>
      <c r="HF11" s="201"/>
      <c r="HG11" s="201"/>
      <c r="HH11" s="201"/>
      <c r="HI11" s="201"/>
      <c r="HJ11" s="201"/>
      <c r="HK11" s="201"/>
      <c r="HL11" s="201"/>
      <c r="HM11" s="201"/>
      <c r="HN11" s="201"/>
      <c r="HO11" s="201"/>
      <c r="HP11" s="201"/>
      <c r="HQ11" s="201"/>
      <c r="HR11" s="201"/>
      <c r="HS11" s="201"/>
      <c r="HT11" s="201"/>
      <c r="HU11" s="201"/>
      <c r="HV11" s="201"/>
      <c r="HW11" s="201"/>
      <c r="HX11" s="201"/>
      <c r="HY11" s="201"/>
      <c r="HZ11" s="201"/>
      <c r="IA11" s="201"/>
      <c r="IB11" s="201"/>
      <c r="IC11" s="201"/>
      <c r="ID11" s="201"/>
      <c r="IE11" s="201"/>
      <c r="IF11" s="201"/>
      <c r="IG11" s="201"/>
      <c r="IH11" s="201"/>
      <c r="II11" s="201"/>
      <c r="IJ11" s="201"/>
      <c r="IK11" s="201"/>
      <c r="IL11" s="201"/>
      <c r="IM11" s="201"/>
      <c r="IN11" s="201"/>
      <c r="IO11" s="201"/>
      <c r="IP11" s="201"/>
      <c r="IQ11" s="201"/>
      <c r="IR11" s="26"/>
    </row>
    <row r="12" spans="1:252" ht="15.95" customHeight="1" x14ac:dyDescent="0.3">
      <c r="A12" s="2234"/>
      <c r="B12" s="2236"/>
      <c r="C12" s="378"/>
      <c r="D12" s="379" t="s">
        <v>392</v>
      </c>
      <c r="E12" s="2241"/>
      <c r="F12" s="2244"/>
      <c r="G12" s="201"/>
      <c r="H12" s="201"/>
      <c r="I12" s="201"/>
      <c r="J12" s="201"/>
      <c r="K12" s="201"/>
      <c r="L12" s="201"/>
      <c r="M12" s="201"/>
      <c r="N12" s="201"/>
      <c r="O12" s="201"/>
      <c r="P12" s="201"/>
      <c r="Q12" s="201"/>
      <c r="R12" s="201"/>
      <c r="S12" s="201"/>
      <c r="T12" s="201"/>
      <c r="U12" s="201"/>
      <c r="V12" s="201"/>
      <c r="W12" s="201"/>
      <c r="X12" s="201"/>
      <c r="Y12" s="201"/>
      <c r="Z12" s="201"/>
      <c r="AA12" s="201"/>
      <c r="AB12" s="201"/>
      <c r="AC12" s="201"/>
      <c r="AD12" s="201"/>
      <c r="AE12" s="201"/>
      <c r="AF12" s="201"/>
      <c r="AG12" s="201"/>
      <c r="AH12" s="201"/>
      <c r="AI12" s="201"/>
      <c r="AJ12" s="201"/>
      <c r="AK12" s="201"/>
      <c r="AL12" s="201"/>
      <c r="AM12" s="201"/>
      <c r="AN12" s="201"/>
      <c r="AO12" s="201"/>
      <c r="AP12" s="201"/>
      <c r="AQ12" s="201"/>
      <c r="AR12" s="201"/>
      <c r="AS12" s="201"/>
      <c r="AT12" s="201"/>
      <c r="AU12" s="201"/>
      <c r="AV12" s="201"/>
      <c r="AW12" s="201"/>
      <c r="AX12" s="201"/>
      <c r="AY12" s="201"/>
      <c r="AZ12" s="201"/>
      <c r="BA12" s="201"/>
      <c r="BB12" s="201"/>
      <c r="BC12" s="201"/>
      <c r="BD12" s="201"/>
      <c r="BE12" s="201"/>
      <c r="BF12" s="201"/>
      <c r="BG12" s="201"/>
      <c r="BH12" s="201"/>
      <c r="BI12" s="201"/>
      <c r="BJ12" s="201"/>
      <c r="BK12" s="201"/>
      <c r="BL12" s="201"/>
      <c r="BM12" s="201"/>
      <c r="BN12" s="201"/>
      <c r="BO12" s="201"/>
      <c r="BP12" s="201"/>
      <c r="BQ12" s="201"/>
      <c r="BR12" s="201"/>
      <c r="BS12" s="201"/>
      <c r="BT12" s="201"/>
      <c r="BU12" s="201"/>
      <c r="BV12" s="201"/>
      <c r="BW12" s="201"/>
      <c r="BX12" s="201"/>
      <c r="BY12" s="201"/>
      <c r="BZ12" s="201"/>
      <c r="CA12" s="201"/>
      <c r="CB12" s="201"/>
      <c r="CC12" s="201"/>
      <c r="CD12" s="201"/>
      <c r="CE12" s="201"/>
      <c r="CF12" s="201"/>
      <c r="CG12" s="201"/>
      <c r="CH12" s="201"/>
      <c r="CI12" s="201"/>
      <c r="CJ12" s="201"/>
      <c r="CK12" s="201"/>
      <c r="CL12" s="201"/>
      <c r="CM12" s="201"/>
      <c r="CN12" s="201"/>
      <c r="CO12" s="201"/>
      <c r="CP12" s="201"/>
      <c r="CQ12" s="201"/>
      <c r="CR12" s="201"/>
      <c r="CS12" s="201"/>
      <c r="CT12" s="201"/>
      <c r="CU12" s="201"/>
      <c r="CV12" s="201"/>
      <c r="CW12" s="201"/>
      <c r="CX12" s="201"/>
      <c r="CY12" s="201"/>
      <c r="CZ12" s="201"/>
      <c r="DA12" s="201"/>
      <c r="DB12" s="201"/>
      <c r="DC12" s="201"/>
      <c r="DD12" s="201"/>
      <c r="DE12" s="201"/>
      <c r="DF12" s="201"/>
      <c r="DG12" s="201"/>
      <c r="DH12" s="201"/>
      <c r="DI12" s="201"/>
      <c r="DJ12" s="201"/>
      <c r="DK12" s="201"/>
      <c r="DL12" s="201"/>
      <c r="DM12" s="201"/>
      <c r="DN12" s="201"/>
      <c r="DO12" s="201"/>
      <c r="DP12" s="201"/>
      <c r="DQ12" s="201"/>
      <c r="DR12" s="201"/>
      <c r="DS12" s="201"/>
      <c r="DT12" s="201"/>
      <c r="DU12" s="201"/>
      <c r="DV12" s="201"/>
      <c r="DW12" s="201"/>
      <c r="DX12" s="201"/>
      <c r="DY12" s="201"/>
      <c r="DZ12" s="201"/>
      <c r="EA12" s="201"/>
      <c r="EB12" s="201"/>
      <c r="EC12" s="201"/>
      <c r="ED12" s="201"/>
      <c r="EE12" s="201"/>
      <c r="EF12" s="201"/>
      <c r="EG12" s="201"/>
      <c r="EH12" s="201"/>
      <c r="EI12" s="201"/>
      <c r="EJ12" s="201"/>
      <c r="EK12" s="201"/>
      <c r="EL12" s="201"/>
      <c r="EM12" s="201"/>
      <c r="EN12" s="201"/>
      <c r="EO12" s="201"/>
      <c r="EP12" s="201"/>
      <c r="EQ12" s="201"/>
      <c r="ER12" s="201"/>
      <c r="ES12" s="201"/>
      <c r="ET12" s="201"/>
      <c r="EU12" s="201"/>
      <c r="EV12" s="201"/>
      <c r="EW12" s="201"/>
      <c r="EX12" s="201"/>
      <c r="EY12" s="201"/>
      <c r="EZ12" s="201"/>
      <c r="FA12" s="201"/>
      <c r="FB12" s="201"/>
      <c r="FC12" s="201"/>
      <c r="FD12" s="201"/>
      <c r="FE12" s="201"/>
      <c r="FF12" s="201"/>
      <c r="FG12" s="201"/>
      <c r="FH12" s="201"/>
      <c r="FI12" s="201"/>
      <c r="FJ12" s="201"/>
      <c r="FK12" s="201"/>
      <c r="FL12" s="201"/>
      <c r="FM12" s="201"/>
      <c r="FN12" s="201"/>
      <c r="FO12" s="201"/>
      <c r="FP12" s="201"/>
      <c r="FQ12" s="201"/>
      <c r="FR12" s="201"/>
      <c r="FS12" s="201"/>
      <c r="FT12" s="201"/>
      <c r="FU12" s="201"/>
      <c r="FV12" s="201"/>
      <c r="FW12" s="201"/>
      <c r="FX12" s="201"/>
      <c r="FY12" s="201"/>
      <c r="FZ12" s="201"/>
      <c r="GA12" s="201"/>
      <c r="GB12" s="201"/>
      <c r="GC12" s="201"/>
      <c r="GD12" s="201"/>
      <c r="GE12" s="201"/>
      <c r="GF12" s="201"/>
      <c r="GG12" s="201"/>
      <c r="GH12" s="201"/>
      <c r="GI12" s="201"/>
      <c r="GJ12" s="201"/>
      <c r="GK12" s="201"/>
      <c r="GL12" s="201"/>
      <c r="GM12" s="201"/>
      <c r="GN12" s="201"/>
      <c r="GO12" s="201"/>
      <c r="GP12" s="201"/>
      <c r="GQ12" s="201"/>
      <c r="GR12" s="201"/>
      <c r="GS12" s="201"/>
      <c r="GT12" s="201"/>
      <c r="GU12" s="201"/>
      <c r="GV12" s="201"/>
      <c r="GW12" s="201"/>
      <c r="GX12" s="201"/>
      <c r="GY12" s="201"/>
      <c r="GZ12" s="201"/>
      <c r="HA12" s="201"/>
      <c r="HB12" s="201"/>
      <c r="HC12" s="201"/>
      <c r="HD12" s="201"/>
      <c r="HE12" s="201"/>
      <c r="HF12" s="201"/>
      <c r="HG12" s="201"/>
      <c r="HH12" s="201"/>
      <c r="HI12" s="201"/>
      <c r="HJ12" s="201"/>
      <c r="HK12" s="201"/>
      <c r="HL12" s="201"/>
      <c r="HM12" s="201"/>
      <c r="HN12" s="201"/>
      <c r="HO12" s="201"/>
      <c r="HP12" s="201"/>
      <c r="HQ12" s="201"/>
      <c r="HR12" s="201"/>
      <c r="HS12" s="201"/>
      <c r="HT12" s="201"/>
      <c r="HU12" s="201"/>
      <c r="HV12" s="201"/>
      <c r="HW12" s="201"/>
      <c r="HX12" s="201"/>
      <c r="HY12" s="201"/>
      <c r="HZ12" s="201"/>
      <c r="IA12" s="201"/>
      <c r="IB12" s="201"/>
      <c r="IC12" s="201"/>
      <c r="ID12" s="201"/>
      <c r="IE12" s="201"/>
      <c r="IF12" s="201"/>
      <c r="IG12" s="201"/>
      <c r="IH12" s="201"/>
      <c r="II12" s="201"/>
      <c r="IJ12" s="201"/>
      <c r="IK12" s="201"/>
      <c r="IL12" s="201"/>
      <c r="IM12" s="201"/>
      <c r="IN12" s="201"/>
      <c r="IO12" s="201"/>
      <c r="IP12" s="201"/>
      <c r="IQ12" s="201"/>
      <c r="IR12" s="26"/>
    </row>
    <row r="13" spans="1:252" ht="17.25" customHeight="1" thickBot="1" x14ac:dyDescent="0.35">
      <c r="A13" s="2234"/>
      <c r="B13" s="2237"/>
      <c r="C13" s="376"/>
      <c r="D13" s="377" t="s">
        <v>608</v>
      </c>
      <c r="E13" s="2242"/>
      <c r="F13" s="2245"/>
      <c r="IL13" s="23"/>
      <c r="IM13" s="23"/>
      <c r="IN13" s="23"/>
      <c r="IO13" s="23"/>
      <c r="IP13" s="23"/>
      <c r="IQ13" s="23"/>
    </row>
    <row r="14" spans="1:252" ht="54" customHeight="1" x14ac:dyDescent="0.3">
      <c r="A14" s="2234">
        <v>4</v>
      </c>
      <c r="B14" s="2235">
        <v>3</v>
      </c>
      <c r="C14" s="2246" t="s">
        <v>885</v>
      </c>
      <c r="D14" s="2239"/>
      <c r="E14" s="2240">
        <v>232000</v>
      </c>
      <c r="F14" s="2243">
        <v>109000</v>
      </c>
    </row>
    <row r="15" spans="1:252" ht="33" x14ac:dyDescent="0.3">
      <c r="A15" s="2234"/>
      <c r="B15" s="2236"/>
      <c r="C15" s="378"/>
      <c r="D15" s="379" t="s">
        <v>886</v>
      </c>
      <c r="E15" s="2241"/>
      <c r="F15" s="2244"/>
    </row>
    <row r="16" spans="1:252" ht="33" x14ac:dyDescent="0.3">
      <c r="A16" s="2234"/>
      <c r="B16" s="2236"/>
      <c r="C16" s="378"/>
      <c r="D16" s="379" t="s">
        <v>887</v>
      </c>
      <c r="E16" s="2241"/>
      <c r="F16" s="2244"/>
    </row>
    <row r="17" spans="1:6" ht="16.5" x14ac:dyDescent="0.3">
      <c r="A17" s="2234"/>
      <c r="B17" s="2236"/>
      <c r="C17" s="378"/>
      <c r="D17" s="379" t="s">
        <v>888</v>
      </c>
      <c r="E17" s="2241"/>
      <c r="F17" s="2244"/>
    </row>
    <row r="18" spans="1:6" ht="33.75" thickBot="1" x14ac:dyDescent="0.35">
      <c r="A18" s="2234"/>
      <c r="B18" s="2237"/>
      <c r="C18" s="376"/>
      <c r="D18" s="377" t="s">
        <v>889</v>
      </c>
      <c r="E18" s="2242"/>
      <c r="F18" s="2245"/>
    </row>
    <row r="19" spans="1:6" ht="53.1" customHeight="1" x14ac:dyDescent="0.3">
      <c r="A19" s="2234">
        <v>5</v>
      </c>
      <c r="B19" s="2235">
        <v>4</v>
      </c>
      <c r="C19" s="2246" t="s">
        <v>890</v>
      </c>
      <c r="D19" s="2239"/>
      <c r="E19" s="2247"/>
      <c r="F19" s="2243">
        <v>44000</v>
      </c>
    </row>
    <row r="20" spans="1:6" ht="14.1" customHeight="1" x14ac:dyDescent="0.3">
      <c r="A20" s="2234"/>
      <c r="B20" s="2236"/>
      <c r="C20" s="378"/>
      <c r="D20" s="379" t="s">
        <v>891</v>
      </c>
      <c r="E20" s="2248"/>
      <c r="F20" s="2244"/>
    </row>
    <row r="21" spans="1:6" ht="15.95" customHeight="1" thickBot="1" x14ac:dyDescent="0.35">
      <c r="A21" s="2234"/>
      <c r="B21" s="2236"/>
      <c r="C21" s="376"/>
      <c r="D21" s="377" t="s">
        <v>892</v>
      </c>
      <c r="E21" s="2248"/>
      <c r="F21" s="2244"/>
    </row>
    <row r="22" spans="1:6" ht="66.599999999999994" customHeight="1" x14ac:dyDescent="0.3">
      <c r="A22" s="2234">
        <v>6</v>
      </c>
      <c r="B22" s="2235">
        <v>5</v>
      </c>
      <c r="C22" s="2238" t="s">
        <v>893</v>
      </c>
      <c r="D22" s="2239"/>
      <c r="E22" s="2240">
        <v>297000</v>
      </c>
      <c r="F22" s="2243">
        <v>294000</v>
      </c>
    </row>
    <row r="23" spans="1:6" ht="16.5" x14ac:dyDescent="0.3">
      <c r="A23" s="2234"/>
      <c r="B23" s="2236"/>
      <c r="C23" s="380"/>
      <c r="D23" s="381" t="s">
        <v>894</v>
      </c>
      <c r="E23" s="2241"/>
      <c r="F23" s="2244"/>
    </row>
    <row r="24" spans="1:6" ht="33" x14ac:dyDescent="0.3">
      <c r="A24" s="2234"/>
      <c r="B24" s="2236"/>
      <c r="C24" s="380"/>
      <c r="D24" s="381" t="s">
        <v>761</v>
      </c>
      <c r="E24" s="2241"/>
      <c r="F24" s="2244"/>
    </row>
    <row r="25" spans="1:6" ht="16.5" x14ac:dyDescent="0.3">
      <c r="A25" s="2234"/>
      <c r="B25" s="2236"/>
      <c r="C25" s="380"/>
      <c r="D25" s="381" t="s">
        <v>895</v>
      </c>
      <c r="E25" s="2241"/>
      <c r="F25" s="2244"/>
    </row>
    <row r="26" spans="1:6" ht="33" x14ac:dyDescent="0.3">
      <c r="A26" s="2234"/>
      <c r="B26" s="2236"/>
      <c r="C26" s="380"/>
      <c r="D26" s="381" t="s">
        <v>896</v>
      </c>
      <c r="E26" s="2241"/>
      <c r="F26" s="2244"/>
    </row>
    <row r="27" spans="1:6" ht="16.5" x14ac:dyDescent="0.3">
      <c r="A27" s="2234"/>
      <c r="B27" s="2236"/>
      <c r="C27" s="380"/>
      <c r="D27" s="381" t="s">
        <v>766</v>
      </c>
      <c r="E27" s="2241"/>
      <c r="F27" s="2244"/>
    </row>
    <row r="28" spans="1:6" ht="16.5" x14ac:dyDescent="0.3">
      <c r="A28" s="2234"/>
      <c r="B28" s="2236"/>
      <c r="C28" s="380"/>
      <c r="D28" s="381" t="s">
        <v>734</v>
      </c>
      <c r="E28" s="2241"/>
      <c r="F28" s="2244"/>
    </row>
    <row r="29" spans="1:6" ht="16.5" x14ac:dyDescent="0.3">
      <c r="A29" s="2234"/>
      <c r="B29" s="2236"/>
      <c r="C29" s="380"/>
      <c r="D29" s="381" t="s">
        <v>736</v>
      </c>
      <c r="E29" s="2241"/>
      <c r="F29" s="2244"/>
    </row>
    <row r="30" spans="1:6" ht="38.25" customHeight="1" thickBot="1" x14ac:dyDescent="0.35">
      <c r="A30" s="2234"/>
      <c r="B30" s="2236"/>
      <c r="C30" s="382"/>
      <c r="D30" s="383" t="s">
        <v>692</v>
      </c>
      <c r="E30" s="2242"/>
      <c r="F30" s="2245"/>
    </row>
    <row r="31" spans="1:6" ht="22.5" customHeight="1" thickBot="1" x14ac:dyDescent="0.35">
      <c r="A31" s="374">
        <v>7</v>
      </c>
      <c r="B31" s="2227" t="s">
        <v>602</v>
      </c>
      <c r="C31" s="2228"/>
      <c r="D31" s="2229"/>
      <c r="E31" s="384">
        <v>629000</v>
      </c>
      <c r="F31" s="385">
        <v>631000</v>
      </c>
    </row>
    <row r="32" spans="1:6" ht="22.5" customHeight="1" thickBot="1" x14ac:dyDescent="0.35">
      <c r="A32" s="374">
        <v>8</v>
      </c>
      <c r="B32" s="2227" t="s">
        <v>897</v>
      </c>
      <c r="C32" s="2228"/>
      <c r="D32" s="2229"/>
      <c r="E32" s="2230">
        <v>1260000</v>
      </c>
      <c r="F32" s="2231"/>
    </row>
    <row r="33" spans="2:6" ht="63" customHeight="1" x14ac:dyDescent="0.3">
      <c r="B33" s="2233" t="s">
        <v>944</v>
      </c>
      <c r="C33" s="2233"/>
      <c r="D33" s="2233"/>
      <c r="E33" s="2233"/>
      <c r="F33" s="2233"/>
    </row>
  </sheetData>
  <mergeCells count="34">
    <mergeCell ref="A22:A30"/>
    <mergeCell ref="B22:B30"/>
    <mergeCell ref="C22:D22"/>
    <mergeCell ref="E22:E30"/>
    <mergeCell ref="F22:F30"/>
    <mergeCell ref="A9:A10"/>
    <mergeCell ref="B9:B10"/>
    <mergeCell ref="C9:D9"/>
    <mergeCell ref="E9:E10"/>
    <mergeCell ref="F9:F10"/>
    <mergeCell ref="B33:F33"/>
    <mergeCell ref="A11:A13"/>
    <mergeCell ref="B11:B13"/>
    <mergeCell ref="C11:D11"/>
    <mergeCell ref="E11:E13"/>
    <mergeCell ref="F11:F13"/>
    <mergeCell ref="A19:A21"/>
    <mergeCell ref="B19:B21"/>
    <mergeCell ref="C19:D19"/>
    <mergeCell ref="E19:E21"/>
    <mergeCell ref="F19:F21"/>
    <mergeCell ref="A14:A18"/>
    <mergeCell ref="B14:B18"/>
    <mergeCell ref="C14:D14"/>
    <mergeCell ref="E14:E18"/>
    <mergeCell ref="F14:F18"/>
    <mergeCell ref="B8:D8"/>
    <mergeCell ref="B1:D1"/>
    <mergeCell ref="B3:F3"/>
    <mergeCell ref="B4:F4"/>
    <mergeCell ref="B32:D32"/>
    <mergeCell ref="E32:F32"/>
    <mergeCell ref="B31:D31"/>
    <mergeCell ref="B7:D7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84" orientation="portrait" r:id="rId1"/>
  <headerFooter>
    <oddFooter>&amp;C-&amp;P -</oddFooter>
  </headerFooter>
  <rowBreaks count="1" manualBreakCount="1">
    <brk id="21" max="5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R13"/>
  <sheetViews>
    <sheetView view="pageBreakPreview" zoomScaleNormal="100" zoomScaleSheetLayoutView="100" workbookViewId="0">
      <selection activeCell="B2" sqref="B2"/>
    </sheetView>
  </sheetViews>
  <sheetFormatPr defaultColWidth="3" defaultRowHeight="17.25" x14ac:dyDescent="0.3"/>
  <cols>
    <col min="1" max="1" width="4.42578125" style="198" customWidth="1"/>
    <col min="2" max="2" width="60.7109375" style="204" customWidth="1"/>
    <col min="3" max="3" width="16" style="205" customWidth="1"/>
    <col min="4" max="250" width="8" style="202" customWidth="1"/>
    <col min="251" max="251" width="3" style="202" bestFit="1" customWidth="1"/>
    <col min="252" max="16384" width="3" style="23"/>
  </cols>
  <sheetData>
    <row r="1" spans="1:252" x14ac:dyDescent="0.3">
      <c r="B1" s="1" t="s">
        <v>984</v>
      </c>
      <c r="C1" s="199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200"/>
      <c r="W1" s="200"/>
      <c r="X1" s="200"/>
      <c r="Y1" s="200"/>
      <c r="Z1" s="200"/>
      <c r="AA1" s="200"/>
      <c r="AB1" s="200"/>
      <c r="AC1" s="200"/>
      <c r="AD1" s="200"/>
      <c r="AE1" s="200"/>
      <c r="AF1" s="200"/>
      <c r="AG1" s="200"/>
      <c r="AH1" s="200"/>
      <c r="AI1" s="200"/>
      <c r="AJ1" s="200"/>
      <c r="AK1" s="200"/>
      <c r="AL1" s="200"/>
      <c r="AM1" s="200"/>
      <c r="AN1" s="200"/>
      <c r="AO1" s="200"/>
      <c r="AP1" s="200"/>
      <c r="AQ1" s="200"/>
      <c r="AR1" s="200"/>
      <c r="AS1" s="200"/>
      <c r="AT1" s="200"/>
      <c r="AU1" s="200"/>
      <c r="AV1" s="200"/>
      <c r="AW1" s="200"/>
      <c r="AX1" s="200"/>
      <c r="AY1" s="200"/>
      <c r="AZ1" s="200"/>
      <c r="BA1" s="200"/>
      <c r="BB1" s="200"/>
      <c r="BC1" s="200"/>
      <c r="BD1" s="200"/>
      <c r="BE1" s="200"/>
      <c r="BF1" s="200"/>
      <c r="BG1" s="200"/>
      <c r="BH1" s="200"/>
      <c r="BI1" s="200"/>
      <c r="BJ1" s="200"/>
      <c r="BK1" s="200"/>
      <c r="BL1" s="200"/>
      <c r="BM1" s="200"/>
      <c r="BN1" s="200"/>
      <c r="BO1" s="200"/>
      <c r="BP1" s="200"/>
      <c r="BQ1" s="200"/>
      <c r="BR1" s="200"/>
      <c r="BS1" s="200"/>
      <c r="BT1" s="200"/>
      <c r="BU1" s="200"/>
      <c r="BV1" s="200"/>
      <c r="BW1" s="200"/>
      <c r="BX1" s="200"/>
      <c r="BY1" s="200"/>
      <c r="BZ1" s="200"/>
      <c r="CA1" s="200"/>
      <c r="CB1" s="200"/>
      <c r="CC1" s="200"/>
      <c r="CD1" s="200"/>
      <c r="CE1" s="200"/>
      <c r="CF1" s="200"/>
      <c r="CG1" s="200"/>
      <c r="CH1" s="200"/>
      <c r="CI1" s="200"/>
      <c r="CJ1" s="200"/>
      <c r="CK1" s="200"/>
      <c r="CL1" s="200"/>
      <c r="CM1" s="200"/>
      <c r="CN1" s="200"/>
      <c r="CO1" s="200"/>
      <c r="CP1" s="200"/>
      <c r="CQ1" s="200"/>
      <c r="CR1" s="200"/>
      <c r="CS1" s="200"/>
      <c r="CT1" s="200"/>
      <c r="CU1" s="200"/>
      <c r="CV1" s="200"/>
      <c r="CW1" s="200"/>
      <c r="CX1" s="200"/>
      <c r="CY1" s="200"/>
      <c r="CZ1" s="200"/>
      <c r="DA1" s="200"/>
      <c r="DB1" s="200"/>
      <c r="DC1" s="200"/>
      <c r="DD1" s="200"/>
      <c r="DE1" s="200"/>
      <c r="DF1" s="200"/>
      <c r="DG1" s="200"/>
      <c r="DH1" s="200"/>
      <c r="DI1" s="200"/>
      <c r="DJ1" s="200"/>
      <c r="DK1" s="200"/>
      <c r="DL1" s="200"/>
      <c r="DM1" s="200"/>
      <c r="DN1" s="200"/>
      <c r="DO1" s="200"/>
      <c r="DP1" s="200"/>
      <c r="DQ1" s="200"/>
      <c r="DR1" s="200"/>
      <c r="DS1" s="200"/>
      <c r="DT1" s="200"/>
      <c r="DU1" s="200"/>
      <c r="DV1" s="200"/>
      <c r="DW1" s="200"/>
      <c r="DX1" s="200"/>
      <c r="DY1" s="200"/>
      <c r="DZ1" s="200"/>
      <c r="EA1" s="200"/>
      <c r="EB1" s="200"/>
      <c r="EC1" s="200"/>
      <c r="ED1" s="200"/>
      <c r="EE1" s="200"/>
      <c r="EF1" s="200"/>
      <c r="EG1" s="200"/>
      <c r="EH1" s="200"/>
      <c r="EI1" s="200"/>
      <c r="EJ1" s="200"/>
      <c r="EK1" s="200"/>
      <c r="EL1" s="200"/>
      <c r="EM1" s="200"/>
      <c r="EN1" s="200"/>
      <c r="EO1" s="200"/>
      <c r="EP1" s="200"/>
      <c r="EQ1" s="200"/>
      <c r="ER1" s="200"/>
      <c r="ES1" s="200"/>
      <c r="ET1" s="200"/>
      <c r="EU1" s="200"/>
      <c r="EV1" s="200"/>
      <c r="EW1" s="200"/>
      <c r="EX1" s="200"/>
      <c r="EY1" s="200"/>
      <c r="EZ1" s="200"/>
      <c r="FA1" s="200"/>
      <c r="FB1" s="200"/>
      <c r="FC1" s="200"/>
      <c r="FD1" s="200"/>
      <c r="FE1" s="200"/>
      <c r="FF1" s="200"/>
      <c r="FG1" s="200"/>
      <c r="FH1" s="200"/>
      <c r="FI1" s="200"/>
      <c r="FJ1" s="200"/>
      <c r="FK1" s="200"/>
      <c r="FL1" s="200"/>
      <c r="FM1" s="200"/>
      <c r="FN1" s="200"/>
      <c r="FO1" s="200"/>
      <c r="FP1" s="200"/>
      <c r="FQ1" s="200"/>
      <c r="FR1" s="200"/>
      <c r="FS1" s="200"/>
      <c r="FT1" s="200"/>
      <c r="FU1" s="200"/>
      <c r="FV1" s="200"/>
      <c r="FW1" s="200"/>
      <c r="FX1" s="200"/>
      <c r="FY1" s="200"/>
      <c r="FZ1" s="200"/>
      <c r="GA1" s="200"/>
      <c r="GB1" s="200"/>
      <c r="GC1" s="200"/>
      <c r="GD1" s="200"/>
      <c r="GE1" s="200"/>
      <c r="GF1" s="200"/>
      <c r="GG1" s="200"/>
      <c r="GH1" s="200"/>
      <c r="GI1" s="200"/>
      <c r="GJ1" s="200"/>
      <c r="GK1" s="200"/>
      <c r="GL1" s="200"/>
      <c r="GM1" s="200"/>
      <c r="GN1" s="200"/>
      <c r="GO1" s="200"/>
      <c r="GP1" s="200"/>
      <c r="GQ1" s="200"/>
      <c r="GR1" s="200"/>
      <c r="GS1" s="200"/>
      <c r="GT1" s="200"/>
      <c r="GU1" s="200"/>
      <c r="GV1" s="200"/>
      <c r="GW1" s="200"/>
      <c r="GX1" s="200"/>
      <c r="GY1" s="200"/>
      <c r="GZ1" s="200"/>
      <c r="HA1" s="200"/>
      <c r="HB1" s="200"/>
      <c r="HC1" s="200"/>
      <c r="HD1" s="200"/>
      <c r="HE1" s="200"/>
      <c r="HF1" s="200"/>
      <c r="HG1" s="200"/>
      <c r="HH1" s="200"/>
      <c r="HI1" s="200"/>
      <c r="HJ1" s="200"/>
      <c r="HK1" s="200"/>
      <c r="HL1" s="200"/>
      <c r="HM1" s="200"/>
      <c r="HN1" s="200"/>
      <c r="HO1" s="200"/>
      <c r="HP1" s="200"/>
      <c r="HQ1" s="200"/>
      <c r="HR1" s="200"/>
      <c r="HS1" s="200"/>
      <c r="HT1" s="200"/>
      <c r="HU1" s="200"/>
      <c r="HV1" s="200"/>
      <c r="HW1" s="200"/>
      <c r="HX1" s="200"/>
      <c r="HY1" s="200"/>
      <c r="HZ1" s="200"/>
      <c r="IA1" s="200"/>
      <c r="IB1" s="200"/>
      <c r="IC1" s="200"/>
      <c r="ID1" s="200"/>
      <c r="IE1" s="200"/>
      <c r="IF1" s="200"/>
      <c r="IG1" s="200"/>
      <c r="IH1" s="200"/>
      <c r="II1" s="200"/>
      <c r="IJ1" s="200"/>
      <c r="IK1" s="200"/>
      <c r="IL1" s="200"/>
      <c r="IM1" s="200"/>
      <c r="IN1" s="200"/>
      <c r="IO1" s="200"/>
      <c r="IP1" s="200"/>
      <c r="IQ1" s="200"/>
      <c r="IR1" s="93"/>
    </row>
    <row r="2" spans="1:252" x14ac:dyDescent="0.3">
      <c r="B2" s="209"/>
      <c r="C2" s="199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  <c r="S2" s="200"/>
      <c r="T2" s="200"/>
      <c r="U2" s="200"/>
      <c r="V2" s="200"/>
      <c r="W2" s="200"/>
      <c r="X2" s="200"/>
      <c r="Y2" s="200"/>
      <c r="Z2" s="200"/>
      <c r="AA2" s="200"/>
      <c r="AB2" s="200"/>
      <c r="AC2" s="200"/>
      <c r="AD2" s="200"/>
      <c r="AE2" s="200"/>
      <c r="AF2" s="200"/>
      <c r="AG2" s="200"/>
      <c r="AH2" s="200"/>
      <c r="AI2" s="200"/>
      <c r="AJ2" s="200"/>
      <c r="AK2" s="200"/>
      <c r="AL2" s="200"/>
      <c r="AM2" s="200"/>
      <c r="AN2" s="200"/>
      <c r="AO2" s="200"/>
      <c r="AP2" s="200"/>
      <c r="AQ2" s="200"/>
      <c r="AR2" s="200"/>
      <c r="AS2" s="200"/>
      <c r="AT2" s="200"/>
      <c r="AU2" s="200"/>
      <c r="AV2" s="200"/>
      <c r="AW2" s="200"/>
      <c r="AX2" s="200"/>
      <c r="AY2" s="200"/>
      <c r="AZ2" s="200"/>
      <c r="BA2" s="200"/>
      <c r="BB2" s="200"/>
      <c r="BC2" s="200"/>
      <c r="BD2" s="200"/>
      <c r="BE2" s="200"/>
      <c r="BF2" s="200"/>
      <c r="BG2" s="200"/>
      <c r="BH2" s="200"/>
      <c r="BI2" s="200"/>
      <c r="BJ2" s="200"/>
      <c r="BK2" s="200"/>
      <c r="BL2" s="200"/>
      <c r="BM2" s="200"/>
      <c r="BN2" s="200"/>
      <c r="BO2" s="200"/>
      <c r="BP2" s="200"/>
      <c r="BQ2" s="200"/>
      <c r="BR2" s="200"/>
      <c r="BS2" s="200"/>
      <c r="BT2" s="200"/>
      <c r="BU2" s="200"/>
      <c r="BV2" s="200"/>
      <c r="BW2" s="200"/>
      <c r="BX2" s="200"/>
      <c r="BY2" s="200"/>
      <c r="BZ2" s="200"/>
      <c r="CA2" s="200"/>
      <c r="CB2" s="200"/>
      <c r="CC2" s="200"/>
      <c r="CD2" s="200"/>
      <c r="CE2" s="200"/>
      <c r="CF2" s="200"/>
      <c r="CG2" s="200"/>
      <c r="CH2" s="200"/>
      <c r="CI2" s="200"/>
      <c r="CJ2" s="200"/>
      <c r="CK2" s="200"/>
      <c r="CL2" s="200"/>
      <c r="CM2" s="200"/>
      <c r="CN2" s="200"/>
      <c r="CO2" s="200"/>
      <c r="CP2" s="200"/>
      <c r="CQ2" s="200"/>
      <c r="CR2" s="200"/>
      <c r="CS2" s="200"/>
      <c r="CT2" s="200"/>
      <c r="CU2" s="200"/>
      <c r="CV2" s="200"/>
      <c r="CW2" s="200"/>
      <c r="CX2" s="200"/>
      <c r="CY2" s="200"/>
      <c r="CZ2" s="200"/>
      <c r="DA2" s="200"/>
      <c r="DB2" s="200"/>
      <c r="DC2" s="200"/>
      <c r="DD2" s="200"/>
      <c r="DE2" s="200"/>
      <c r="DF2" s="200"/>
      <c r="DG2" s="200"/>
      <c r="DH2" s="200"/>
      <c r="DI2" s="200"/>
      <c r="DJ2" s="200"/>
      <c r="DK2" s="200"/>
      <c r="DL2" s="200"/>
      <c r="DM2" s="200"/>
      <c r="DN2" s="200"/>
      <c r="DO2" s="200"/>
      <c r="DP2" s="200"/>
      <c r="DQ2" s="200"/>
      <c r="DR2" s="200"/>
      <c r="DS2" s="200"/>
      <c r="DT2" s="200"/>
      <c r="DU2" s="200"/>
      <c r="DV2" s="200"/>
      <c r="DW2" s="200"/>
      <c r="DX2" s="200"/>
      <c r="DY2" s="200"/>
      <c r="DZ2" s="200"/>
      <c r="EA2" s="200"/>
      <c r="EB2" s="200"/>
      <c r="EC2" s="200"/>
      <c r="ED2" s="200"/>
      <c r="EE2" s="200"/>
      <c r="EF2" s="200"/>
      <c r="EG2" s="200"/>
      <c r="EH2" s="200"/>
      <c r="EI2" s="200"/>
      <c r="EJ2" s="200"/>
      <c r="EK2" s="200"/>
      <c r="EL2" s="200"/>
      <c r="EM2" s="200"/>
      <c r="EN2" s="200"/>
      <c r="EO2" s="200"/>
      <c r="EP2" s="200"/>
      <c r="EQ2" s="200"/>
      <c r="ER2" s="200"/>
      <c r="ES2" s="200"/>
      <c r="ET2" s="200"/>
      <c r="EU2" s="200"/>
      <c r="EV2" s="200"/>
      <c r="EW2" s="200"/>
      <c r="EX2" s="200"/>
      <c r="EY2" s="200"/>
      <c r="EZ2" s="200"/>
      <c r="FA2" s="200"/>
      <c r="FB2" s="200"/>
      <c r="FC2" s="200"/>
      <c r="FD2" s="200"/>
      <c r="FE2" s="200"/>
      <c r="FF2" s="200"/>
      <c r="FG2" s="200"/>
      <c r="FH2" s="200"/>
      <c r="FI2" s="200"/>
      <c r="FJ2" s="200"/>
      <c r="FK2" s="200"/>
      <c r="FL2" s="200"/>
      <c r="FM2" s="200"/>
      <c r="FN2" s="200"/>
      <c r="FO2" s="200"/>
      <c r="FP2" s="200"/>
      <c r="FQ2" s="200"/>
      <c r="FR2" s="200"/>
      <c r="FS2" s="200"/>
      <c r="FT2" s="200"/>
      <c r="FU2" s="200"/>
      <c r="FV2" s="200"/>
      <c r="FW2" s="200"/>
      <c r="FX2" s="200"/>
      <c r="FY2" s="200"/>
      <c r="FZ2" s="200"/>
      <c r="GA2" s="200"/>
      <c r="GB2" s="200"/>
      <c r="GC2" s="200"/>
      <c r="GD2" s="200"/>
      <c r="GE2" s="200"/>
      <c r="GF2" s="200"/>
      <c r="GG2" s="200"/>
      <c r="GH2" s="200"/>
      <c r="GI2" s="200"/>
      <c r="GJ2" s="200"/>
      <c r="GK2" s="200"/>
      <c r="GL2" s="200"/>
      <c r="GM2" s="200"/>
      <c r="GN2" s="200"/>
      <c r="GO2" s="200"/>
      <c r="GP2" s="200"/>
      <c r="GQ2" s="200"/>
      <c r="GR2" s="200"/>
      <c r="GS2" s="200"/>
      <c r="GT2" s="200"/>
      <c r="GU2" s="200"/>
      <c r="GV2" s="200"/>
      <c r="GW2" s="200"/>
      <c r="GX2" s="200"/>
      <c r="GY2" s="200"/>
      <c r="GZ2" s="200"/>
      <c r="HA2" s="200"/>
      <c r="HB2" s="200"/>
      <c r="HC2" s="200"/>
      <c r="HD2" s="200"/>
      <c r="HE2" s="200"/>
      <c r="HF2" s="200"/>
      <c r="HG2" s="200"/>
      <c r="HH2" s="200"/>
      <c r="HI2" s="200"/>
      <c r="HJ2" s="200"/>
      <c r="HK2" s="200"/>
      <c r="HL2" s="200"/>
      <c r="HM2" s="200"/>
      <c r="HN2" s="200"/>
      <c r="HO2" s="200"/>
      <c r="HP2" s="200"/>
      <c r="HQ2" s="200"/>
      <c r="HR2" s="200"/>
      <c r="HS2" s="200"/>
      <c r="HT2" s="200"/>
      <c r="HU2" s="200"/>
      <c r="HV2" s="200"/>
      <c r="HW2" s="200"/>
      <c r="HX2" s="200"/>
      <c r="HY2" s="200"/>
      <c r="HZ2" s="200"/>
      <c r="IA2" s="200"/>
      <c r="IB2" s="200"/>
      <c r="IC2" s="200"/>
      <c r="ID2" s="200"/>
      <c r="IE2" s="200"/>
      <c r="IF2" s="200"/>
      <c r="IG2" s="200"/>
      <c r="IH2" s="200"/>
      <c r="II2" s="200"/>
      <c r="IJ2" s="200"/>
      <c r="IK2" s="200"/>
      <c r="IL2" s="200"/>
      <c r="IM2" s="200"/>
      <c r="IN2" s="200"/>
      <c r="IO2" s="200"/>
      <c r="IP2" s="200"/>
      <c r="IQ2" s="200"/>
      <c r="IR2" s="93"/>
    </row>
    <row r="3" spans="1:252" x14ac:dyDescent="0.35">
      <c r="B3" s="2225" t="s">
        <v>860</v>
      </c>
      <c r="C3" s="2225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201"/>
      <c r="Q3" s="201"/>
      <c r="R3" s="201"/>
      <c r="S3" s="201"/>
      <c r="T3" s="201"/>
      <c r="U3" s="201"/>
      <c r="V3" s="201"/>
      <c r="W3" s="201"/>
      <c r="X3" s="201"/>
      <c r="Y3" s="201"/>
      <c r="Z3" s="201"/>
      <c r="AA3" s="201"/>
      <c r="AB3" s="201"/>
      <c r="AC3" s="201"/>
      <c r="AD3" s="201"/>
      <c r="AE3" s="201"/>
      <c r="AF3" s="201"/>
      <c r="AG3" s="201"/>
      <c r="AH3" s="201"/>
      <c r="AI3" s="201"/>
      <c r="AJ3" s="201"/>
      <c r="AK3" s="201"/>
      <c r="AL3" s="201"/>
      <c r="AM3" s="201"/>
      <c r="AN3" s="201"/>
      <c r="AO3" s="201"/>
      <c r="AP3" s="201"/>
      <c r="AQ3" s="201"/>
      <c r="AR3" s="201"/>
      <c r="AS3" s="201"/>
      <c r="AT3" s="201"/>
      <c r="AU3" s="201"/>
      <c r="AV3" s="201"/>
      <c r="AW3" s="201"/>
      <c r="AX3" s="201"/>
      <c r="AY3" s="201"/>
      <c r="AZ3" s="201"/>
      <c r="BA3" s="201"/>
      <c r="BB3" s="201"/>
      <c r="BC3" s="201"/>
      <c r="BD3" s="201"/>
      <c r="BE3" s="201"/>
      <c r="BF3" s="201"/>
      <c r="BG3" s="201"/>
      <c r="BH3" s="201"/>
      <c r="BI3" s="201"/>
      <c r="BJ3" s="201"/>
      <c r="BK3" s="201"/>
      <c r="BL3" s="201"/>
      <c r="BM3" s="201"/>
      <c r="BN3" s="201"/>
      <c r="BO3" s="201"/>
      <c r="BP3" s="201"/>
      <c r="BQ3" s="201"/>
      <c r="BR3" s="201"/>
      <c r="BS3" s="201"/>
      <c r="BT3" s="201"/>
      <c r="BU3" s="201"/>
      <c r="BV3" s="201"/>
      <c r="BW3" s="201"/>
      <c r="BX3" s="201"/>
      <c r="BY3" s="201"/>
      <c r="BZ3" s="201"/>
      <c r="CA3" s="201"/>
      <c r="CB3" s="201"/>
      <c r="CC3" s="201"/>
      <c r="CD3" s="201"/>
      <c r="CE3" s="201"/>
      <c r="CF3" s="201"/>
      <c r="CG3" s="201"/>
      <c r="CH3" s="201"/>
      <c r="CI3" s="201"/>
      <c r="CJ3" s="201"/>
      <c r="CK3" s="201"/>
      <c r="CL3" s="201"/>
      <c r="CM3" s="201"/>
      <c r="CN3" s="201"/>
      <c r="CO3" s="201"/>
      <c r="CP3" s="201"/>
      <c r="CQ3" s="201"/>
      <c r="CR3" s="201"/>
      <c r="CS3" s="201"/>
      <c r="CT3" s="201"/>
      <c r="CU3" s="201"/>
      <c r="CV3" s="201"/>
      <c r="CW3" s="201"/>
      <c r="CX3" s="201"/>
      <c r="CY3" s="201"/>
      <c r="CZ3" s="201"/>
      <c r="DA3" s="201"/>
      <c r="DB3" s="201"/>
      <c r="DC3" s="201"/>
      <c r="DD3" s="201"/>
      <c r="DE3" s="201"/>
      <c r="DF3" s="201"/>
      <c r="DG3" s="201"/>
      <c r="DH3" s="201"/>
      <c r="DI3" s="201"/>
      <c r="DJ3" s="201"/>
      <c r="DK3" s="201"/>
      <c r="DL3" s="201"/>
      <c r="DM3" s="201"/>
      <c r="DN3" s="201"/>
      <c r="DO3" s="201"/>
      <c r="DP3" s="201"/>
      <c r="DQ3" s="201"/>
      <c r="DR3" s="201"/>
      <c r="DS3" s="201"/>
      <c r="DT3" s="201"/>
      <c r="DU3" s="201"/>
      <c r="DV3" s="201"/>
      <c r="DW3" s="201"/>
      <c r="DX3" s="201"/>
      <c r="DY3" s="201"/>
      <c r="DZ3" s="201"/>
      <c r="EA3" s="201"/>
      <c r="EB3" s="201"/>
      <c r="EC3" s="201"/>
      <c r="ED3" s="201"/>
      <c r="EE3" s="201"/>
      <c r="EF3" s="201"/>
      <c r="EG3" s="201"/>
      <c r="EH3" s="201"/>
      <c r="EI3" s="201"/>
      <c r="EJ3" s="201"/>
      <c r="EK3" s="201"/>
      <c r="EL3" s="201"/>
      <c r="EM3" s="201"/>
      <c r="EN3" s="201"/>
      <c r="EO3" s="201"/>
      <c r="EP3" s="201"/>
      <c r="EQ3" s="201"/>
      <c r="ER3" s="201"/>
      <c r="ES3" s="201"/>
      <c r="ET3" s="201"/>
      <c r="EU3" s="201"/>
      <c r="EV3" s="201"/>
      <c r="EW3" s="201"/>
      <c r="EX3" s="201"/>
      <c r="EY3" s="201"/>
      <c r="EZ3" s="201"/>
      <c r="FA3" s="201"/>
      <c r="FB3" s="201"/>
      <c r="FC3" s="201"/>
      <c r="FD3" s="201"/>
      <c r="FE3" s="201"/>
      <c r="FF3" s="201"/>
      <c r="FG3" s="201"/>
      <c r="FH3" s="201"/>
      <c r="FI3" s="201"/>
      <c r="FJ3" s="201"/>
      <c r="FK3" s="201"/>
      <c r="FL3" s="201"/>
      <c r="FM3" s="201"/>
      <c r="FN3" s="201"/>
      <c r="FO3" s="201"/>
      <c r="FP3" s="201"/>
      <c r="FQ3" s="201"/>
      <c r="FR3" s="201"/>
      <c r="FS3" s="201"/>
      <c r="FT3" s="201"/>
      <c r="FU3" s="201"/>
      <c r="FV3" s="201"/>
      <c r="FW3" s="201"/>
      <c r="FX3" s="201"/>
      <c r="FY3" s="201"/>
      <c r="FZ3" s="201"/>
      <c r="GA3" s="201"/>
      <c r="GB3" s="201"/>
      <c r="GC3" s="201"/>
      <c r="GD3" s="201"/>
      <c r="GE3" s="201"/>
      <c r="GF3" s="201"/>
      <c r="GG3" s="201"/>
      <c r="GH3" s="201"/>
      <c r="GI3" s="201"/>
      <c r="GJ3" s="201"/>
      <c r="GK3" s="201"/>
      <c r="GL3" s="201"/>
      <c r="GM3" s="201"/>
      <c r="GN3" s="201"/>
      <c r="GO3" s="201"/>
      <c r="GP3" s="201"/>
      <c r="GQ3" s="201"/>
      <c r="GR3" s="201"/>
      <c r="GS3" s="201"/>
      <c r="GT3" s="201"/>
      <c r="GU3" s="201"/>
      <c r="GV3" s="201"/>
      <c r="GW3" s="201"/>
      <c r="GX3" s="201"/>
      <c r="GY3" s="201"/>
      <c r="GZ3" s="201"/>
      <c r="HA3" s="201"/>
      <c r="HB3" s="201"/>
      <c r="HC3" s="201"/>
      <c r="HD3" s="201"/>
      <c r="HE3" s="201"/>
      <c r="HF3" s="201"/>
      <c r="HG3" s="201"/>
      <c r="HH3" s="201"/>
      <c r="HI3" s="201"/>
      <c r="HJ3" s="201"/>
      <c r="HK3" s="201"/>
      <c r="HL3" s="201"/>
      <c r="HM3" s="201"/>
      <c r="HN3" s="201"/>
      <c r="HO3" s="201"/>
      <c r="HP3" s="201"/>
      <c r="HQ3" s="201"/>
      <c r="HR3" s="201"/>
      <c r="HS3" s="201"/>
      <c r="HT3" s="201"/>
      <c r="HU3" s="201"/>
      <c r="HV3" s="201"/>
      <c r="HW3" s="201"/>
      <c r="HX3" s="201"/>
      <c r="HY3" s="201"/>
      <c r="HZ3" s="201"/>
      <c r="IA3" s="201"/>
      <c r="IB3" s="201"/>
      <c r="IC3" s="201"/>
      <c r="ID3" s="201"/>
      <c r="IE3" s="201"/>
      <c r="IF3" s="201"/>
      <c r="IG3" s="201"/>
      <c r="IH3" s="201"/>
      <c r="II3" s="201"/>
      <c r="IJ3" s="201"/>
      <c r="IK3" s="201"/>
      <c r="IL3" s="201"/>
      <c r="IM3" s="201"/>
      <c r="IN3" s="201"/>
      <c r="IO3" s="201"/>
      <c r="IP3" s="201"/>
      <c r="IQ3" s="201"/>
      <c r="IR3" s="26"/>
    </row>
    <row r="4" spans="1:252" x14ac:dyDescent="0.3">
      <c r="B4" s="2226" t="s">
        <v>922</v>
      </c>
      <c r="C4" s="2226"/>
    </row>
    <row r="5" spans="1:252" x14ac:dyDescent="0.3">
      <c r="B5" s="210"/>
      <c r="C5" s="210"/>
    </row>
    <row r="6" spans="1:252" ht="40.5" customHeight="1" x14ac:dyDescent="0.3">
      <c r="B6" s="2251" t="s">
        <v>622</v>
      </c>
      <c r="C6" s="2251"/>
    </row>
    <row r="7" spans="1:252" ht="17.25" customHeight="1" x14ac:dyDescent="0.3">
      <c r="B7" s="446"/>
      <c r="C7" s="446"/>
    </row>
    <row r="8" spans="1:252" x14ac:dyDescent="0.3">
      <c r="B8" s="212"/>
      <c r="C8" s="242" t="s">
        <v>0</v>
      </c>
    </row>
    <row r="9" spans="1:252" thickBot="1" x14ac:dyDescent="0.35">
      <c r="B9" s="243" t="s">
        <v>1</v>
      </c>
      <c r="C9" s="206" t="s">
        <v>3</v>
      </c>
      <c r="D9" s="211"/>
      <c r="E9" s="211"/>
      <c r="F9" s="211"/>
      <c r="G9" s="211"/>
      <c r="H9" s="211"/>
      <c r="I9" s="211"/>
      <c r="J9" s="211"/>
      <c r="K9" s="211"/>
      <c r="L9" s="211"/>
      <c r="M9" s="211"/>
      <c r="N9" s="211"/>
      <c r="O9" s="211"/>
      <c r="P9" s="211"/>
      <c r="Q9" s="211"/>
      <c r="R9" s="211"/>
      <c r="S9" s="211"/>
      <c r="T9" s="211"/>
      <c r="U9" s="211"/>
      <c r="V9" s="211"/>
      <c r="W9" s="211"/>
      <c r="X9" s="211"/>
      <c r="Y9" s="211"/>
      <c r="Z9" s="211"/>
      <c r="AA9" s="211"/>
      <c r="AB9" s="211"/>
      <c r="AC9" s="211"/>
      <c r="AD9" s="211"/>
      <c r="AE9" s="211"/>
      <c r="AF9" s="211"/>
      <c r="AG9" s="211"/>
      <c r="AH9" s="211"/>
      <c r="AI9" s="211"/>
      <c r="AJ9" s="211"/>
      <c r="AK9" s="211"/>
      <c r="AL9" s="211"/>
      <c r="AM9" s="211"/>
      <c r="AN9" s="211"/>
      <c r="AO9" s="211"/>
      <c r="AP9" s="211"/>
      <c r="AQ9" s="211"/>
      <c r="AR9" s="211"/>
      <c r="AS9" s="211"/>
      <c r="AT9" s="211"/>
      <c r="AU9" s="211"/>
      <c r="AV9" s="211"/>
      <c r="AW9" s="211"/>
      <c r="AX9" s="211"/>
      <c r="AY9" s="211"/>
      <c r="AZ9" s="211"/>
      <c r="BA9" s="211"/>
      <c r="BB9" s="211"/>
      <c r="BC9" s="211"/>
      <c r="BD9" s="211"/>
      <c r="BE9" s="211"/>
      <c r="BF9" s="211"/>
      <c r="BG9" s="211"/>
      <c r="BH9" s="211"/>
      <c r="BI9" s="211"/>
      <c r="BJ9" s="211"/>
      <c r="BK9" s="211"/>
      <c r="BL9" s="211"/>
      <c r="BM9" s="211"/>
      <c r="BN9" s="211"/>
      <c r="BO9" s="211"/>
      <c r="BP9" s="211"/>
      <c r="BQ9" s="211"/>
      <c r="BR9" s="211"/>
      <c r="BS9" s="211"/>
      <c r="BT9" s="211"/>
      <c r="BU9" s="211"/>
      <c r="BV9" s="211"/>
      <c r="BW9" s="211"/>
      <c r="BX9" s="211"/>
      <c r="BY9" s="211"/>
      <c r="BZ9" s="211"/>
      <c r="CA9" s="211"/>
      <c r="CB9" s="211"/>
      <c r="CC9" s="211"/>
      <c r="CD9" s="211"/>
      <c r="CE9" s="211"/>
      <c r="CF9" s="211"/>
      <c r="CG9" s="211"/>
      <c r="CH9" s="211"/>
      <c r="CI9" s="211"/>
      <c r="CJ9" s="211"/>
      <c r="CK9" s="211"/>
      <c r="CL9" s="211"/>
      <c r="CM9" s="211"/>
      <c r="CN9" s="211"/>
      <c r="CO9" s="211"/>
      <c r="CP9" s="211"/>
      <c r="CQ9" s="211"/>
      <c r="CR9" s="211"/>
      <c r="CS9" s="211"/>
      <c r="CT9" s="211"/>
      <c r="CU9" s="211"/>
      <c r="CV9" s="211"/>
      <c r="CW9" s="211"/>
      <c r="CX9" s="211"/>
      <c r="CY9" s="211"/>
      <c r="CZ9" s="211"/>
      <c r="DA9" s="211"/>
      <c r="DB9" s="211"/>
      <c r="DC9" s="211"/>
      <c r="DD9" s="211"/>
      <c r="DE9" s="211"/>
      <c r="DF9" s="211"/>
      <c r="DG9" s="211"/>
      <c r="DH9" s="211"/>
      <c r="DI9" s="211"/>
      <c r="DJ9" s="211"/>
      <c r="DK9" s="211"/>
      <c r="DL9" s="211"/>
      <c r="DM9" s="211"/>
      <c r="DN9" s="211"/>
      <c r="DO9" s="211"/>
      <c r="DP9" s="211"/>
      <c r="DQ9" s="211"/>
      <c r="DR9" s="211"/>
      <c r="DS9" s="211"/>
      <c r="DT9" s="211"/>
      <c r="DU9" s="211"/>
      <c r="DV9" s="211"/>
      <c r="DW9" s="211"/>
      <c r="DX9" s="211"/>
      <c r="DY9" s="211"/>
      <c r="DZ9" s="211"/>
      <c r="EA9" s="211"/>
      <c r="EB9" s="211"/>
      <c r="EC9" s="211"/>
      <c r="ED9" s="211"/>
      <c r="EE9" s="211"/>
      <c r="EF9" s="211"/>
      <c r="EG9" s="211"/>
      <c r="EH9" s="211"/>
      <c r="EI9" s="211"/>
      <c r="EJ9" s="211"/>
      <c r="EK9" s="211"/>
      <c r="EL9" s="211"/>
      <c r="EM9" s="211"/>
      <c r="EN9" s="211"/>
      <c r="EO9" s="211"/>
      <c r="EP9" s="211"/>
      <c r="EQ9" s="211"/>
      <c r="ER9" s="211"/>
      <c r="ES9" s="211"/>
      <c r="ET9" s="211"/>
      <c r="EU9" s="211"/>
      <c r="EV9" s="211"/>
      <c r="EW9" s="211"/>
      <c r="EX9" s="211"/>
      <c r="EY9" s="211"/>
      <c r="EZ9" s="211"/>
      <c r="FA9" s="211"/>
      <c r="FB9" s="211"/>
      <c r="FC9" s="211"/>
      <c r="FD9" s="211"/>
      <c r="FE9" s="211"/>
      <c r="FF9" s="211"/>
      <c r="FG9" s="211"/>
      <c r="FH9" s="211"/>
      <c r="FI9" s="211"/>
      <c r="FJ9" s="211"/>
      <c r="FK9" s="211"/>
      <c r="FL9" s="211"/>
      <c r="FM9" s="211"/>
      <c r="FN9" s="211"/>
      <c r="FO9" s="211"/>
      <c r="FP9" s="211"/>
      <c r="FQ9" s="211"/>
      <c r="FR9" s="211"/>
      <c r="FS9" s="211"/>
      <c r="FT9" s="211"/>
      <c r="FU9" s="211"/>
      <c r="FV9" s="211"/>
      <c r="FW9" s="211"/>
      <c r="FX9" s="211"/>
      <c r="FY9" s="211"/>
      <c r="FZ9" s="211"/>
      <c r="GA9" s="211"/>
      <c r="GB9" s="211"/>
      <c r="GC9" s="211"/>
      <c r="GD9" s="211"/>
      <c r="GE9" s="211"/>
      <c r="GF9" s="211"/>
      <c r="GG9" s="211"/>
      <c r="GH9" s="211"/>
      <c r="GI9" s="211"/>
      <c r="GJ9" s="211"/>
      <c r="GK9" s="211"/>
      <c r="GL9" s="211"/>
      <c r="GM9" s="211"/>
      <c r="GN9" s="211"/>
      <c r="GO9" s="211"/>
      <c r="GP9" s="211"/>
      <c r="GQ9" s="211"/>
      <c r="GR9" s="211"/>
      <c r="GS9" s="211"/>
      <c r="GT9" s="211"/>
      <c r="GU9" s="211"/>
      <c r="GV9" s="211"/>
      <c r="GW9" s="211"/>
      <c r="GX9" s="211"/>
      <c r="GY9" s="211"/>
      <c r="GZ9" s="211"/>
      <c r="HA9" s="211"/>
      <c r="HB9" s="211"/>
      <c r="HC9" s="211"/>
      <c r="HD9" s="211"/>
      <c r="HE9" s="211"/>
      <c r="HF9" s="211"/>
      <c r="HG9" s="211"/>
      <c r="HH9" s="211"/>
      <c r="HI9" s="211"/>
      <c r="HJ9" s="211"/>
      <c r="HK9" s="211"/>
      <c r="HL9" s="211"/>
      <c r="HM9" s="211"/>
      <c r="HN9" s="211"/>
      <c r="HO9" s="211"/>
      <c r="HP9" s="211"/>
      <c r="HQ9" s="211"/>
      <c r="HR9" s="211"/>
      <c r="HS9" s="211"/>
      <c r="HT9" s="211"/>
      <c r="HU9" s="211"/>
      <c r="HV9" s="211"/>
      <c r="HW9" s="211"/>
      <c r="HX9" s="211"/>
      <c r="HY9" s="211"/>
      <c r="HZ9" s="211"/>
      <c r="IA9" s="211"/>
      <c r="IB9" s="211"/>
      <c r="IC9" s="211"/>
      <c r="ID9" s="211"/>
      <c r="IE9" s="211"/>
      <c r="IF9" s="211"/>
      <c r="IG9" s="211"/>
      <c r="IH9" s="211"/>
      <c r="II9" s="211"/>
      <c r="IJ9" s="211"/>
      <c r="IK9" s="211"/>
      <c r="IL9" s="211"/>
      <c r="IM9" s="211"/>
      <c r="IN9" s="211"/>
      <c r="IO9" s="211"/>
      <c r="IP9" s="211"/>
      <c r="IQ9" s="211"/>
      <c r="IR9" s="26"/>
    </row>
    <row r="10" spans="1:252" ht="35.25" customHeight="1" thickBot="1" x14ac:dyDescent="0.35">
      <c r="A10" s="203"/>
      <c r="B10" s="244" t="s">
        <v>861</v>
      </c>
      <c r="C10" s="213" t="s">
        <v>620</v>
      </c>
    </row>
    <row r="11" spans="1:252" ht="36.75" customHeight="1" x14ac:dyDescent="0.3">
      <c r="A11" s="203">
        <v>1</v>
      </c>
      <c r="B11" s="439" t="s">
        <v>862</v>
      </c>
      <c r="C11" s="448">
        <v>0</v>
      </c>
      <c r="D11" s="201"/>
      <c r="E11" s="201"/>
      <c r="F11" s="201"/>
      <c r="G11" s="201"/>
      <c r="H11" s="201"/>
      <c r="I11" s="201"/>
      <c r="J11" s="201"/>
      <c r="K11" s="201"/>
      <c r="L11" s="201"/>
      <c r="M11" s="201"/>
      <c r="N11" s="201"/>
      <c r="O11" s="201"/>
      <c r="P11" s="201"/>
      <c r="Q11" s="201"/>
      <c r="R11" s="201"/>
      <c r="S11" s="201"/>
      <c r="T11" s="201"/>
      <c r="U11" s="201"/>
      <c r="V11" s="201"/>
      <c r="W11" s="201"/>
      <c r="X11" s="201"/>
      <c r="Y11" s="201"/>
      <c r="Z11" s="201"/>
      <c r="AA11" s="201"/>
      <c r="AB11" s="201"/>
      <c r="AC11" s="201"/>
      <c r="AD11" s="201"/>
      <c r="AE11" s="201"/>
      <c r="AF11" s="201"/>
      <c r="AG11" s="201"/>
      <c r="AH11" s="201"/>
      <c r="AI11" s="201"/>
      <c r="AJ11" s="201"/>
      <c r="AK11" s="201"/>
      <c r="AL11" s="201"/>
      <c r="AM11" s="201"/>
      <c r="AN11" s="201"/>
      <c r="AO11" s="201"/>
      <c r="AP11" s="201"/>
      <c r="AQ11" s="201"/>
      <c r="AR11" s="201"/>
      <c r="AS11" s="201"/>
      <c r="AT11" s="201"/>
      <c r="AU11" s="201"/>
      <c r="AV11" s="201"/>
      <c r="AW11" s="201"/>
      <c r="AX11" s="201"/>
      <c r="AY11" s="201"/>
      <c r="AZ11" s="201"/>
      <c r="BA11" s="201"/>
      <c r="BB11" s="201"/>
      <c r="BC11" s="201"/>
      <c r="BD11" s="201"/>
      <c r="BE11" s="201"/>
      <c r="BF11" s="201"/>
      <c r="BG11" s="201"/>
      <c r="BH11" s="201"/>
      <c r="BI11" s="201"/>
      <c r="BJ11" s="201"/>
      <c r="BK11" s="201"/>
      <c r="BL11" s="201"/>
      <c r="BM11" s="201"/>
      <c r="BN11" s="201"/>
      <c r="BO11" s="201"/>
      <c r="BP11" s="201"/>
      <c r="BQ11" s="201"/>
      <c r="BR11" s="201"/>
      <c r="BS11" s="201"/>
      <c r="BT11" s="201"/>
      <c r="BU11" s="201"/>
      <c r="BV11" s="201"/>
      <c r="BW11" s="201"/>
      <c r="BX11" s="201"/>
      <c r="BY11" s="201"/>
      <c r="BZ11" s="201"/>
      <c r="CA11" s="201"/>
      <c r="CB11" s="201"/>
      <c r="CC11" s="201"/>
      <c r="CD11" s="201"/>
      <c r="CE11" s="201"/>
      <c r="CF11" s="201"/>
      <c r="CG11" s="201"/>
      <c r="CH11" s="201"/>
      <c r="CI11" s="201"/>
      <c r="CJ11" s="201"/>
      <c r="CK11" s="201"/>
      <c r="CL11" s="201"/>
      <c r="CM11" s="201"/>
      <c r="CN11" s="201"/>
      <c r="CO11" s="201"/>
      <c r="CP11" s="201"/>
      <c r="CQ11" s="201"/>
      <c r="CR11" s="201"/>
      <c r="CS11" s="201"/>
      <c r="CT11" s="201"/>
      <c r="CU11" s="201"/>
      <c r="CV11" s="201"/>
      <c r="CW11" s="201"/>
      <c r="CX11" s="201"/>
      <c r="CY11" s="201"/>
      <c r="CZ11" s="201"/>
      <c r="DA11" s="201"/>
      <c r="DB11" s="201"/>
      <c r="DC11" s="201"/>
      <c r="DD11" s="201"/>
      <c r="DE11" s="201"/>
      <c r="DF11" s="201"/>
      <c r="DG11" s="201"/>
      <c r="DH11" s="201"/>
      <c r="DI11" s="201"/>
      <c r="DJ11" s="201"/>
      <c r="DK11" s="201"/>
      <c r="DL11" s="201"/>
      <c r="DM11" s="201"/>
      <c r="DN11" s="201"/>
      <c r="DO11" s="201"/>
      <c r="DP11" s="201"/>
      <c r="DQ11" s="201"/>
      <c r="DR11" s="201"/>
      <c r="DS11" s="201"/>
      <c r="DT11" s="201"/>
      <c r="DU11" s="201"/>
      <c r="DV11" s="201"/>
      <c r="DW11" s="201"/>
      <c r="DX11" s="201"/>
      <c r="DY11" s="201"/>
      <c r="DZ11" s="201"/>
      <c r="EA11" s="201"/>
      <c r="EB11" s="201"/>
      <c r="EC11" s="201"/>
      <c r="ED11" s="201"/>
      <c r="EE11" s="201"/>
      <c r="EF11" s="201"/>
      <c r="EG11" s="201"/>
      <c r="EH11" s="201"/>
      <c r="EI11" s="201"/>
      <c r="EJ11" s="201"/>
      <c r="EK11" s="201"/>
      <c r="EL11" s="201"/>
      <c r="EM11" s="201"/>
      <c r="EN11" s="201"/>
      <c r="EO11" s="201"/>
      <c r="EP11" s="201"/>
      <c r="EQ11" s="201"/>
      <c r="ER11" s="201"/>
      <c r="ES11" s="201"/>
      <c r="ET11" s="201"/>
      <c r="EU11" s="201"/>
      <c r="EV11" s="201"/>
      <c r="EW11" s="201"/>
      <c r="EX11" s="201"/>
      <c r="EY11" s="201"/>
      <c r="EZ11" s="201"/>
      <c r="FA11" s="201"/>
      <c r="FB11" s="201"/>
      <c r="FC11" s="201"/>
      <c r="FD11" s="201"/>
      <c r="FE11" s="201"/>
      <c r="FF11" s="201"/>
      <c r="FG11" s="201"/>
      <c r="FH11" s="201"/>
      <c r="FI11" s="201"/>
      <c r="FJ11" s="201"/>
      <c r="FK11" s="201"/>
      <c r="FL11" s="201"/>
      <c r="FM11" s="201"/>
      <c r="FN11" s="201"/>
      <c r="FO11" s="201"/>
      <c r="FP11" s="201"/>
      <c r="FQ11" s="201"/>
      <c r="FR11" s="201"/>
      <c r="FS11" s="201"/>
      <c r="FT11" s="201"/>
      <c r="FU11" s="201"/>
      <c r="FV11" s="201"/>
      <c r="FW11" s="201"/>
      <c r="FX11" s="201"/>
      <c r="FY11" s="201"/>
      <c r="FZ11" s="201"/>
      <c r="GA11" s="201"/>
      <c r="GB11" s="201"/>
      <c r="GC11" s="201"/>
      <c r="GD11" s="201"/>
      <c r="GE11" s="201"/>
      <c r="GF11" s="201"/>
      <c r="GG11" s="201"/>
      <c r="GH11" s="201"/>
      <c r="GI11" s="201"/>
      <c r="GJ11" s="201"/>
      <c r="GK11" s="201"/>
      <c r="GL11" s="201"/>
      <c r="GM11" s="201"/>
      <c r="GN11" s="201"/>
      <c r="GO11" s="201"/>
      <c r="GP11" s="201"/>
      <c r="GQ11" s="201"/>
      <c r="GR11" s="201"/>
      <c r="GS11" s="201"/>
      <c r="GT11" s="201"/>
      <c r="GU11" s="201"/>
      <c r="GV11" s="201"/>
      <c r="GW11" s="201"/>
      <c r="GX11" s="201"/>
      <c r="GY11" s="201"/>
      <c r="GZ11" s="201"/>
      <c r="HA11" s="201"/>
      <c r="HB11" s="201"/>
      <c r="HC11" s="201"/>
      <c r="HD11" s="201"/>
      <c r="HE11" s="201"/>
      <c r="HF11" s="201"/>
      <c r="HG11" s="201"/>
      <c r="HH11" s="201"/>
      <c r="HI11" s="201"/>
      <c r="HJ11" s="201"/>
      <c r="HK11" s="201"/>
      <c r="HL11" s="201"/>
      <c r="HM11" s="201"/>
      <c r="HN11" s="201"/>
      <c r="HO11" s="201"/>
      <c r="HP11" s="201"/>
      <c r="HQ11" s="201"/>
      <c r="HR11" s="201"/>
      <c r="HS11" s="201"/>
      <c r="HT11" s="201"/>
      <c r="HU11" s="201"/>
      <c r="HV11" s="201"/>
      <c r="HW11" s="201"/>
      <c r="HX11" s="201"/>
      <c r="HY11" s="201"/>
      <c r="HZ11" s="201"/>
      <c r="IA11" s="201"/>
      <c r="IB11" s="201"/>
      <c r="IC11" s="201"/>
      <c r="ID11" s="201"/>
      <c r="IE11" s="201"/>
      <c r="IF11" s="201"/>
      <c r="IG11" s="201"/>
      <c r="IH11" s="201"/>
      <c r="II11" s="201"/>
      <c r="IJ11" s="201"/>
      <c r="IK11" s="201"/>
      <c r="IL11" s="201"/>
      <c r="IM11" s="201"/>
      <c r="IN11" s="201"/>
      <c r="IO11" s="201"/>
      <c r="IP11" s="201"/>
      <c r="IQ11" s="201"/>
      <c r="IR11" s="26"/>
    </row>
    <row r="12" spans="1:252" ht="36.75" customHeight="1" thickBot="1" x14ac:dyDescent="0.35">
      <c r="A12" s="203">
        <v>2</v>
      </c>
      <c r="B12" s="440" t="s">
        <v>863</v>
      </c>
      <c r="C12" s="449">
        <v>0</v>
      </c>
      <c r="D12" s="201"/>
      <c r="E12" s="201"/>
      <c r="F12" s="201"/>
      <c r="G12" s="201"/>
      <c r="H12" s="201"/>
      <c r="I12" s="201"/>
      <c r="J12" s="201"/>
      <c r="K12" s="201"/>
      <c r="L12" s="201"/>
      <c r="M12" s="201"/>
      <c r="N12" s="201" t="s">
        <v>254</v>
      </c>
      <c r="O12" s="201"/>
      <c r="P12" s="201"/>
      <c r="Q12" s="201"/>
      <c r="R12" s="201"/>
      <c r="S12" s="201"/>
      <c r="T12" s="201"/>
      <c r="U12" s="201"/>
      <c r="V12" s="201"/>
      <c r="W12" s="201"/>
      <c r="X12" s="201"/>
      <c r="Y12" s="201"/>
      <c r="Z12" s="201"/>
      <c r="AA12" s="201"/>
      <c r="AB12" s="201"/>
      <c r="AC12" s="201"/>
      <c r="AD12" s="201"/>
      <c r="AE12" s="201"/>
      <c r="AF12" s="201"/>
      <c r="AG12" s="201"/>
      <c r="AH12" s="201"/>
      <c r="AI12" s="201"/>
      <c r="AJ12" s="201"/>
      <c r="AK12" s="201"/>
      <c r="AL12" s="201"/>
      <c r="AM12" s="201"/>
      <c r="AN12" s="201"/>
      <c r="AO12" s="201"/>
      <c r="AP12" s="201"/>
      <c r="AQ12" s="201"/>
      <c r="AR12" s="201"/>
      <c r="AS12" s="201"/>
      <c r="AT12" s="201"/>
      <c r="AU12" s="201"/>
      <c r="AV12" s="201"/>
      <c r="AW12" s="201"/>
      <c r="AX12" s="201"/>
      <c r="AY12" s="201"/>
      <c r="AZ12" s="201"/>
      <c r="BA12" s="201"/>
      <c r="BB12" s="201"/>
      <c r="BC12" s="201"/>
      <c r="BD12" s="201"/>
      <c r="BE12" s="201"/>
      <c r="BF12" s="201"/>
      <c r="BG12" s="201"/>
      <c r="BH12" s="201"/>
      <c r="BI12" s="201"/>
      <c r="BJ12" s="201"/>
      <c r="BK12" s="201"/>
      <c r="BL12" s="201"/>
      <c r="BM12" s="201"/>
      <c r="BN12" s="201"/>
      <c r="BO12" s="201"/>
      <c r="BP12" s="201"/>
      <c r="BQ12" s="201"/>
      <c r="BR12" s="201"/>
      <c r="BS12" s="201"/>
      <c r="BT12" s="201"/>
      <c r="BU12" s="201"/>
      <c r="BV12" s="201"/>
      <c r="BW12" s="201"/>
      <c r="BX12" s="201"/>
      <c r="BY12" s="201"/>
      <c r="BZ12" s="201"/>
      <c r="CA12" s="201"/>
      <c r="CB12" s="201"/>
      <c r="CC12" s="201"/>
      <c r="CD12" s="201"/>
      <c r="CE12" s="201"/>
      <c r="CF12" s="201"/>
      <c r="CG12" s="201"/>
      <c r="CH12" s="201"/>
      <c r="CI12" s="201"/>
      <c r="CJ12" s="201"/>
      <c r="CK12" s="201"/>
      <c r="CL12" s="201"/>
      <c r="CM12" s="201"/>
      <c r="CN12" s="201"/>
      <c r="CO12" s="201"/>
      <c r="CP12" s="201"/>
      <c r="CQ12" s="201"/>
      <c r="CR12" s="201"/>
      <c r="CS12" s="201"/>
      <c r="CT12" s="201"/>
      <c r="CU12" s="201"/>
      <c r="CV12" s="201"/>
      <c r="CW12" s="201"/>
      <c r="CX12" s="201"/>
      <c r="CY12" s="201"/>
      <c r="CZ12" s="201"/>
      <c r="DA12" s="201"/>
      <c r="DB12" s="201"/>
      <c r="DC12" s="201"/>
      <c r="DD12" s="201"/>
      <c r="DE12" s="201"/>
      <c r="DF12" s="201"/>
      <c r="DG12" s="201"/>
      <c r="DH12" s="201"/>
      <c r="DI12" s="201"/>
      <c r="DJ12" s="201"/>
      <c r="DK12" s="201"/>
      <c r="DL12" s="201"/>
      <c r="DM12" s="201"/>
      <c r="DN12" s="201"/>
      <c r="DO12" s="201"/>
      <c r="DP12" s="201"/>
      <c r="DQ12" s="201"/>
      <c r="DR12" s="201"/>
      <c r="DS12" s="201"/>
      <c r="DT12" s="201"/>
      <c r="DU12" s="201"/>
      <c r="DV12" s="201"/>
      <c r="DW12" s="201"/>
      <c r="DX12" s="201"/>
      <c r="DY12" s="201"/>
      <c r="DZ12" s="201"/>
      <c r="EA12" s="201"/>
      <c r="EB12" s="201"/>
      <c r="EC12" s="201"/>
      <c r="ED12" s="201"/>
      <c r="EE12" s="201"/>
      <c r="EF12" s="201"/>
      <c r="EG12" s="201"/>
      <c r="EH12" s="201"/>
      <c r="EI12" s="201"/>
      <c r="EJ12" s="201"/>
      <c r="EK12" s="201"/>
      <c r="EL12" s="201"/>
      <c r="EM12" s="201"/>
      <c r="EN12" s="201"/>
      <c r="EO12" s="201"/>
      <c r="EP12" s="201"/>
      <c r="EQ12" s="201"/>
      <c r="ER12" s="201"/>
      <c r="ES12" s="201"/>
      <c r="ET12" s="201"/>
      <c r="EU12" s="201"/>
      <c r="EV12" s="201"/>
      <c r="EW12" s="201"/>
      <c r="EX12" s="201"/>
      <c r="EY12" s="201"/>
      <c r="EZ12" s="201"/>
      <c r="FA12" s="201"/>
      <c r="FB12" s="201"/>
      <c r="FC12" s="201"/>
      <c r="FD12" s="201"/>
      <c r="FE12" s="201"/>
      <c r="FF12" s="201"/>
      <c r="FG12" s="201"/>
      <c r="FH12" s="201"/>
      <c r="FI12" s="201"/>
      <c r="FJ12" s="201"/>
      <c r="FK12" s="201"/>
      <c r="FL12" s="201"/>
      <c r="FM12" s="201"/>
      <c r="FN12" s="201"/>
      <c r="FO12" s="201"/>
      <c r="FP12" s="201"/>
      <c r="FQ12" s="201"/>
      <c r="FR12" s="201"/>
      <c r="FS12" s="201"/>
      <c r="FT12" s="201"/>
      <c r="FU12" s="201"/>
      <c r="FV12" s="201"/>
      <c r="FW12" s="201"/>
      <c r="FX12" s="201"/>
      <c r="FY12" s="201"/>
      <c r="FZ12" s="201"/>
      <c r="GA12" s="201"/>
      <c r="GB12" s="201"/>
      <c r="GC12" s="201"/>
      <c r="GD12" s="201"/>
      <c r="GE12" s="201"/>
      <c r="GF12" s="201"/>
      <c r="GG12" s="201"/>
      <c r="GH12" s="201"/>
      <c r="GI12" s="201"/>
      <c r="GJ12" s="201"/>
      <c r="GK12" s="201"/>
      <c r="GL12" s="201"/>
      <c r="GM12" s="201"/>
      <c r="GN12" s="201"/>
      <c r="GO12" s="201"/>
      <c r="GP12" s="201"/>
      <c r="GQ12" s="201"/>
      <c r="GR12" s="201"/>
      <c r="GS12" s="201"/>
      <c r="GT12" s="201"/>
      <c r="GU12" s="201"/>
      <c r="GV12" s="201"/>
      <c r="GW12" s="201"/>
      <c r="GX12" s="201"/>
      <c r="GY12" s="201"/>
      <c r="GZ12" s="201"/>
      <c r="HA12" s="201"/>
      <c r="HB12" s="201"/>
      <c r="HC12" s="201"/>
      <c r="HD12" s="201"/>
      <c r="HE12" s="201"/>
      <c r="HF12" s="201"/>
      <c r="HG12" s="201"/>
      <c r="HH12" s="201"/>
      <c r="HI12" s="201"/>
      <c r="HJ12" s="201"/>
      <c r="HK12" s="201"/>
      <c r="HL12" s="201"/>
      <c r="HM12" s="201"/>
      <c r="HN12" s="201"/>
      <c r="HO12" s="201"/>
      <c r="HP12" s="201"/>
      <c r="HQ12" s="201"/>
      <c r="HR12" s="201"/>
      <c r="HS12" s="201"/>
      <c r="HT12" s="201"/>
      <c r="HU12" s="201"/>
      <c r="HV12" s="201"/>
      <c r="HW12" s="201"/>
      <c r="HX12" s="201"/>
      <c r="HY12" s="201"/>
      <c r="HZ12" s="201"/>
      <c r="IA12" s="201"/>
      <c r="IB12" s="201"/>
      <c r="IC12" s="201"/>
      <c r="ID12" s="201"/>
      <c r="IE12" s="201"/>
      <c r="IF12" s="201"/>
      <c r="IG12" s="201"/>
      <c r="IH12" s="201"/>
      <c r="II12" s="201"/>
      <c r="IJ12" s="201"/>
      <c r="IK12" s="201"/>
      <c r="IL12" s="201"/>
      <c r="IM12" s="201"/>
      <c r="IN12" s="201"/>
      <c r="IO12" s="201"/>
      <c r="IP12" s="201"/>
      <c r="IQ12" s="201"/>
      <c r="IR12" s="26"/>
    </row>
    <row r="13" spans="1:252" ht="45" customHeight="1" thickBot="1" x14ac:dyDescent="0.35">
      <c r="A13" s="203">
        <v>3</v>
      </c>
      <c r="B13" s="447" t="s">
        <v>945</v>
      </c>
      <c r="C13" s="450">
        <f>SUM(C11:C12)</f>
        <v>0</v>
      </c>
      <c r="D13" s="201"/>
      <c r="E13" s="201"/>
      <c r="F13" s="201"/>
      <c r="G13" s="201"/>
      <c r="H13" s="201"/>
      <c r="I13" s="201"/>
      <c r="J13" s="201"/>
      <c r="K13" s="201"/>
      <c r="L13" s="201"/>
      <c r="M13" s="201"/>
      <c r="N13" s="201"/>
      <c r="O13" s="201"/>
      <c r="P13" s="201"/>
      <c r="Q13" s="201"/>
      <c r="R13" s="201"/>
      <c r="S13" s="201"/>
      <c r="T13" s="201"/>
      <c r="U13" s="201"/>
      <c r="V13" s="201"/>
      <c r="W13" s="201"/>
      <c r="X13" s="201"/>
      <c r="Y13" s="201"/>
      <c r="Z13" s="201"/>
      <c r="AA13" s="201"/>
      <c r="AB13" s="201"/>
      <c r="AC13" s="201"/>
      <c r="AD13" s="201"/>
      <c r="AE13" s="201"/>
      <c r="AF13" s="201"/>
      <c r="AG13" s="201"/>
      <c r="AH13" s="201"/>
      <c r="AI13" s="201"/>
      <c r="AJ13" s="201"/>
      <c r="AK13" s="201"/>
      <c r="AL13" s="201"/>
      <c r="AM13" s="201"/>
      <c r="AN13" s="201"/>
      <c r="AO13" s="201"/>
      <c r="AP13" s="201"/>
      <c r="AQ13" s="201"/>
      <c r="AR13" s="201"/>
      <c r="AS13" s="201"/>
      <c r="AT13" s="201"/>
      <c r="AU13" s="201"/>
      <c r="AV13" s="201"/>
      <c r="AW13" s="201"/>
      <c r="AX13" s="201"/>
      <c r="AY13" s="201"/>
      <c r="AZ13" s="201"/>
      <c r="BA13" s="201"/>
      <c r="BB13" s="201"/>
      <c r="BC13" s="201"/>
      <c r="BD13" s="201"/>
      <c r="BE13" s="201"/>
      <c r="BF13" s="201"/>
      <c r="BG13" s="201"/>
      <c r="BH13" s="201"/>
      <c r="BI13" s="201"/>
      <c r="BJ13" s="201"/>
      <c r="BK13" s="201"/>
      <c r="BL13" s="201"/>
      <c r="BM13" s="201"/>
      <c r="BN13" s="201"/>
      <c r="BO13" s="201"/>
      <c r="BP13" s="201"/>
      <c r="BQ13" s="201"/>
      <c r="BR13" s="201"/>
      <c r="BS13" s="201"/>
      <c r="BT13" s="201"/>
      <c r="BU13" s="201"/>
      <c r="BV13" s="201"/>
      <c r="BW13" s="201"/>
      <c r="BX13" s="201"/>
      <c r="BY13" s="201"/>
      <c r="BZ13" s="201"/>
      <c r="CA13" s="201"/>
      <c r="CB13" s="201"/>
      <c r="CC13" s="201"/>
      <c r="CD13" s="201"/>
      <c r="CE13" s="201"/>
      <c r="CF13" s="201"/>
      <c r="CG13" s="201"/>
      <c r="CH13" s="201"/>
      <c r="CI13" s="201"/>
      <c r="CJ13" s="201"/>
      <c r="CK13" s="201"/>
      <c r="CL13" s="201"/>
      <c r="CM13" s="201"/>
      <c r="CN13" s="201"/>
      <c r="CO13" s="201"/>
      <c r="CP13" s="201"/>
      <c r="CQ13" s="201"/>
      <c r="CR13" s="201"/>
      <c r="CS13" s="201"/>
      <c r="CT13" s="201"/>
      <c r="CU13" s="201"/>
      <c r="CV13" s="201"/>
      <c r="CW13" s="201"/>
      <c r="CX13" s="201"/>
      <c r="CY13" s="201"/>
      <c r="CZ13" s="201"/>
      <c r="DA13" s="201"/>
      <c r="DB13" s="201"/>
      <c r="DC13" s="201"/>
      <c r="DD13" s="201"/>
      <c r="DE13" s="201"/>
      <c r="DF13" s="201"/>
      <c r="DG13" s="201"/>
      <c r="DH13" s="201"/>
      <c r="DI13" s="201"/>
      <c r="DJ13" s="201"/>
      <c r="DK13" s="201"/>
      <c r="DL13" s="201"/>
      <c r="DM13" s="201"/>
      <c r="DN13" s="201"/>
      <c r="DO13" s="201"/>
      <c r="DP13" s="201"/>
      <c r="DQ13" s="201"/>
      <c r="DR13" s="201"/>
      <c r="DS13" s="201"/>
      <c r="DT13" s="201"/>
      <c r="DU13" s="201"/>
      <c r="DV13" s="201"/>
      <c r="DW13" s="201"/>
      <c r="DX13" s="201"/>
      <c r="DY13" s="201"/>
      <c r="DZ13" s="201"/>
      <c r="EA13" s="201"/>
      <c r="EB13" s="201"/>
      <c r="EC13" s="201"/>
      <c r="ED13" s="201"/>
      <c r="EE13" s="201"/>
      <c r="EF13" s="201"/>
      <c r="EG13" s="201"/>
      <c r="EH13" s="201"/>
      <c r="EI13" s="201"/>
      <c r="EJ13" s="201"/>
      <c r="EK13" s="201"/>
      <c r="EL13" s="201"/>
      <c r="EM13" s="201"/>
      <c r="EN13" s="201"/>
      <c r="EO13" s="201"/>
      <c r="EP13" s="201"/>
      <c r="EQ13" s="201"/>
      <c r="ER13" s="201"/>
      <c r="ES13" s="201"/>
      <c r="ET13" s="201"/>
      <c r="EU13" s="201"/>
      <c r="EV13" s="201"/>
      <c r="EW13" s="201"/>
      <c r="EX13" s="201"/>
      <c r="EY13" s="201"/>
      <c r="EZ13" s="201"/>
      <c r="FA13" s="201"/>
      <c r="FB13" s="201"/>
      <c r="FC13" s="201"/>
      <c r="FD13" s="201"/>
      <c r="FE13" s="201"/>
      <c r="FF13" s="201"/>
      <c r="FG13" s="201"/>
      <c r="FH13" s="201"/>
      <c r="FI13" s="201"/>
      <c r="FJ13" s="201"/>
      <c r="FK13" s="201"/>
      <c r="FL13" s="201"/>
      <c r="FM13" s="201"/>
      <c r="FN13" s="201"/>
      <c r="FO13" s="201"/>
      <c r="FP13" s="201"/>
      <c r="FQ13" s="201"/>
      <c r="FR13" s="201"/>
      <c r="FS13" s="201"/>
      <c r="FT13" s="201"/>
      <c r="FU13" s="201"/>
      <c r="FV13" s="201"/>
      <c r="FW13" s="201"/>
      <c r="FX13" s="201"/>
      <c r="FY13" s="201"/>
      <c r="FZ13" s="201"/>
      <c r="GA13" s="201"/>
      <c r="GB13" s="201"/>
      <c r="GC13" s="201"/>
      <c r="GD13" s="201"/>
      <c r="GE13" s="201"/>
      <c r="GF13" s="201"/>
      <c r="GG13" s="201"/>
      <c r="GH13" s="201"/>
      <c r="GI13" s="201"/>
      <c r="GJ13" s="201"/>
      <c r="GK13" s="201"/>
      <c r="GL13" s="201"/>
      <c r="GM13" s="201"/>
      <c r="GN13" s="201"/>
      <c r="GO13" s="201"/>
      <c r="GP13" s="201"/>
      <c r="GQ13" s="201"/>
      <c r="GR13" s="201"/>
      <c r="GS13" s="201"/>
      <c r="GT13" s="201"/>
      <c r="GU13" s="201"/>
      <c r="GV13" s="201"/>
      <c r="GW13" s="201"/>
      <c r="GX13" s="201"/>
      <c r="GY13" s="201"/>
      <c r="GZ13" s="201"/>
      <c r="HA13" s="201"/>
      <c r="HB13" s="201"/>
      <c r="HC13" s="201"/>
      <c r="HD13" s="201"/>
      <c r="HE13" s="201"/>
      <c r="HF13" s="201"/>
      <c r="HG13" s="201"/>
      <c r="HH13" s="201"/>
      <c r="HI13" s="201"/>
      <c r="HJ13" s="201"/>
      <c r="HK13" s="201"/>
      <c r="HL13" s="201"/>
      <c r="HM13" s="201"/>
      <c r="HN13" s="201"/>
      <c r="HO13" s="201"/>
      <c r="HP13" s="201"/>
      <c r="HQ13" s="201"/>
      <c r="HR13" s="201"/>
      <c r="HS13" s="201"/>
      <c r="HT13" s="201"/>
      <c r="HU13" s="201"/>
      <c r="HV13" s="201"/>
      <c r="HW13" s="201"/>
      <c r="HX13" s="201"/>
      <c r="HY13" s="201"/>
      <c r="HZ13" s="201"/>
      <c r="IA13" s="201"/>
      <c r="IB13" s="201"/>
      <c r="IC13" s="201"/>
      <c r="ID13" s="201"/>
      <c r="IE13" s="201"/>
      <c r="IF13" s="201"/>
      <c r="IG13" s="201"/>
      <c r="IH13" s="201"/>
      <c r="II13" s="201"/>
      <c r="IJ13" s="201"/>
      <c r="IK13" s="201"/>
      <c r="IL13" s="201"/>
      <c r="IM13" s="201"/>
      <c r="IN13" s="201"/>
      <c r="IO13" s="201"/>
      <c r="IP13" s="201"/>
      <c r="IQ13" s="201"/>
      <c r="IR13" s="26"/>
    </row>
  </sheetData>
  <mergeCells count="3">
    <mergeCell ref="B3:C3"/>
    <mergeCell ref="B4:C4"/>
    <mergeCell ref="B6:C6"/>
  </mergeCells>
  <printOptions horizontalCentered="1"/>
  <pageMargins left="0.19685039370078741" right="0.19685039370078741" top="0.59055118110236227" bottom="0.59055118110236227" header="0.51181102362204722" footer="0.51181102362204722"/>
  <pageSetup paperSize="9" fitToHeight="0" orientation="portrait" r:id="rId1"/>
  <headerFooter>
    <oddFooter>&amp;C-&amp;P -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7"/>
  <sheetViews>
    <sheetView view="pageBreakPreview" topLeftCell="A27" zoomScale="75" zoomScaleNormal="100" zoomScaleSheetLayoutView="75" workbookViewId="0">
      <selection activeCell="D40" sqref="D40"/>
    </sheetView>
  </sheetViews>
  <sheetFormatPr defaultColWidth="10.42578125" defaultRowHeight="16.5" x14ac:dyDescent="0.3"/>
  <cols>
    <col min="1" max="1" width="3.7109375" style="343" customWidth="1"/>
    <col min="2" max="3" width="5.7109375" style="128" customWidth="1"/>
    <col min="4" max="4" width="51.7109375" style="369" customWidth="1"/>
    <col min="5" max="5" width="19.7109375" style="129" customWidth="1"/>
    <col min="6" max="6" width="3" style="127" customWidth="1"/>
    <col min="7" max="8" width="13.7109375" style="127" customWidth="1"/>
    <col min="9" max="11" width="12.28515625" style="127" customWidth="1"/>
    <col min="12" max="14" width="13.7109375" style="127" customWidth="1"/>
    <col min="15" max="15" width="15.7109375" style="127" customWidth="1"/>
    <col min="16" max="18" width="12.28515625" style="127" customWidth="1"/>
    <col min="19" max="21" width="13.7109375" style="127" customWidth="1"/>
    <col min="22" max="22" width="15.7109375" style="127" customWidth="1"/>
    <col min="23" max="16384" width="10.42578125" style="127"/>
  </cols>
  <sheetData>
    <row r="1" spans="1:22" x14ac:dyDescent="0.3">
      <c r="B1" s="2252" t="s">
        <v>985</v>
      </c>
      <c r="C1" s="2252"/>
      <c r="D1" s="2252"/>
      <c r="E1" s="2252"/>
      <c r="F1" s="2252"/>
      <c r="G1" s="2252"/>
      <c r="H1" s="2252"/>
      <c r="I1" s="2252"/>
      <c r="J1" s="2252"/>
      <c r="K1" s="2252"/>
      <c r="L1" s="2252"/>
      <c r="M1" s="2252"/>
      <c r="N1" s="2252"/>
      <c r="O1" s="2252"/>
      <c r="P1" s="2252"/>
      <c r="Q1" s="2252"/>
      <c r="R1" s="2252"/>
      <c r="S1" s="2252"/>
      <c r="T1" s="2252"/>
      <c r="U1" s="2252"/>
      <c r="V1" s="370"/>
    </row>
    <row r="2" spans="1:22" x14ac:dyDescent="0.3">
      <c r="B2" s="1936" t="s">
        <v>1054</v>
      </c>
      <c r="C2" s="1936"/>
      <c r="D2" s="1936"/>
      <c r="E2" s="1936"/>
      <c r="F2" s="1936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</row>
    <row r="3" spans="1:22" x14ac:dyDescent="0.3">
      <c r="B3" s="500" t="s">
        <v>1107</v>
      </c>
      <c r="C3" s="500"/>
      <c r="D3" s="500"/>
      <c r="E3" s="500"/>
      <c r="F3" s="500"/>
      <c r="G3" s="511"/>
      <c r="H3" s="511"/>
      <c r="I3" s="511"/>
      <c r="J3" s="511"/>
      <c r="K3" s="511"/>
      <c r="L3" s="511"/>
      <c r="M3" s="511"/>
      <c r="N3" s="511"/>
      <c r="O3" s="511"/>
      <c r="P3" s="511"/>
      <c r="Q3" s="511"/>
      <c r="R3" s="511"/>
      <c r="S3" s="511"/>
      <c r="T3" s="511"/>
      <c r="U3" s="511"/>
      <c r="V3" s="511"/>
    </row>
    <row r="4" spans="1:22" x14ac:dyDescent="0.3">
      <c r="B4" s="1905" t="s">
        <v>1225</v>
      </c>
      <c r="C4" s="1886"/>
      <c r="D4" s="1886"/>
      <c r="E4" s="1886"/>
      <c r="F4" s="1886"/>
      <c r="G4" s="1904"/>
      <c r="H4" s="1904"/>
      <c r="I4" s="1904"/>
      <c r="J4" s="1904"/>
      <c r="K4" s="1904"/>
      <c r="L4" s="1904"/>
      <c r="M4" s="1904"/>
      <c r="N4" s="1904"/>
      <c r="O4" s="1904"/>
      <c r="P4" s="1904"/>
      <c r="Q4" s="1904"/>
      <c r="R4" s="1904"/>
      <c r="S4" s="1904"/>
      <c r="T4" s="1904"/>
      <c r="U4" s="1904"/>
      <c r="V4" s="1904"/>
    </row>
    <row r="5" spans="1:22" ht="24.75" customHeight="1" x14ac:dyDescent="0.35">
      <c r="B5" s="2253" t="s">
        <v>122</v>
      </c>
      <c r="C5" s="2253"/>
      <c r="D5" s="2253"/>
      <c r="E5" s="2253"/>
      <c r="F5" s="2253"/>
      <c r="G5" s="2253"/>
      <c r="H5" s="2253"/>
      <c r="I5" s="2253"/>
      <c r="J5" s="2253"/>
      <c r="K5" s="2253"/>
      <c r="L5" s="2253"/>
      <c r="M5" s="2253"/>
      <c r="N5" s="2253"/>
      <c r="O5" s="2253"/>
      <c r="P5" s="2253"/>
      <c r="Q5" s="2253"/>
      <c r="R5" s="2253"/>
      <c r="S5" s="2253"/>
      <c r="T5" s="2253"/>
      <c r="U5" s="2253"/>
      <c r="V5" s="2253"/>
    </row>
    <row r="6" spans="1:22" ht="24.75" customHeight="1" x14ac:dyDescent="0.35">
      <c r="B6" s="2253" t="s">
        <v>431</v>
      </c>
      <c r="C6" s="2253"/>
      <c r="D6" s="2253"/>
      <c r="E6" s="2253"/>
      <c r="F6" s="2253"/>
      <c r="G6" s="2253"/>
      <c r="H6" s="2253"/>
      <c r="I6" s="2253"/>
      <c r="J6" s="2253"/>
      <c r="K6" s="2253"/>
      <c r="L6" s="2253"/>
      <c r="M6" s="2253"/>
      <c r="N6" s="2253"/>
      <c r="O6" s="2253"/>
      <c r="P6" s="2253"/>
      <c r="Q6" s="2253"/>
      <c r="R6" s="2253"/>
      <c r="S6" s="2253"/>
      <c r="T6" s="2253"/>
      <c r="U6" s="2253"/>
      <c r="V6" s="2253"/>
    </row>
    <row r="7" spans="1:22" ht="24.75" customHeight="1" x14ac:dyDescent="0.35">
      <c r="B7" s="2253" t="s">
        <v>399</v>
      </c>
      <c r="C7" s="2253"/>
      <c r="D7" s="2253"/>
      <c r="E7" s="2253"/>
      <c r="F7" s="2253"/>
      <c r="G7" s="2253"/>
      <c r="H7" s="2253"/>
      <c r="I7" s="2253"/>
      <c r="J7" s="2253"/>
      <c r="K7" s="2253"/>
      <c r="L7" s="2253"/>
      <c r="M7" s="2253"/>
      <c r="N7" s="2253"/>
      <c r="O7" s="2253"/>
      <c r="P7" s="2253"/>
      <c r="Q7" s="2253"/>
      <c r="R7" s="2253"/>
      <c r="S7" s="2253"/>
      <c r="T7" s="2253"/>
      <c r="U7" s="2253"/>
      <c r="V7" s="2253"/>
    </row>
    <row r="8" spans="1:22" s="342" customFormat="1" ht="15" x14ac:dyDescent="0.3">
      <c r="A8" s="343"/>
      <c r="B8" s="343"/>
      <c r="C8" s="343"/>
      <c r="D8" s="344"/>
      <c r="E8" s="345"/>
      <c r="U8" s="2254" t="s">
        <v>0</v>
      </c>
      <c r="V8" s="2254"/>
    </row>
    <row r="9" spans="1:22" s="343" customFormat="1" ht="15.75" thickBot="1" x14ac:dyDescent="0.35">
      <c r="B9" s="343" t="s">
        <v>898</v>
      </c>
      <c r="C9" s="343" t="s">
        <v>3</v>
      </c>
      <c r="D9" s="386" t="s">
        <v>2</v>
      </c>
      <c r="E9" s="345" t="s">
        <v>4</v>
      </c>
      <c r="G9" s="343" t="s">
        <v>5</v>
      </c>
      <c r="H9" s="343" t="s">
        <v>15</v>
      </c>
      <c r="I9" s="343" t="s">
        <v>16</v>
      </c>
      <c r="J9" s="343" t="s">
        <v>17</v>
      </c>
      <c r="K9" s="343" t="s">
        <v>36</v>
      </c>
      <c r="L9" s="343" t="s">
        <v>30</v>
      </c>
      <c r="M9" s="343" t="s">
        <v>23</v>
      </c>
      <c r="N9" s="343" t="s">
        <v>37</v>
      </c>
      <c r="O9" s="343" t="s">
        <v>38</v>
      </c>
      <c r="P9" s="343" t="s">
        <v>160</v>
      </c>
      <c r="Q9" s="343" t="s">
        <v>161</v>
      </c>
      <c r="R9" s="343" t="s">
        <v>162</v>
      </c>
      <c r="S9" s="1794" t="s">
        <v>366</v>
      </c>
      <c r="T9" s="1794" t="s">
        <v>603</v>
      </c>
      <c r="U9" s="1794" t="s">
        <v>604</v>
      </c>
      <c r="V9" s="1794" t="s">
        <v>899</v>
      </c>
    </row>
    <row r="10" spans="1:22" s="472" customFormat="1" ht="24.75" customHeight="1" x14ac:dyDescent="0.2">
      <c r="A10" s="387"/>
      <c r="B10" s="2256" t="s">
        <v>18</v>
      </c>
      <c r="C10" s="2259" t="s">
        <v>19</v>
      </c>
      <c r="D10" s="2262" t="s">
        <v>400</v>
      </c>
      <c r="E10" s="2265" t="s">
        <v>401</v>
      </c>
      <c r="F10" s="388"/>
      <c r="G10" s="2269" t="s">
        <v>420</v>
      </c>
      <c r="H10" s="2269"/>
      <c r="I10" s="2270"/>
      <c r="J10" s="2270"/>
      <c r="K10" s="2270"/>
      <c r="L10" s="2270"/>
      <c r="M10" s="2270"/>
      <c r="N10" s="2270"/>
      <c r="O10" s="2271"/>
      <c r="P10" s="2272" t="s">
        <v>421</v>
      </c>
      <c r="Q10" s="2270"/>
      <c r="R10" s="2270"/>
      <c r="S10" s="2270"/>
      <c r="T10" s="2270"/>
      <c r="U10" s="2270"/>
      <c r="V10" s="2275" t="s">
        <v>611</v>
      </c>
    </row>
    <row r="11" spans="1:22" s="472" customFormat="1" ht="24.75" customHeight="1" x14ac:dyDescent="0.2">
      <c r="A11" s="387"/>
      <c r="B11" s="2257"/>
      <c r="C11" s="2260"/>
      <c r="D11" s="2263"/>
      <c r="E11" s="2266"/>
      <c r="F11" s="389"/>
      <c r="G11" s="2278" t="s">
        <v>402</v>
      </c>
      <c r="H11" s="2280" t="s">
        <v>920</v>
      </c>
      <c r="I11" s="2282" t="s">
        <v>404</v>
      </c>
      <c r="J11" s="2282"/>
      <c r="K11" s="2282"/>
      <c r="L11" s="2282"/>
      <c r="M11" s="2282"/>
      <c r="N11" s="2282"/>
      <c r="O11" s="2283" t="s">
        <v>403</v>
      </c>
      <c r="P11" s="2273"/>
      <c r="Q11" s="2274"/>
      <c r="R11" s="2274"/>
      <c r="S11" s="2274"/>
      <c r="T11" s="2274"/>
      <c r="U11" s="2274"/>
      <c r="V11" s="2276"/>
    </row>
    <row r="12" spans="1:22" s="472" customFormat="1" ht="60.75" customHeight="1" thickBot="1" x14ac:dyDescent="0.25">
      <c r="A12" s="387"/>
      <c r="B12" s="2258"/>
      <c r="C12" s="2261"/>
      <c r="D12" s="2264"/>
      <c r="E12" s="2267"/>
      <c r="F12" s="389"/>
      <c r="G12" s="2279"/>
      <c r="H12" s="2281"/>
      <c r="I12" s="1795" t="s">
        <v>422</v>
      </c>
      <c r="J12" s="1795" t="s">
        <v>534</v>
      </c>
      <c r="K12" s="1795" t="s">
        <v>636</v>
      </c>
      <c r="L12" s="1795" t="s">
        <v>900</v>
      </c>
      <c r="M12" s="1795" t="s">
        <v>683</v>
      </c>
      <c r="N12" s="1795" t="s">
        <v>684</v>
      </c>
      <c r="O12" s="2284"/>
      <c r="P12" s="475" t="s">
        <v>423</v>
      </c>
      <c r="Q12" s="476" t="s">
        <v>534</v>
      </c>
      <c r="R12" s="476" t="s">
        <v>636</v>
      </c>
      <c r="S12" s="476" t="s">
        <v>900</v>
      </c>
      <c r="T12" s="476" t="s">
        <v>683</v>
      </c>
      <c r="U12" s="476" t="s">
        <v>684</v>
      </c>
      <c r="V12" s="2277"/>
    </row>
    <row r="13" spans="1:22" s="472" customFormat="1" ht="33" customHeight="1" x14ac:dyDescent="0.35">
      <c r="A13" s="1796">
        <v>1</v>
      </c>
      <c r="B13" s="390">
        <v>18</v>
      </c>
      <c r="C13" s="391" t="s">
        <v>14</v>
      </c>
      <c r="D13" s="392"/>
      <c r="E13" s="393"/>
      <c r="F13" s="1797"/>
      <c r="G13" s="394"/>
      <c r="H13" s="395"/>
      <c r="I13" s="1798"/>
      <c r="J13" s="1798"/>
      <c r="K13" s="1798"/>
      <c r="L13" s="1798"/>
      <c r="M13" s="1798"/>
      <c r="N13" s="1798"/>
      <c r="O13" s="396"/>
      <c r="P13" s="394"/>
      <c r="Q13" s="397"/>
      <c r="R13" s="397"/>
      <c r="S13" s="397"/>
      <c r="T13" s="397"/>
      <c r="U13" s="397"/>
      <c r="V13" s="398"/>
    </row>
    <row r="14" spans="1:22" s="472" customFormat="1" ht="33" x14ac:dyDescent="0.2">
      <c r="A14" s="399">
        <v>2</v>
      </c>
      <c r="B14" s="400"/>
      <c r="C14" s="401">
        <v>1</v>
      </c>
      <c r="D14" s="402" t="s">
        <v>608</v>
      </c>
      <c r="E14" s="403" t="s">
        <v>901</v>
      </c>
      <c r="F14" s="478"/>
      <c r="G14" s="404">
        <f>+V14-O14-H14</f>
        <v>187554</v>
      </c>
      <c r="H14" s="405"/>
      <c r="I14" s="406"/>
      <c r="J14" s="406"/>
      <c r="K14" s="406"/>
      <c r="L14" s="406">
        <v>917181</v>
      </c>
      <c r="M14" s="406">
        <v>15000</v>
      </c>
      <c r="N14" s="406"/>
      <c r="O14" s="407">
        <f t="shared" ref="O14" si="0">SUM(I14:N14)</f>
        <v>932181</v>
      </c>
      <c r="P14" s="404"/>
      <c r="Q14" s="406"/>
      <c r="R14" s="406"/>
      <c r="S14" s="406">
        <v>237</v>
      </c>
      <c r="T14" s="406">
        <v>1119498</v>
      </c>
      <c r="U14" s="406"/>
      <c r="V14" s="1799">
        <f t="shared" ref="V14" si="1">SUM(P14:U14)</f>
        <v>1119735</v>
      </c>
    </row>
    <row r="15" spans="1:22" ht="33" customHeight="1" x14ac:dyDescent="0.3">
      <c r="A15" s="1796">
        <v>3</v>
      </c>
      <c r="B15" s="477"/>
      <c r="C15" s="408">
        <v>2</v>
      </c>
      <c r="D15" s="1800" t="s">
        <v>506</v>
      </c>
      <c r="E15" s="403" t="s">
        <v>902</v>
      </c>
      <c r="F15" s="474"/>
      <c r="G15" s="409">
        <f t="shared" ref="G15:G41" si="2">+V15-O15-H15</f>
        <v>0</v>
      </c>
      <c r="H15" s="410"/>
      <c r="I15" s="406"/>
      <c r="J15" s="406"/>
      <c r="K15" s="406">
        <v>17017</v>
      </c>
      <c r="L15" s="406">
        <v>8958</v>
      </c>
      <c r="M15" s="1801"/>
      <c r="N15" s="406"/>
      <c r="O15" s="407">
        <f t="shared" ref="O15:O28" si="3">SUM(I15:N15)</f>
        <v>25975</v>
      </c>
      <c r="P15" s="1802"/>
      <c r="Q15" s="1803"/>
      <c r="R15" s="1803">
        <v>12413</v>
      </c>
      <c r="S15" s="1803">
        <f>2345+10041</f>
        <v>12386</v>
      </c>
      <c r="T15" s="1803">
        <f>655+482+39</f>
        <v>1176</v>
      </c>
      <c r="U15" s="406"/>
      <c r="V15" s="1799">
        <f t="shared" ref="V15:V41" si="4">SUM(P15:U15)</f>
        <v>25975</v>
      </c>
    </row>
    <row r="16" spans="1:22" ht="33" customHeight="1" x14ac:dyDescent="0.3">
      <c r="A16" s="1796">
        <v>4</v>
      </c>
      <c r="B16" s="477"/>
      <c r="C16" s="408">
        <v>3</v>
      </c>
      <c r="D16" s="402" t="s">
        <v>687</v>
      </c>
      <c r="E16" s="403" t="s">
        <v>901</v>
      </c>
      <c r="F16" s="474"/>
      <c r="G16" s="409">
        <f t="shared" si="2"/>
        <v>59476</v>
      </c>
      <c r="H16" s="410"/>
      <c r="I16" s="406"/>
      <c r="J16" s="406"/>
      <c r="K16" s="406"/>
      <c r="L16" s="406"/>
      <c r="M16" s="406">
        <v>223100</v>
      </c>
      <c r="N16" s="406"/>
      <c r="O16" s="407">
        <f t="shared" si="3"/>
        <v>223100</v>
      </c>
      <c r="P16" s="1802"/>
      <c r="Q16" s="1803">
        <v>6699</v>
      </c>
      <c r="R16" s="1803"/>
      <c r="S16" s="1803"/>
      <c r="T16" s="1803">
        <v>275877</v>
      </c>
      <c r="U16" s="406"/>
      <c r="V16" s="1799">
        <f t="shared" si="4"/>
        <v>282576</v>
      </c>
    </row>
    <row r="17" spans="1:22" ht="33" customHeight="1" x14ac:dyDescent="0.3">
      <c r="A17" s="399">
        <v>5</v>
      </c>
      <c r="B17" s="477"/>
      <c r="C17" s="408">
        <v>4</v>
      </c>
      <c r="D17" s="402" t="s">
        <v>688</v>
      </c>
      <c r="E17" s="403" t="s">
        <v>902</v>
      </c>
      <c r="F17" s="474"/>
      <c r="G17" s="409">
        <f t="shared" si="2"/>
        <v>5021</v>
      </c>
      <c r="H17" s="410"/>
      <c r="I17" s="406"/>
      <c r="J17" s="406"/>
      <c r="K17" s="406">
        <v>58534</v>
      </c>
      <c r="L17" s="406"/>
      <c r="M17" s="406">
        <v>3081</v>
      </c>
      <c r="N17" s="406"/>
      <c r="O17" s="407">
        <f t="shared" si="3"/>
        <v>61615</v>
      </c>
      <c r="P17" s="1802"/>
      <c r="Q17" s="1803"/>
      <c r="R17" s="1803">
        <v>143</v>
      </c>
      <c r="S17" s="1803">
        <v>64724</v>
      </c>
      <c r="T17" s="1803">
        <v>1769</v>
      </c>
      <c r="U17" s="406"/>
      <c r="V17" s="1799">
        <f t="shared" si="4"/>
        <v>66636</v>
      </c>
    </row>
    <row r="18" spans="1:22" s="472" customFormat="1" ht="33" x14ac:dyDescent="0.3">
      <c r="A18" s="1796">
        <v>6</v>
      </c>
      <c r="B18" s="477"/>
      <c r="C18" s="408">
        <v>5</v>
      </c>
      <c r="D18" s="150" t="s">
        <v>616</v>
      </c>
      <c r="E18" s="403" t="s">
        <v>901</v>
      </c>
      <c r="F18" s="478"/>
      <c r="G18" s="409">
        <f t="shared" si="2"/>
        <v>41474</v>
      </c>
      <c r="H18" s="410"/>
      <c r="I18" s="406"/>
      <c r="J18" s="406"/>
      <c r="K18" s="406"/>
      <c r="L18" s="406">
        <v>134273</v>
      </c>
      <c r="M18" s="406">
        <v>0</v>
      </c>
      <c r="N18" s="406"/>
      <c r="O18" s="407">
        <f t="shared" si="3"/>
        <v>134273</v>
      </c>
      <c r="P18" s="404">
        <v>2921</v>
      </c>
      <c r="Q18" s="406">
        <v>3620</v>
      </c>
      <c r="R18" s="406"/>
      <c r="S18" s="406"/>
      <c r="T18" s="406">
        <f>165956+3250</f>
        <v>169206</v>
      </c>
      <c r="U18" s="406"/>
      <c r="V18" s="1799">
        <f t="shared" si="4"/>
        <v>175747</v>
      </c>
    </row>
    <row r="19" spans="1:22" ht="33" customHeight="1" x14ac:dyDescent="0.3">
      <c r="A19" s="1796">
        <v>7</v>
      </c>
      <c r="B19" s="477"/>
      <c r="C19" s="408">
        <v>6</v>
      </c>
      <c r="D19" s="402" t="s">
        <v>690</v>
      </c>
      <c r="E19" s="403" t="s">
        <v>903</v>
      </c>
      <c r="F19" s="474"/>
      <c r="G19" s="409">
        <f t="shared" si="2"/>
        <v>14154</v>
      </c>
      <c r="H19" s="410"/>
      <c r="I19" s="406"/>
      <c r="J19" s="406"/>
      <c r="K19" s="406"/>
      <c r="L19" s="406">
        <v>19069</v>
      </c>
      <c r="M19" s="406">
        <f>20344-2775</f>
        <v>17569</v>
      </c>
      <c r="N19" s="406"/>
      <c r="O19" s="407">
        <f t="shared" si="3"/>
        <v>36638</v>
      </c>
      <c r="P19" s="404"/>
      <c r="Q19" s="406"/>
      <c r="R19" s="406">
        <v>1956</v>
      </c>
      <c r="S19" s="406"/>
      <c r="T19" s="406">
        <v>48836</v>
      </c>
      <c r="U19" s="406"/>
      <c r="V19" s="1799">
        <f t="shared" si="4"/>
        <v>50792</v>
      </c>
    </row>
    <row r="20" spans="1:22" ht="33" customHeight="1" x14ac:dyDescent="0.3">
      <c r="A20" s="399">
        <v>8</v>
      </c>
      <c r="B20" s="477"/>
      <c r="C20" s="408">
        <v>7</v>
      </c>
      <c r="D20" s="402" t="s">
        <v>691</v>
      </c>
      <c r="E20" s="403" t="s">
        <v>903</v>
      </c>
      <c r="F20" s="474"/>
      <c r="G20" s="409">
        <f t="shared" si="2"/>
        <v>39517</v>
      </c>
      <c r="H20" s="410"/>
      <c r="I20" s="406"/>
      <c r="J20" s="406"/>
      <c r="K20" s="406"/>
      <c r="L20" s="406">
        <v>27673</v>
      </c>
      <c r="M20" s="406">
        <v>25819</v>
      </c>
      <c r="N20" s="406"/>
      <c r="O20" s="407">
        <f t="shared" si="3"/>
        <v>53492</v>
      </c>
      <c r="P20" s="404"/>
      <c r="Q20" s="406"/>
      <c r="R20" s="406">
        <v>2459</v>
      </c>
      <c r="S20" s="406"/>
      <c r="T20" s="406">
        <v>90550</v>
      </c>
      <c r="U20" s="406"/>
      <c r="V20" s="1799">
        <f t="shared" si="4"/>
        <v>93009</v>
      </c>
    </row>
    <row r="21" spans="1:22" ht="33" customHeight="1" x14ac:dyDescent="0.3">
      <c r="A21" s="1796">
        <v>9</v>
      </c>
      <c r="B21" s="477"/>
      <c r="C21" s="408">
        <v>8</v>
      </c>
      <c r="D21" s="402" t="s">
        <v>904</v>
      </c>
      <c r="E21" s="403" t="s">
        <v>902</v>
      </c>
      <c r="F21" s="474"/>
      <c r="G21" s="409">
        <f t="shared" si="2"/>
        <v>1320</v>
      </c>
      <c r="H21" s="410"/>
      <c r="I21" s="406"/>
      <c r="J21" s="406"/>
      <c r="K21" s="406">
        <v>71352</v>
      </c>
      <c r="L21" s="406"/>
      <c r="M21" s="406">
        <v>-45</v>
      </c>
      <c r="N21" s="406"/>
      <c r="O21" s="407">
        <f>SUM(I21:N21)</f>
        <v>71307</v>
      </c>
      <c r="P21" s="1802"/>
      <c r="Q21" s="1803"/>
      <c r="R21" s="1803">
        <v>4926</v>
      </c>
      <c r="S21" s="1803">
        <v>67701</v>
      </c>
      <c r="T21" s="1803"/>
      <c r="U21" s="406"/>
      <c r="V21" s="1799">
        <f t="shared" si="4"/>
        <v>72627</v>
      </c>
    </row>
    <row r="22" spans="1:22" s="472" customFormat="1" ht="66" x14ac:dyDescent="0.2">
      <c r="A22" s="1796">
        <v>10</v>
      </c>
      <c r="B22" s="477"/>
      <c r="C22" s="408">
        <v>9</v>
      </c>
      <c r="D22" s="402" t="s">
        <v>617</v>
      </c>
      <c r="E22" s="403" t="s">
        <v>901</v>
      </c>
      <c r="F22" s="478"/>
      <c r="G22" s="409">
        <f>+V22-O22-H22</f>
        <v>3810</v>
      </c>
      <c r="H22" s="410"/>
      <c r="I22" s="406"/>
      <c r="J22" s="406"/>
      <c r="K22" s="406"/>
      <c r="L22" s="406">
        <v>87086</v>
      </c>
      <c r="M22" s="406">
        <v>-87086</v>
      </c>
      <c r="N22" s="406"/>
      <c r="O22" s="407">
        <f t="shared" si="3"/>
        <v>0</v>
      </c>
      <c r="P22" s="404"/>
      <c r="Q22" s="406"/>
      <c r="R22" s="406">
        <f>4834-1024</f>
        <v>3810</v>
      </c>
      <c r="S22" s="406">
        <f>40-40</f>
        <v>0</v>
      </c>
      <c r="T22" s="406">
        <f>195772-195772</f>
        <v>0</v>
      </c>
      <c r="U22" s="406"/>
      <c r="V22" s="1799">
        <f t="shared" si="4"/>
        <v>3810</v>
      </c>
    </row>
    <row r="23" spans="1:22" s="472" customFormat="1" ht="66" x14ac:dyDescent="0.2">
      <c r="A23" s="399">
        <v>11</v>
      </c>
      <c r="B23" s="477"/>
      <c r="C23" s="408">
        <v>10</v>
      </c>
      <c r="D23" s="402" t="s">
        <v>617</v>
      </c>
      <c r="E23" s="403" t="s">
        <v>1108</v>
      </c>
      <c r="F23" s="478"/>
      <c r="G23" s="409">
        <f>+V23-O23-H23</f>
        <v>750</v>
      </c>
      <c r="H23" s="410"/>
      <c r="I23" s="406"/>
      <c r="J23" s="406"/>
      <c r="K23" s="406"/>
      <c r="L23" s="406"/>
      <c r="M23" s="406">
        <v>307086</v>
      </c>
      <c r="N23" s="406"/>
      <c r="O23" s="407">
        <f t="shared" si="3"/>
        <v>307086</v>
      </c>
      <c r="P23" s="404"/>
      <c r="Q23" s="406"/>
      <c r="R23" s="406">
        <f>984+40</f>
        <v>1024</v>
      </c>
      <c r="S23" s="406">
        <v>40</v>
      </c>
      <c r="T23" s="406">
        <f>307086-1064+750</f>
        <v>306772</v>
      </c>
      <c r="U23" s="406"/>
      <c r="V23" s="1799">
        <f t="shared" si="4"/>
        <v>307836</v>
      </c>
    </row>
    <row r="24" spans="1:22" ht="33" customHeight="1" x14ac:dyDescent="0.3">
      <c r="A24" s="1796">
        <v>12</v>
      </c>
      <c r="B24" s="477"/>
      <c r="C24" s="408">
        <v>11</v>
      </c>
      <c r="D24" s="402" t="s">
        <v>689</v>
      </c>
      <c r="E24" s="403" t="s">
        <v>901</v>
      </c>
      <c r="F24" s="474"/>
      <c r="G24" s="409">
        <f t="shared" si="2"/>
        <v>161006</v>
      </c>
      <c r="H24" s="410"/>
      <c r="I24" s="406"/>
      <c r="J24" s="406"/>
      <c r="K24" s="406"/>
      <c r="L24" s="406">
        <v>173975</v>
      </c>
      <c r="M24" s="406">
        <v>0</v>
      </c>
      <c r="N24" s="406"/>
      <c r="O24" s="407">
        <f t="shared" si="3"/>
        <v>173975</v>
      </c>
      <c r="P24" s="404"/>
      <c r="Q24" s="406"/>
      <c r="R24" s="406">
        <v>6401</v>
      </c>
      <c r="S24" s="406">
        <v>100</v>
      </c>
      <c r="T24" s="406">
        <v>328480</v>
      </c>
      <c r="U24" s="406"/>
      <c r="V24" s="1799">
        <f t="shared" si="4"/>
        <v>334981</v>
      </c>
    </row>
    <row r="25" spans="1:22" ht="33" customHeight="1" x14ac:dyDescent="0.3">
      <c r="A25" s="1796">
        <v>13</v>
      </c>
      <c r="B25" s="477"/>
      <c r="C25" s="408">
        <v>12</v>
      </c>
      <c r="D25" s="402" t="s">
        <v>692</v>
      </c>
      <c r="E25" s="403" t="s">
        <v>905</v>
      </c>
      <c r="F25" s="474"/>
      <c r="G25" s="409">
        <f t="shared" si="2"/>
        <v>397000</v>
      </c>
      <c r="H25" s="410"/>
      <c r="I25" s="406"/>
      <c r="J25" s="406"/>
      <c r="K25" s="406">
        <v>2092161</v>
      </c>
      <c r="L25" s="406"/>
      <c r="M25" s="406">
        <v>1107839</v>
      </c>
      <c r="N25" s="406"/>
      <c r="O25" s="407">
        <f t="shared" si="3"/>
        <v>3200000</v>
      </c>
      <c r="P25" s="404">
        <v>40063</v>
      </c>
      <c r="Q25" s="406">
        <v>83854</v>
      </c>
      <c r="R25" s="406">
        <v>327034</v>
      </c>
      <c r="S25" s="406">
        <v>1231269</v>
      </c>
      <c r="T25" s="406">
        <v>1914780</v>
      </c>
      <c r="U25" s="406"/>
      <c r="V25" s="1799">
        <f t="shared" si="4"/>
        <v>3597000</v>
      </c>
    </row>
    <row r="26" spans="1:22" ht="33" customHeight="1" x14ac:dyDescent="0.3">
      <c r="A26" s="399">
        <v>14</v>
      </c>
      <c r="B26" s="477"/>
      <c r="C26" s="408">
        <v>13</v>
      </c>
      <c r="D26" s="402" t="s">
        <v>1095</v>
      </c>
      <c r="E26" s="403" t="s">
        <v>906</v>
      </c>
      <c r="F26" s="474"/>
      <c r="G26" s="409">
        <f t="shared" si="2"/>
        <v>0</v>
      </c>
      <c r="H26" s="410"/>
      <c r="I26" s="406"/>
      <c r="J26" s="406"/>
      <c r="K26" s="406">
        <v>19671</v>
      </c>
      <c r="L26" s="406"/>
      <c r="M26" s="406">
        <f>12000+208329</f>
        <v>220329</v>
      </c>
      <c r="N26" s="406"/>
      <c r="O26" s="407">
        <f t="shared" si="3"/>
        <v>240000</v>
      </c>
      <c r="P26" s="404"/>
      <c r="Q26" s="406"/>
      <c r="R26" s="406">
        <v>9749</v>
      </c>
      <c r="S26" s="406">
        <v>3835</v>
      </c>
      <c r="T26" s="406">
        <f>220416+6000</f>
        <v>226416</v>
      </c>
      <c r="U26" s="406"/>
      <c r="V26" s="1799">
        <f t="shared" si="4"/>
        <v>240000</v>
      </c>
    </row>
    <row r="27" spans="1:22" s="472" customFormat="1" ht="33" x14ac:dyDescent="0.2">
      <c r="A27" s="1796">
        <v>15</v>
      </c>
      <c r="B27" s="477"/>
      <c r="C27" s="408">
        <v>14</v>
      </c>
      <c r="D27" s="402" t="s">
        <v>693</v>
      </c>
      <c r="E27" s="403" t="s">
        <v>907</v>
      </c>
      <c r="F27" s="478"/>
      <c r="G27" s="409">
        <f t="shared" si="2"/>
        <v>0</v>
      </c>
      <c r="H27" s="410"/>
      <c r="I27" s="406"/>
      <c r="J27" s="406"/>
      <c r="K27" s="406"/>
      <c r="L27" s="406">
        <v>480600</v>
      </c>
      <c r="M27" s="406">
        <v>21000</v>
      </c>
      <c r="N27" s="406"/>
      <c r="O27" s="407">
        <f t="shared" si="3"/>
        <v>501600</v>
      </c>
      <c r="P27" s="404"/>
      <c r="Q27" s="406"/>
      <c r="R27" s="406">
        <v>326</v>
      </c>
      <c r="S27" s="406">
        <v>17127</v>
      </c>
      <c r="T27" s="406">
        <f>472147+12000</f>
        <v>484147</v>
      </c>
      <c r="U27" s="406"/>
      <c r="V27" s="1799">
        <f t="shared" si="4"/>
        <v>501600</v>
      </c>
    </row>
    <row r="28" spans="1:22" s="472" customFormat="1" ht="55.5" customHeight="1" x14ac:dyDescent="0.2">
      <c r="A28" s="1796">
        <v>16</v>
      </c>
      <c r="B28" s="477"/>
      <c r="C28" s="408">
        <v>15</v>
      </c>
      <c r="D28" s="402" t="s">
        <v>542</v>
      </c>
      <c r="E28" s="403" t="s">
        <v>908</v>
      </c>
      <c r="F28" s="478"/>
      <c r="G28" s="409">
        <f>+V28-O28-H28</f>
        <v>143176</v>
      </c>
      <c r="H28" s="410"/>
      <c r="I28" s="406">
        <v>977327</v>
      </c>
      <c r="J28" s="406"/>
      <c r="K28" s="406"/>
      <c r="L28" s="406"/>
      <c r="M28" s="406">
        <v>27091</v>
      </c>
      <c r="N28" s="406"/>
      <c r="O28" s="407">
        <f t="shared" si="3"/>
        <v>1004418</v>
      </c>
      <c r="P28" s="404">
        <v>25062</v>
      </c>
      <c r="Q28" s="406">
        <v>32060</v>
      </c>
      <c r="R28" s="406">
        <v>393153</v>
      </c>
      <c r="S28" s="406">
        <f>688437</f>
        <v>688437</v>
      </c>
      <c r="T28" s="406">
        <f>8968-86</f>
        <v>8882</v>
      </c>
      <c r="U28" s="406"/>
      <c r="V28" s="1799">
        <f>SUM(P28:U28)</f>
        <v>1147594</v>
      </c>
    </row>
    <row r="29" spans="1:22" ht="34.5" customHeight="1" x14ac:dyDescent="0.3">
      <c r="A29" s="399">
        <v>17</v>
      </c>
      <c r="B29" s="477"/>
      <c r="C29" s="408">
        <v>16</v>
      </c>
      <c r="D29" s="402" t="s">
        <v>503</v>
      </c>
      <c r="E29" s="403" t="s">
        <v>902</v>
      </c>
      <c r="F29" s="474"/>
      <c r="G29" s="409">
        <f t="shared" si="2"/>
        <v>62406</v>
      </c>
      <c r="H29" s="410"/>
      <c r="I29" s="406"/>
      <c r="J29" s="406"/>
      <c r="K29" s="406">
        <v>227554</v>
      </c>
      <c r="L29" s="406"/>
      <c r="M29" s="406">
        <v>10916</v>
      </c>
      <c r="N29" s="406"/>
      <c r="O29" s="407">
        <f t="shared" ref="O29:O41" si="5">SUM(I29:N29)</f>
        <v>238470</v>
      </c>
      <c r="P29" s="404"/>
      <c r="Q29" s="406"/>
      <c r="R29" s="406">
        <v>4460</v>
      </c>
      <c r="S29" s="1803">
        <v>267453</v>
      </c>
      <c r="T29" s="1803">
        <f>23001+5962</f>
        <v>28963</v>
      </c>
      <c r="U29" s="406"/>
      <c r="V29" s="1799">
        <f t="shared" si="4"/>
        <v>300876</v>
      </c>
    </row>
    <row r="30" spans="1:22" s="472" customFormat="1" ht="33" x14ac:dyDescent="0.3">
      <c r="A30" s="1796">
        <v>18</v>
      </c>
      <c r="B30" s="477"/>
      <c r="C30" s="408">
        <v>17</v>
      </c>
      <c r="D30" s="150" t="s">
        <v>615</v>
      </c>
      <c r="E30" s="403" t="s">
        <v>901</v>
      </c>
      <c r="F30" s="478"/>
      <c r="G30" s="409">
        <f t="shared" si="2"/>
        <v>0</v>
      </c>
      <c r="H30" s="410"/>
      <c r="I30" s="406"/>
      <c r="J30" s="406"/>
      <c r="K30" s="406"/>
      <c r="L30" s="406">
        <v>788115</v>
      </c>
      <c r="M30" s="406">
        <v>41400</v>
      </c>
      <c r="N30" s="406"/>
      <c r="O30" s="407">
        <f t="shared" si="5"/>
        <v>829515</v>
      </c>
      <c r="P30" s="404"/>
      <c r="Q30" s="406"/>
      <c r="R30" s="406">
        <v>6414</v>
      </c>
      <c r="S30" s="406">
        <v>26646</v>
      </c>
      <c r="T30" s="406">
        <f>782603+13852</f>
        <v>796455</v>
      </c>
      <c r="U30" s="406"/>
      <c r="V30" s="1799">
        <f t="shared" si="4"/>
        <v>829515</v>
      </c>
    </row>
    <row r="31" spans="1:22" ht="33" customHeight="1" x14ac:dyDescent="0.3">
      <c r="A31" s="1796">
        <v>19</v>
      </c>
      <c r="B31" s="477"/>
      <c r="C31" s="411">
        <v>18</v>
      </c>
      <c r="D31" s="1804" t="s">
        <v>650</v>
      </c>
      <c r="E31" s="403" t="s">
        <v>909</v>
      </c>
      <c r="F31" s="474"/>
      <c r="G31" s="409">
        <f t="shared" si="2"/>
        <v>96381</v>
      </c>
      <c r="H31" s="410"/>
      <c r="I31" s="406"/>
      <c r="J31" s="406"/>
      <c r="K31" s="406"/>
      <c r="L31" s="406">
        <v>1544000</v>
      </c>
      <c r="M31" s="406">
        <f>76000-76000-1544000</f>
        <v>-1544000</v>
      </c>
      <c r="N31" s="406"/>
      <c r="O31" s="407">
        <f t="shared" si="5"/>
        <v>0</v>
      </c>
      <c r="P31" s="404"/>
      <c r="Q31" s="406"/>
      <c r="R31" s="406">
        <v>16599</v>
      </c>
      <c r="S31" s="406">
        <v>79782</v>
      </c>
      <c r="T31" s="406">
        <f>1561731+22278-1561731-22278</f>
        <v>0</v>
      </c>
      <c r="U31" s="406"/>
      <c r="V31" s="1799">
        <f t="shared" si="4"/>
        <v>96381</v>
      </c>
    </row>
    <row r="32" spans="1:22" ht="33" customHeight="1" x14ac:dyDescent="0.3">
      <c r="A32" s="399">
        <v>20</v>
      </c>
      <c r="B32" s="477"/>
      <c r="C32" s="408">
        <v>19</v>
      </c>
      <c r="D32" s="402" t="s">
        <v>584</v>
      </c>
      <c r="E32" s="403" t="s">
        <v>907</v>
      </c>
      <c r="F32" s="474"/>
      <c r="G32" s="1805">
        <f>+V32-O32-H32</f>
        <v>0</v>
      </c>
      <c r="H32" s="1806">
        <v>277946</v>
      </c>
      <c r="I32" s="406"/>
      <c r="J32" s="406"/>
      <c r="K32" s="406">
        <v>558299</v>
      </c>
      <c r="L32" s="406"/>
      <c r="M32" s="406">
        <v>793085</v>
      </c>
      <c r="N32" s="406"/>
      <c r="O32" s="407">
        <f>SUM(I32:N32)</f>
        <v>1351384</v>
      </c>
      <c r="P32" s="1802"/>
      <c r="Q32" s="1803"/>
      <c r="R32" s="1803">
        <v>28000</v>
      </c>
      <c r="S32" s="1803">
        <v>26441</v>
      </c>
      <c r="T32" s="1803">
        <v>1574889</v>
      </c>
      <c r="U32" s="406"/>
      <c r="V32" s="1799">
        <f t="shared" si="4"/>
        <v>1629330</v>
      </c>
    </row>
    <row r="33" spans="1:22" ht="33" customHeight="1" x14ac:dyDescent="0.3">
      <c r="A33" s="1796">
        <v>21</v>
      </c>
      <c r="B33" s="477"/>
      <c r="C33" s="408">
        <v>20</v>
      </c>
      <c r="D33" s="402" t="s">
        <v>695</v>
      </c>
      <c r="E33" s="1807" t="s">
        <v>903</v>
      </c>
      <c r="F33" s="474"/>
      <c r="G33" s="409">
        <f t="shared" si="2"/>
        <v>0</v>
      </c>
      <c r="H33" s="410"/>
      <c r="I33" s="406"/>
      <c r="J33" s="406"/>
      <c r="K33" s="406"/>
      <c r="L33" s="1803">
        <v>815</v>
      </c>
      <c r="M33" s="1803">
        <f>3977-3977</f>
        <v>0</v>
      </c>
      <c r="N33" s="406"/>
      <c r="O33" s="407">
        <f t="shared" si="5"/>
        <v>815</v>
      </c>
      <c r="P33" s="1802"/>
      <c r="Q33" s="1803"/>
      <c r="R33" s="1803"/>
      <c r="S33" s="1803"/>
      <c r="T33" s="1803">
        <f>4792-3977</f>
        <v>815</v>
      </c>
      <c r="U33" s="406"/>
      <c r="V33" s="1799">
        <f t="shared" si="4"/>
        <v>815</v>
      </c>
    </row>
    <row r="34" spans="1:22" ht="49.5" x14ac:dyDescent="0.3">
      <c r="A34" s="1796">
        <v>22</v>
      </c>
      <c r="B34" s="477"/>
      <c r="C34" s="408">
        <v>21</v>
      </c>
      <c r="D34" s="1808" t="s">
        <v>696</v>
      </c>
      <c r="E34" s="403" t="s">
        <v>909</v>
      </c>
      <c r="F34" s="474"/>
      <c r="G34" s="409">
        <f t="shared" si="2"/>
        <v>12126</v>
      </c>
      <c r="H34" s="410"/>
      <c r="I34" s="406"/>
      <c r="J34" s="406"/>
      <c r="K34" s="406"/>
      <c r="L34" s="406">
        <v>243150</v>
      </c>
      <c r="M34" s="406">
        <v>11850</v>
      </c>
      <c r="N34" s="406"/>
      <c r="O34" s="407">
        <f t="shared" si="5"/>
        <v>255000</v>
      </c>
      <c r="P34" s="404"/>
      <c r="Q34" s="406"/>
      <c r="R34" s="406">
        <v>4379</v>
      </c>
      <c r="S34" s="406">
        <v>12827</v>
      </c>
      <c r="T34" s="406">
        <v>249920</v>
      </c>
      <c r="U34" s="406"/>
      <c r="V34" s="1799">
        <f t="shared" si="4"/>
        <v>267126</v>
      </c>
    </row>
    <row r="35" spans="1:22" ht="33" customHeight="1" x14ac:dyDescent="0.3">
      <c r="A35" s="399">
        <v>23</v>
      </c>
      <c r="B35" s="477"/>
      <c r="C35" s="408">
        <v>22</v>
      </c>
      <c r="D35" s="1800" t="s">
        <v>864</v>
      </c>
      <c r="E35" s="403" t="s">
        <v>910</v>
      </c>
      <c r="F35" s="474"/>
      <c r="G35" s="409">
        <f t="shared" si="2"/>
        <v>0</v>
      </c>
      <c r="H35" s="410"/>
      <c r="I35" s="406"/>
      <c r="J35" s="406"/>
      <c r="K35" s="406"/>
      <c r="L35" s="406">
        <f>23652+14397</f>
        <v>38049</v>
      </c>
      <c r="M35" s="406">
        <f>31805+70955+43191</f>
        <v>145951</v>
      </c>
      <c r="N35" s="406"/>
      <c r="O35" s="407">
        <f t="shared" si="5"/>
        <v>184000</v>
      </c>
      <c r="P35" s="404"/>
      <c r="Q35" s="406"/>
      <c r="R35" s="406">
        <v>9200</v>
      </c>
      <c r="S35" s="406">
        <f>3350+5228+2097</f>
        <v>10675</v>
      </c>
      <c r="T35" s="406">
        <f>19255+89379+55491</f>
        <v>164125</v>
      </c>
      <c r="U35" s="406"/>
      <c r="V35" s="1799">
        <f t="shared" si="4"/>
        <v>184000</v>
      </c>
    </row>
    <row r="36" spans="1:22" ht="49.5" x14ac:dyDescent="0.3">
      <c r="A36" s="1796">
        <v>24</v>
      </c>
      <c r="B36" s="477"/>
      <c r="C36" s="408">
        <v>23</v>
      </c>
      <c r="D36" s="402" t="s">
        <v>540</v>
      </c>
      <c r="E36" s="403" t="s">
        <v>907</v>
      </c>
      <c r="F36" s="474"/>
      <c r="G36" s="409">
        <f t="shared" si="2"/>
        <v>695</v>
      </c>
      <c r="H36" s="410"/>
      <c r="I36" s="406"/>
      <c r="J36" s="406"/>
      <c r="K36" s="406">
        <v>24175</v>
      </c>
      <c r="L36" s="406"/>
      <c r="M36" s="406">
        <v>24175</v>
      </c>
      <c r="N36" s="406"/>
      <c r="O36" s="407">
        <f t="shared" si="5"/>
        <v>48350</v>
      </c>
      <c r="P36" s="1802"/>
      <c r="Q36" s="1803"/>
      <c r="R36" s="1803">
        <v>1176</v>
      </c>
      <c r="S36" s="1803">
        <v>23808</v>
      </c>
      <c r="T36" s="1803">
        <f>24004+62-5</f>
        <v>24061</v>
      </c>
      <c r="U36" s="406"/>
      <c r="V36" s="1799">
        <f t="shared" si="4"/>
        <v>49045</v>
      </c>
    </row>
    <row r="37" spans="1:22" ht="33" customHeight="1" x14ac:dyDescent="0.3">
      <c r="A37" s="1796">
        <v>25</v>
      </c>
      <c r="B37" s="477"/>
      <c r="C37" s="411">
        <v>24</v>
      </c>
      <c r="D37" s="402" t="s">
        <v>686</v>
      </c>
      <c r="E37" s="403" t="s">
        <v>902</v>
      </c>
      <c r="F37" s="474"/>
      <c r="G37" s="409">
        <f t="shared" si="2"/>
        <v>0</v>
      </c>
      <c r="H37" s="410"/>
      <c r="I37" s="406"/>
      <c r="J37" s="406"/>
      <c r="K37" s="406">
        <v>9031</v>
      </c>
      <c r="L37" s="406">
        <v>8</v>
      </c>
      <c r="M37" s="406">
        <v>0</v>
      </c>
      <c r="N37" s="406"/>
      <c r="O37" s="407">
        <f t="shared" si="5"/>
        <v>9039</v>
      </c>
      <c r="P37" s="404"/>
      <c r="Q37" s="406"/>
      <c r="R37" s="406">
        <v>7830</v>
      </c>
      <c r="S37" s="406">
        <v>186</v>
      </c>
      <c r="T37" s="406">
        <v>1023</v>
      </c>
      <c r="U37" s="406"/>
      <c r="V37" s="1799">
        <f t="shared" si="4"/>
        <v>9039</v>
      </c>
    </row>
    <row r="38" spans="1:22" ht="33" customHeight="1" x14ac:dyDescent="0.3">
      <c r="A38" s="399">
        <v>26</v>
      </c>
      <c r="B38" s="477"/>
      <c r="C38" s="411">
        <v>25</v>
      </c>
      <c r="D38" s="402" t="s">
        <v>911</v>
      </c>
      <c r="E38" s="403" t="s">
        <v>909</v>
      </c>
      <c r="F38" s="474"/>
      <c r="G38" s="409">
        <f t="shared" si="2"/>
        <v>11302</v>
      </c>
      <c r="H38" s="410"/>
      <c r="I38" s="406"/>
      <c r="J38" s="406"/>
      <c r="K38" s="406"/>
      <c r="L38" s="406"/>
      <c r="M38" s="406">
        <f>11175+5830</f>
        <v>17005</v>
      </c>
      <c r="N38" s="406"/>
      <c r="O38" s="407">
        <f t="shared" si="5"/>
        <v>17005</v>
      </c>
      <c r="P38" s="404"/>
      <c r="Q38" s="406"/>
      <c r="R38" s="406"/>
      <c r="S38" s="406">
        <v>8399</v>
      </c>
      <c r="T38" s="406">
        <f>19581+327</f>
        <v>19908</v>
      </c>
      <c r="U38" s="406"/>
      <c r="V38" s="1799">
        <f t="shared" si="4"/>
        <v>28307</v>
      </c>
    </row>
    <row r="39" spans="1:22" ht="49.5" x14ac:dyDescent="0.3">
      <c r="A39" s="1796">
        <v>27</v>
      </c>
      <c r="B39" s="477"/>
      <c r="C39" s="408">
        <v>26</v>
      </c>
      <c r="D39" s="402" t="s">
        <v>912</v>
      </c>
      <c r="E39" s="403" t="s">
        <v>913</v>
      </c>
      <c r="F39" s="474"/>
      <c r="G39" s="409">
        <f t="shared" si="2"/>
        <v>220</v>
      </c>
      <c r="H39" s="410"/>
      <c r="I39" s="406"/>
      <c r="J39" s="406">
        <v>9000</v>
      </c>
      <c r="K39" s="406">
        <v>-2700</v>
      </c>
      <c r="L39" s="406"/>
      <c r="M39" s="406">
        <v>-325</v>
      </c>
      <c r="N39" s="406"/>
      <c r="O39" s="407">
        <f t="shared" si="5"/>
        <v>5975</v>
      </c>
      <c r="P39" s="404"/>
      <c r="Q39" s="406"/>
      <c r="R39" s="406">
        <v>1582</v>
      </c>
      <c r="S39" s="406">
        <v>4613</v>
      </c>
      <c r="T39" s="406">
        <f>239-239</f>
        <v>0</v>
      </c>
      <c r="U39" s="406"/>
      <c r="V39" s="1799">
        <f t="shared" si="4"/>
        <v>6195</v>
      </c>
    </row>
    <row r="40" spans="1:22" ht="33" customHeight="1" x14ac:dyDescent="0.3">
      <c r="A40" s="1796">
        <v>28</v>
      </c>
      <c r="B40" s="1809"/>
      <c r="C40" s="1810">
        <v>27</v>
      </c>
      <c r="D40" s="1811" t="s">
        <v>701</v>
      </c>
      <c r="E40" s="1807" t="s">
        <v>909</v>
      </c>
      <c r="F40" s="1812"/>
      <c r="G40" s="409">
        <f t="shared" si="2"/>
        <v>0</v>
      </c>
      <c r="H40" s="406"/>
      <c r="I40" s="406"/>
      <c r="J40" s="406"/>
      <c r="K40" s="406"/>
      <c r="L40" s="406"/>
      <c r="M40" s="406">
        <v>40000</v>
      </c>
      <c r="N40" s="406"/>
      <c r="O40" s="407">
        <f t="shared" si="5"/>
        <v>40000</v>
      </c>
      <c r="P40" s="404"/>
      <c r="Q40" s="406"/>
      <c r="R40" s="406"/>
      <c r="S40" s="406"/>
      <c r="T40" s="406">
        <v>40000</v>
      </c>
      <c r="U40" s="406"/>
      <c r="V40" s="1799">
        <f t="shared" si="4"/>
        <v>40000</v>
      </c>
    </row>
    <row r="41" spans="1:22" s="472" customFormat="1" ht="33" customHeight="1" x14ac:dyDescent="0.3">
      <c r="A41" s="399">
        <v>29</v>
      </c>
      <c r="B41" s="1809"/>
      <c r="C41" s="1930">
        <v>28</v>
      </c>
      <c r="D41" s="1600" t="s">
        <v>702</v>
      </c>
      <c r="E41" s="1807" t="s">
        <v>909</v>
      </c>
      <c r="F41" s="1931"/>
      <c r="G41" s="409">
        <f t="shared" si="2"/>
        <v>0</v>
      </c>
      <c r="H41" s="410"/>
      <c r="I41" s="1932"/>
      <c r="J41" s="1932"/>
      <c r="K41" s="1932"/>
      <c r="L41" s="1932"/>
      <c r="M41" s="1932">
        <v>19985</v>
      </c>
      <c r="N41" s="1932"/>
      <c r="O41" s="407">
        <f t="shared" si="5"/>
        <v>19985</v>
      </c>
      <c r="P41" s="409"/>
      <c r="Q41" s="1932"/>
      <c r="R41" s="1932"/>
      <c r="S41" s="1932"/>
      <c r="T41" s="1932">
        <v>19985</v>
      </c>
      <c r="U41" s="1932"/>
      <c r="V41" s="1799">
        <f t="shared" si="4"/>
        <v>19985</v>
      </c>
    </row>
    <row r="42" spans="1:22" ht="33" customHeight="1" x14ac:dyDescent="0.35">
      <c r="A42" s="1796">
        <v>30</v>
      </c>
      <c r="B42" s="390">
        <v>14</v>
      </c>
      <c r="C42" s="391" t="s">
        <v>529</v>
      </c>
      <c r="D42" s="392"/>
      <c r="E42" s="1933"/>
      <c r="F42" s="1797"/>
      <c r="G42" s="414"/>
      <c r="H42" s="412"/>
      <c r="I42" s="1813"/>
      <c r="J42" s="1813"/>
      <c r="K42" s="1813"/>
      <c r="L42" s="1813"/>
      <c r="M42" s="1813"/>
      <c r="N42" s="1813"/>
      <c r="O42" s="413"/>
      <c r="P42" s="414"/>
      <c r="Q42" s="415"/>
      <c r="R42" s="415"/>
      <c r="S42" s="415"/>
      <c r="T42" s="415"/>
      <c r="U42" s="415"/>
      <c r="V42" s="1814"/>
    </row>
    <row r="43" spans="1:22" ht="33" customHeight="1" thickBot="1" x14ac:dyDescent="0.35">
      <c r="A43" s="1796">
        <v>31</v>
      </c>
      <c r="B43" s="477"/>
      <c r="C43" s="416">
        <v>2</v>
      </c>
      <c r="D43" s="417" t="s">
        <v>914</v>
      </c>
      <c r="E43" s="418" t="s">
        <v>902</v>
      </c>
      <c r="F43" s="474"/>
      <c r="G43" s="419">
        <f>+V43-O43-H43</f>
        <v>0</v>
      </c>
      <c r="H43" s="420">
        <f>1926+228</f>
        <v>2154</v>
      </c>
      <c r="I43" s="406"/>
      <c r="J43" s="406"/>
      <c r="K43" s="406">
        <v>27687</v>
      </c>
      <c r="L43" s="406"/>
      <c r="M43" s="406"/>
      <c r="N43" s="406"/>
      <c r="O43" s="407">
        <f>SUM(I43:N43)</f>
        <v>27687</v>
      </c>
      <c r="P43" s="404"/>
      <c r="Q43" s="406"/>
      <c r="R43" s="406">
        <v>5105</v>
      </c>
      <c r="S43" s="406">
        <v>19384</v>
      </c>
      <c r="T43" s="406">
        <v>5352</v>
      </c>
      <c r="U43" s="406"/>
      <c r="V43" s="421">
        <f>SUM(P43:U43)</f>
        <v>29841</v>
      </c>
    </row>
    <row r="44" spans="1:22" ht="24.75" customHeight="1" thickBot="1" x14ac:dyDescent="0.35">
      <c r="A44" s="399">
        <v>32</v>
      </c>
      <c r="B44" s="2285" t="s">
        <v>129</v>
      </c>
      <c r="C44" s="2286"/>
      <c r="D44" s="2286"/>
      <c r="E44" s="2286"/>
      <c r="F44" s="473"/>
      <c r="G44" s="422">
        <f>SUM(G14:G43)</f>
        <v>1237388</v>
      </c>
      <c r="H44" s="423"/>
      <c r="I44" s="424">
        <f t="shared" ref="I44:V44" si="6">SUM(I14:I43)</f>
        <v>977327</v>
      </c>
      <c r="J44" s="424">
        <f t="shared" si="6"/>
        <v>9000</v>
      </c>
      <c r="K44" s="424">
        <f t="shared" si="6"/>
        <v>3102781</v>
      </c>
      <c r="L44" s="424">
        <f t="shared" si="6"/>
        <v>4462952</v>
      </c>
      <c r="M44" s="424">
        <f t="shared" si="6"/>
        <v>1440825</v>
      </c>
      <c r="N44" s="424">
        <f t="shared" si="6"/>
        <v>0</v>
      </c>
      <c r="O44" s="425">
        <f t="shared" si="6"/>
        <v>9992885</v>
      </c>
      <c r="P44" s="422">
        <f t="shared" si="6"/>
        <v>68046</v>
      </c>
      <c r="Q44" s="424">
        <f t="shared" si="6"/>
        <v>126233</v>
      </c>
      <c r="R44" s="424">
        <f t="shared" si="6"/>
        <v>848139</v>
      </c>
      <c r="S44" s="424">
        <f t="shared" si="6"/>
        <v>2566070</v>
      </c>
      <c r="T44" s="424">
        <f t="shared" si="6"/>
        <v>7901885</v>
      </c>
      <c r="U44" s="424">
        <f t="shared" si="6"/>
        <v>0</v>
      </c>
      <c r="V44" s="426">
        <f t="shared" si="6"/>
        <v>11510373</v>
      </c>
    </row>
    <row r="45" spans="1:22" ht="24.75" customHeight="1" x14ac:dyDescent="0.3">
      <c r="B45" s="2268" t="s">
        <v>915</v>
      </c>
      <c r="C45" s="2268"/>
      <c r="D45" s="2268"/>
      <c r="E45" s="2268"/>
      <c r="F45" s="2268"/>
      <c r="G45" s="2268"/>
      <c r="H45" s="2268"/>
      <c r="I45" s="2268"/>
      <c r="J45" s="2268"/>
      <c r="K45" s="2268"/>
      <c r="L45" s="2268"/>
      <c r="M45" s="2268"/>
      <c r="N45" s="2268"/>
      <c r="O45" s="2268"/>
      <c r="P45" s="2268"/>
      <c r="Q45" s="2268"/>
      <c r="R45" s="2268"/>
      <c r="S45" s="2268"/>
      <c r="T45" s="2268"/>
      <c r="U45" s="2268"/>
      <c r="V45" s="2268"/>
    </row>
    <row r="46" spans="1:22" ht="24.75" customHeight="1" x14ac:dyDescent="0.3">
      <c r="B46" s="2255" t="s">
        <v>543</v>
      </c>
      <c r="C46" s="2255"/>
      <c r="D46" s="2255"/>
      <c r="E46" s="2255"/>
      <c r="F46" s="2255"/>
      <c r="G46" s="2255"/>
      <c r="H46" s="2255"/>
      <c r="I46" s="2255"/>
      <c r="J46" s="2255"/>
      <c r="K46" s="2255"/>
      <c r="L46" s="2255"/>
      <c r="M46" s="2255"/>
      <c r="N46" s="2255"/>
      <c r="O46" s="2255"/>
      <c r="P46" s="2255"/>
      <c r="Q46" s="2255"/>
      <c r="R46" s="2255"/>
      <c r="S46" s="2255"/>
      <c r="T46" s="2255"/>
      <c r="U46" s="2255"/>
      <c r="V46" s="2255"/>
    </row>
    <row r="47" spans="1:22" x14ac:dyDescent="0.3">
      <c r="B47" s="2255" t="s">
        <v>987</v>
      </c>
      <c r="C47" s="2255"/>
      <c r="D47" s="2255"/>
      <c r="E47" s="2255"/>
      <c r="F47" s="2255"/>
      <c r="G47" s="2255"/>
      <c r="H47" s="2255"/>
      <c r="I47" s="2255"/>
      <c r="J47" s="2255"/>
      <c r="K47" s="2255"/>
      <c r="L47" s="2255"/>
      <c r="M47" s="2255"/>
      <c r="N47" s="2255"/>
      <c r="O47" s="2255"/>
      <c r="P47" s="2255"/>
      <c r="Q47" s="2255"/>
      <c r="R47" s="2255"/>
      <c r="S47" s="2255"/>
      <c r="T47" s="2255"/>
      <c r="U47" s="2255"/>
      <c r="V47" s="2255"/>
    </row>
  </sheetData>
  <mergeCells count="21">
    <mergeCell ref="B47:V47"/>
    <mergeCell ref="B46:V46"/>
    <mergeCell ref="B10:B12"/>
    <mergeCell ref="C10:C12"/>
    <mergeCell ref="D10:D12"/>
    <mergeCell ref="E10:E12"/>
    <mergeCell ref="B45:V45"/>
    <mergeCell ref="G10:O10"/>
    <mergeCell ref="P10:U11"/>
    <mergeCell ref="V10:V12"/>
    <mergeCell ref="G11:G12"/>
    <mergeCell ref="H11:H12"/>
    <mergeCell ref="I11:N11"/>
    <mergeCell ref="O11:O12"/>
    <mergeCell ref="B44:E44"/>
    <mergeCell ref="B1:U1"/>
    <mergeCell ref="B5:V5"/>
    <mergeCell ref="B6:V6"/>
    <mergeCell ref="B7:V7"/>
    <mergeCell ref="U8:V8"/>
    <mergeCell ref="B2:F2"/>
  </mergeCells>
  <printOptions horizontalCentered="1"/>
  <pageMargins left="0.19685039370078741" right="0.19685039370078741" top="0.59055118110236227" bottom="0.59055118110236227" header="0.51181102362204722" footer="0.51181102362204722"/>
  <pageSetup paperSize="9" scale="48" fitToHeight="0" orientation="landscape" r:id="rId1"/>
  <headerFooter>
    <oddFooter>&amp;C- &amp;P -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51"/>
  <sheetViews>
    <sheetView view="pageBreakPreview" topLeftCell="A4" zoomScaleNormal="100" zoomScaleSheetLayoutView="100" workbookViewId="0">
      <selection activeCell="M25" sqref="M25"/>
    </sheetView>
  </sheetViews>
  <sheetFormatPr defaultColWidth="9.140625" defaultRowHeight="16.5" x14ac:dyDescent="0.3"/>
  <cols>
    <col min="1" max="1" width="3.7109375" style="103" customWidth="1"/>
    <col min="2" max="2" width="4.7109375" style="103" customWidth="1"/>
    <col min="3" max="3" width="51.7109375" style="23" customWidth="1"/>
    <col min="4" max="4" width="24.28515625" style="22" customWidth="1"/>
    <col min="5" max="16384" width="9.140625" style="23"/>
  </cols>
  <sheetData>
    <row r="1" spans="1:4" ht="18" customHeight="1" x14ac:dyDescent="0.3">
      <c r="A1" s="103" t="s">
        <v>380</v>
      </c>
      <c r="B1" s="2289" t="s">
        <v>986</v>
      </c>
      <c r="C1" s="2289"/>
    </row>
    <row r="2" spans="1:4" ht="18" customHeight="1" x14ac:dyDescent="0.3">
      <c r="B2" s="351"/>
      <c r="C2" s="351"/>
    </row>
    <row r="3" spans="1:4" s="26" customFormat="1" ht="24.75" customHeight="1" x14ac:dyDescent="0.35">
      <c r="A3" s="138"/>
      <c r="B3" s="2290" t="s">
        <v>122</v>
      </c>
      <c r="C3" s="2290"/>
      <c r="D3" s="2290"/>
    </row>
    <row r="4" spans="1:4" s="24" customFormat="1" ht="24.75" customHeight="1" x14ac:dyDescent="0.2">
      <c r="A4" s="139"/>
      <c r="B4" s="2291" t="s">
        <v>685</v>
      </c>
      <c r="C4" s="2291"/>
      <c r="D4" s="2291"/>
    </row>
    <row r="5" spans="1:4" s="93" customFormat="1" ht="17.25" x14ac:dyDescent="0.2">
      <c r="A5" s="103"/>
      <c r="B5" s="2292" t="s">
        <v>381</v>
      </c>
      <c r="C5" s="2292"/>
      <c r="D5" s="2292"/>
    </row>
    <row r="6" spans="1:4" s="347" customFormat="1" ht="15" thickBot="1" x14ac:dyDescent="0.35">
      <c r="A6" s="66"/>
      <c r="B6" s="2293" t="s">
        <v>1</v>
      </c>
      <c r="C6" s="2293"/>
      <c r="D6" s="346" t="s">
        <v>3</v>
      </c>
    </row>
    <row r="7" spans="1:4" ht="35.25" thickBot="1" x14ac:dyDescent="0.35">
      <c r="B7" s="2294" t="s">
        <v>382</v>
      </c>
      <c r="C7" s="2295"/>
      <c r="D7" s="94" t="s">
        <v>383</v>
      </c>
    </row>
    <row r="8" spans="1:4" s="26" customFormat="1" x14ac:dyDescent="0.3">
      <c r="A8" s="138">
        <v>1</v>
      </c>
      <c r="B8" s="25" t="s">
        <v>130</v>
      </c>
      <c r="C8" s="95" t="s">
        <v>384</v>
      </c>
      <c r="D8" s="96"/>
    </row>
    <row r="9" spans="1:4" x14ac:dyDescent="0.3">
      <c r="A9" s="138">
        <v>2</v>
      </c>
      <c r="B9" s="27"/>
      <c r="C9" s="97" t="s">
        <v>131</v>
      </c>
      <c r="D9" s="352">
        <v>150000</v>
      </c>
    </row>
    <row r="10" spans="1:4" x14ac:dyDescent="0.3">
      <c r="A10" s="138">
        <v>3</v>
      </c>
      <c r="B10" s="27"/>
      <c r="C10" s="97" t="s">
        <v>132</v>
      </c>
      <c r="D10" s="352">
        <v>30000</v>
      </c>
    </row>
    <row r="11" spans="1:4" x14ac:dyDescent="0.3">
      <c r="A11" s="138">
        <v>4</v>
      </c>
      <c r="B11" s="27"/>
      <c r="C11" s="97" t="s">
        <v>133</v>
      </c>
      <c r="D11" s="352">
        <v>150000</v>
      </c>
    </row>
    <row r="12" spans="1:4" x14ac:dyDescent="0.3">
      <c r="A12" s="138">
        <v>5</v>
      </c>
      <c r="B12" s="27"/>
      <c r="C12" s="97" t="s">
        <v>134</v>
      </c>
      <c r="D12" s="352">
        <v>14000</v>
      </c>
    </row>
    <row r="13" spans="1:4" x14ac:dyDescent="0.3">
      <c r="A13" s="138">
        <v>6</v>
      </c>
      <c r="B13" s="27"/>
      <c r="C13" s="97" t="s">
        <v>135</v>
      </c>
      <c r="D13" s="352">
        <v>42000</v>
      </c>
    </row>
    <row r="14" spans="1:4" x14ac:dyDescent="0.3">
      <c r="A14" s="138">
        <v>7</v>
      </c>
      <c r="B14" s="27"/>
      <c r="C14" s="97" t="s">
        <v>136</v>
      </c>
      <c r="D14" s="353">
        <v>100000</v>
      </c>
    </row>
    <row r="15" spans="1:4" s="93" customFormat="1" ht="17.25" x14ac:dyDescent="0.2">
      <c r="A15" s="103">
        <v>8</v>
      </c>
      <c r="B15" s="27"/>
      <c r="C15" s="98"/>
      <c r="D15" s="99">
        <f>SUM(D9:D14)</f>
        <v>486000</v>
      </c>
    </row>
    <row r="16" spans="1:4" s="24" customFormat="1" ht="49.5" x14ac:dyDescent="0.2">
      <c r="A16" s="139">
        <v>9</v>
      </c>
      <c r="B16" s="28" t="s">
        <v>137</v>
      </c>
      <c r="C16" s="100" t="s">
        <v>385</v>
      </c>
      <c r="D16" s="354">
        <v>113</v>
      </c>
    </row>
    <row r="17" spans="1:4" s="24" customFormat="1" ht="33" x14ac:dyDescent="0.2">
      <c r="A17" s="139">
        <v>10</v>
      </c>
      <c r="B17" s="28" t="s">
        <v>138</v>
      </c>
      <c r="C17" s="100" t="s">
        <v>386</v>
      </c>
      <c r="D17" s="101"/>
    </row>
    <row r="18" spans="1:4" s="24" customFormat="1" ht="33" x14ac:dyDescent="0.2">
      <c r="A18" s="139">
        <v>11</v>
      </c>
      <c r="B18" s="28" t="s">
        <v>139</v>
      </c>
      <c r="C18" s="100" t="s">
        <v>387</v>
      </c>
      <c r="D18" s="101">
        <v>1476</v>
      </c>
    </row>
    <row r="19" spans="1:4" s="24" customFormat="1" ht="33.75" thickBot="1" x14ac:dyDescent="0.25">
      <c r="A19" s="139">
        <v>12</v>
      </c>
      <c r="B19" s="28" t="s">
        <v>140</v>
      </c>
      <c r="C19" s="100" t="s">
        <v>388</v>
      </c>
      <c r="D19" s="101"/>
    </row>
    <row r="20" spans="1:4" s="24" customFormat="1" ht="18" thickBot="1" x14ac:dyDescent="0.25">
      <c r="A20" s="139">
        <v>13</v>
      </c>
      <c r="B20" s="2287" t="s">
        <v>141</v>
      </c>
      <c r="C20" s="2288"/>
      <c r="D20" s="102">
        <f>SUM(D15:D19)</f>
        <v>487589</v>
      </c>
    </row>
    <row r="21" spans="1:4" ht="16.5" customHeight="1" x14ac:dyDescent="0.3">
      <c r="C21" s="104"/>
      <c r="D21" s="29"/>
    </row>
    <row r="22" spans="1:4" ht="16.5" customHeight="1" x14ac:dyDescent="0.3">
      <c r="C22" s="104"/>
      <c r="D22" s="29"/>
    </row>
    <row r="23" spans="1:4" ht="16.5" customHeight="1" x14ac:dyDescent="0.3">
      <c r="C23" s="104"/>
      <c r="D23" s="29"/>
    </row>
    <row r="24" spans="1:4" ht="16.5" customHeight="1" x14ac:dyDescent="0.3">
      <c r="C24" s="104"/>
      <c r="D24" s="29"/>
    </row>
    <row r="25" spans="1:4" ht="16.5" customHeight="1" x14ac:dyDescent="0.3">
      <c r="C25" s="104"/>
      <c r="D25" s="29"/>
    </row>
    <row r="26" spans="1:4" ht="16.5" customHeight="1" x14ac:dyDescent="0.3">
      <c r="C26" s="104"/>
      <c r="D26" s="29"/>
    </row>
    <row r="27" spans="1:4" ht="16.5" customHeight="1" x14ac:dyDescent="0.3">
      <c r="C27" s="104"/>
      <c r="D27" s="29"/>
    </row>
    <row r="28" spans="1:4" ht="16.5" customHeight="1" x14ac:dyDescent="0.3">
      <c r="C28" s="104"/>
      <c r="D28" s="29"/>
    </row>
    <row r="29" spans="1:4" ht="16.5" customHeight="1" x14ac:dyDescent="0.3">
      <c r="C29" s="104"/>
      <c r="D29" s="29"/>
    </row>
    <row r="30" spans="1:4" ht="16.5" customHeight="1" x14ac:dyDescent="0.3">
      <c r="C30" s="104"/>
      <c r="D30" s="29"/>
    </row>
    <row r="31" spans="1:4" ht="16.5" customHeight="1" x14ac:dyDescent="0.3">
      <c r="C31" s="104"/>
      <c r="D31" s="29"/>
    </row>
    <row r="32" spans="1:4" x14ac:dyDescent="0.3">
      <c r="C32" s="104"/>
      <c r="D32" s="29"/>
    </row>
    <row r="33" spans="3:4" x14ac:dyDescent="0.3">
      <c r="C33" s="104"/>
      <c r="D33" s="29"/>
    </row>
    <row r="34" spans="3:4" x14ac:dyDescent="0.3">
      <c r="C34" s="104"/>
      <c r="D34" s="29"/>
    </row>
    <row r="35" spans="3:4" x14ac:dyDescent="0.3">
      <c r="C35" s="104"/>
      <c r="D35" s="29"/>
    </row>
    <row r="36" spans="3:4" x14ac:dyDescent="0.3">
      <c r="C36" s="104"/>
      <c r="D36" s="29"/>
    </row>
    <row r="37" spans="3:4" x14ac:dyDescent="0.3">
      <c r="C37" s="104"/>
      <c r="D37" s="29"/>
    </row>
    <row r="38" spans="3:4" x14ac:dyDescent="0.3">
      <c r="C38" s="104"/>
      <c r="D38" s="29"/>
    </row>
    <row r="39" spans="3:4" x14ac:dyDescent="0.3">
      <c r="C39" s="104"/>
      <c r="D39" s="29"/>
    </row>
    <row r="40" spans="3:4" x14ac:dyDescent="0.3">
      <c r="C40" s="104"/>
      <c r="D40" s="29"/>
    </row>
    <row r="41" spans="3:4" x14ac:dyDescent="0.3">
      <c r="C41" s="104"/>
      <c r="D41" s="29"/>
    </row>
    <row r="42" spans="3:4" x14ac:dyDescent="0.3">
      <c r="C42" s="104"/>
      <c r="D42" s="29"/>
    </row>
    <row r="43" spans="3:4" x14ac:dyDescent="0.3">
      <c r="C43" s="104"/>
      <c r="D43" s="29"/>
    </row>
    <row r="44" spans="3:4" x14ac:dyDescent="0.3">
      <c r="C44" s="104"/>
      <c r="D44" s="29"/>
    </row>
    <row r="45" spans="3:4" x14ac:dyDescent="0.3">
      <c r="C45" s="104"/>
      <c r="D45" s="29"/>
    </row>
    <row r="46" spans="3:4" x14ac:dyDescent="0.3">
      <c r="C46" s="104"/>
      <c r="D46" s="29"/>
    </row>
    <row r="47" spans="3:4" x14ac:dyDescent="0.3">
      <c r="C47" s="104"/>
      <c r="D47" s="29"/>
    </row>
    <row r="48" spans="3:4" x14ac:dyDescent="0.3">
      <c r="C48" s="104"/>
      <c r="D48" s="29"/>
    </row>
    <row r="49" spans="3:4" x14ac:dyDescent="0.3">
      <c r="C49" s="104"/>
      <c r="D49" s="29"/>
    </row>
    <row r="50" spans="3:4" x14ac:dyDescent="0.3">
      <c r="C50" s="104"/>
      <c r="D50" s="29"/>
    </row>
    <row r="51" spans="3:4" x14ac:dyDescent="0.3">
      <c r="C51" s="104"/>
      <c r="D51" s="29"/>
    </row>
  </sheetData>
  <mergeCells count="7">
    <mergeCell ref="B20:C20"/>
    <mergeCell ref="B1:C1"/>
    <mergeCell ref="B3:D3"/>
    <mergeCell ref="B4:D4"/>
    <mergeCell ref="B5:D5"/>
    <mergeCell ref="B6:C6"/>
    <mergeCell ref="B7:C7"/>
  </mergeCells>
  <printOptions horizontalCentered="1"/>
  <pageMargins left="0.19685039370078741" right="0.19685039370078741" top="0.59055118110236227" bottom="0.59055118110236227" header="0.51181102362204722" footer="0.51181102362204722"/>
  <pageSetup paperSize="9" fitToHeight="0" orientation="portrait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22</vt:i4>
      </vt:variant>
      <vt:variant>
        <vt:lpstr>Névvel ellátott tartományok</vt:lpstr>
      </vt:variant>
      <vt:variant>
        <vt:i4>21</vt:i4>
      </vt:variant>
    </vt:vector>
  </HeadingPairs>
  <TitlesOfParts>
    <vt:vector size="43" baseType="lpstr">
      <vt:lpstr>1.Onbe</vt:lpstr>
      <vt:lpstr>1.A Norm</vt:lpstr>
      <vt:lpstr>2.Onki</vt:lpstr>
      <vt:lpstr>3.Inbe </vt:lpstr>
      <vt:lpstr>3.A Inbe</vt:lpstr>
      <vt:lpstr>4.Inki</vt:lpstr>
      <vt:lpstr>5.Infelhki</vt:lpstr>
      <vt:lpstr>6.Önk.műk.</vt:lpstr>
      <vt:lpstr>6.A Alapítv</vt:lpstr>
      <vt:lpstr>7.Beruh.</vt:lpstr>
      <vt:lpstr>8.Felúj.</vt:lpstr>
      <vt:lpstr>9.Projekt</vt:lpstr>
      <vt:lpstr>10.MVP és hazai</vt:lpstr>
      <vt:lpstr>11.EKF</vt:lpstr>
      <vt:lpstr>12.Mérleg</vt:lpstr>
      <vt:lpstr>13.Létszám</vt:lpstr>
      <vt:lpstr>14. Többéves</vt:lpstr>
      <vt:lpstr>15.Hitel</vt:lpstr>
      <vt:lpstr>15.A Beruh.hitel</vt:lpstr>
      <vt:lpstr>15.B Beruh.hitel</vt:lpstr>
      <vt:lpstr>16.EU</vt:lpstr>
      <vt:lpstr>17.Közv.tám.</vt:lpstr>
      <vt:lpstr>'14. Többéves'!Nyomtatási_cím</vt:lpstr>
      <vt:lpstr>'1.A Norm'!Nyomtatási_terület</vt:lpstr>
      <vt:lpstr>'1.Onbe'!Nyomtatási_terület</vt:lpstr>
      <vt:lpstr>'10.MVP és hazai'!Nyomtatási_terület</vt:lpstr>
      <vt:lpstr>'11.EKF'!Nyomtatási_terület</vt:lpstr>
      <vt:lpstr>'12.Mérleg'!Nyomtatási_terület</vt:lpstr>
      <vt:lpstr>'13.Létszám'!Nyomtatási_terület</vt:lpstr>
      <vt:lpstr>'14. Többéves'!Nyomtatási_terület</vt:lpstr>
      <vt:lpstr>'15.A Beruh.hitel'!Nyomtatási_terület</vt:lpstr>
      <vt:lpstr>'15.B Beruh.hitel'!Nyomtatási_terület</vt:lpstr>
      <vt:lpstr>'15.Hitel'!Nyomtatási_terület</vt:lpstr>
      <vt:lpstr>'2.Onki'!Nyomtatási_terület</vt:lpstr>
      <vt:lpstr>'3.A Inbe'!Nyomtatási_terület</vt:lpstr>
      <vt:lpstr>'3.Inbe '!Nyomtatási_terület</vt:lpstr>
      <vt:lpstr>'4.Inki'!Nyomtatási_terület</vt:lpstr>
      <vt:lpstr>'5.Infelhki'!Nyomtatási_terület</vt:lpstr>
      <vt:lpstr>'6.A Alapítv'!Nyomtatási_terület</vt:lpstr>
      <vt:lpstr>'6.Önk.műk.'!Nyomtatási_terület</vt:lpstr>
      <vt:lpstr>'7.Beruh.'!Nyomtatási_terület</vt:lpstr>
      <vt:lpstr>'8.Felúj.'!Nyomtatási_terület</vt:lpstr>
      <vt:lpstr>'9.Projekt'!Nyomtatási_terület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Schumacher Judit</dc:creator>
  <cp:lastModifiedBy>Horváthné Csere Anikó</cp:lastModifiedBy>
  <cp:lastPrinted>2020-03-26T06:57:43Z</cp:lastPrinted>
  <dcterms:created xsi:type="dcterms:W3CDTF">2015-02-11T07:38:58Z</dcterms:created>
  <dcterms:modified xsi:type="dcterms:W3CDTF">2020-09-24T10:27:46Z</dcterms:modified>
</cp:coreProperties>
</file>