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260" yWindow="888" windowWidth="17496" windowHeight="11016" tabRatio="823"/>
  </bookViews>
  <sheets>
    <sheet name="1.sz.tábla   (2)" sheetId="42" r:id="rId1"/>
    <sheet name="2.sz.tábla   (2)" sheetId="41" r:id="rId2"/>
    <sheet name="2.a tábla ÚJ " sheetId="44" r:id="rId3"/>
    <sheet name="2b. tábla 2018" sheetId="146" r:id="rId4"/>
    <sheet name="2c. tábla 2018." sheetId="147" r:id="rId5"/>
    <sheet name="3.sz. tábla  (2)" sheetId="45" r:id="rId6"/>
    <sheet name="4.sz.tábla " sheetId="52" r:id="rId7"/>
    <sheet name="4a. sz. tábla  (3)" sheetId="107" r:id="rId8"/>
    <sheet name="5.tábla (2)" sheetId="40" r:id="rId9"/>
    <sheet name="5b. sz. tábla  (2)" sheetId="49" r:id="rId10"/>
    <sheet name="6.sz.tábla " sheetId="142" r:id="rId11"/>
    <sheet name="7. sz. tábla 1" sheetId="50" r:id="rId12"/>
    <sheet name="8. sz. tábla  (3)" sheetId="97" r:id="rId13"/>
    <sheet name="8a. sz. tábla  (4)" sheetId="143" r:id="rId14"/>
    <sheet name="9. sz. tábla (2)" sheetId="144" r:id="rId15"/>
    <sheet name="10 melléklet" sheetId="148" r:id="rId16"/>
    <sheet name="11. melléklet" sheetId="149" r:id="rId17"/>
    <sheet name="12. melléklet" sheetId="150" r:id="rId18"/>
    <sheet name="13. melléklet" sheetId="145" r:id="rId19"/>
    <sheet name="14. melléklet" sheetId="151" r:id="rId20"/>
    <sheet name="15. melléklet (2)" sheetId="152" r:id="rId21"/>
    <sheet name="16. melléklet" sheetId="153" r:id="rId22"/>
    <sheet name="17. melléklet" sheetId="140" r:id="rId23"/>
    <sheet name="18. melléklet" sheetId="154" r:id="rId24"/>
    <sheet name="Munka1" sheetId="134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_xlnm.Print_Area" localSheetId="0">'1.sz.tábla   (2)'!$A$1:$D$52</definedName>
    <definedName name="_xlnm.Print_Area" localSheetId="15">'10 melléklet'!$A$1:$L$88</definedName>
    <definedName name="_xlnm.Print_Area" localSheetId="17">'12. melléklet'!$A$1:$E$25</definedName>
    <definedName name="_xlnm.Print_Area" localSheetId="19">'14. melléklet'!$A$1:$G$25</definedName>
    <definedName name="_xlnm.Print_Area" localSheetId="20">'15. melléklet (2)'!$A$1:$C$24</definedName>
    <definedName name="_xlnm.Print_Area" localSheetId="21">'16. melléklet'!$A$2:$C$22</definedName>
    <definedName name="_xlnm.Print_Area" localSheetId="22">'17. melléklet'!$A$1:$N$55</definedName>
    <definedName name="_xlnm.Print_Area" localSheetId="23">'18. melléklet'!$A$1:$E$42</definedName>
    <definedName name="_xlnm.Print_Area" localSheetId="2">'2.a tábla ÚJ '!$A$1:$Q$60</definedName>
    <definedName name="_xlnm.Print_Area" localSheetId="1">'2.sz.tábla   (2)'!$A$1:$M$94</definedName>
    <definedName name="_xlnm.Print_Area" localSheetId="3">'2b. tábla 2018'!$A$1:$H$87</definedName>
    <definedName name="_xlnm.Print_Area" localSheetId="4">'2c. tábla 2018.'!$A$1:$J$119</definedName>
    <definedName name="_xlnm.Print_Area" localSheetId="5">'3.sz. tábla  (2)'!$A$1:$AB$16</definedName>
    <definedName name="_xlnm.Print_Area" localSheetId="6">'4.sz.tábla '!$A$1:$AQ$13</definedName>
    <definedName name="_xlnm.Print_Area" localSheetId="7">'4a. sz. tábla  (3)'!$A$1:$E$43</definedName>
    <definedName name="_xlnm.Print_Area" localSheetId="8">'5.tábla (2)'!$A$1:$D$121</definedName>
    <definedName name="_xlnm.Print_Area" localSheetId="9">'5b. sz. tábla  (2)'!$A$2:$D$82</definedName>
    <definedName name="_xlnm.Print_Area" localSheetId="10">'6.sz.tábla '!$A$1:$D$116</definedName>
    <definedName name="_xlnm.Print_Area" localSheetId="11">'7. sz. tábla 1'!$A$1:$D$192</definedName>
    <definedName name="_xlnm.Print_Area" localSheetId="12">'8. sz. tábla  (3)'!$A$1:$H$61</definedName>
    <definedName name="_xlnm.Print_Area" localSheetId="13">'8a. sz. tábla  (4)'!$A$2:$H$62</definedName>
    <definedName name="_xlnm.Print_Area" localSheetId="14">'9. sz. tábla (2)'!$A$2:$J$95</definedName>
    <definedName name="onev" localSheetId="23">[1]kod!$BT$34:$BT$3186</definedName>
    <definedName name="onev" localSheetId="3">[2]kod!$BT$34:$BT$3186</definedName>
    <definedName name="onev" localSheetId="4">[2]kod!$BT$34:$BT$3186</definedName>
    <definedName name="onev">[1]kod!$BT$34:$BT$3186</definedName>
  </definedNames>
  <calcPr calcId="145621"/>
</workbook>
</file>

<file path=xl/calcChain.xml><?xml version="1.0" encoding="utf-8"?>
<calcChain xmlns="http://schemas.openxmlformats.org/spreadsheetml/2006/main">
  <c r="E41" i="154" l="1"/>
  <c r="D41" i="154"/>
  <c r="C41" i="154"/>
  <c r="B40" i="154"/>
  <c r="B39" i="154"/>
  <c r="B38" i="154"/>
  <c r="B36" i="154"/>
  <c r="B34" i="154" s="1"/>
  <c r="E35" i="154"/>
  <c r="D35" i="154"/>
  <c r="D34" i="154" s="1"/>
  <c r="D37" i="154" s="1"/>
  <c r="D42" i="154" s="1"/>
  <c r="B35" i="154"/>
  <c r="E34" i="154"/>
  <c r="C34" i="154"/>
  <c r="B33" i="154"/>
  <c r="B32" i="154"/>
  <c r="B31" i="154"/>
  <c r="B29" i="154" s="1"/>
  <c r="B30" i="154"/>
  <c r="E29" i="154"/>
  <c r="D29" i="154"/>
  <c r="C29" i="154"/>
  <c r="B28" i="154"/>
  <c r="B27" i="154"/>
  <c r="B26" i="154"/>
  <c r="B25" i="154"/>
  <c r="B23" i="154" s="1"/>
  <c r="B24" i="154"/>
  <c r="E23" i="154"/>
  <c r="D23" i="154"/>
  <c r="C23" i="154"/>
  <c r="E20" i="154"/>
  <c r="D20" i="154"/>
  <c r="C20" i="154"/>
  <c r="B19" i="154"/>
  <c r="B18" i="154"/>
  <c r="B20" i="154" s="1"/>
  <c r="E16" i="154"/>
  <c r="D16" i="154"/>
  <c r="D21" i="154" s="1"/>
  <c r="D43" i="154" s="1"/>
  <c r="C16" i="154"/>
  <c r="B15" i="154"/>
  <c r="B14" i="154"/>
  <c r="B13" i="154"/>
  <c r="B12" i="154"/>
  <c r="B11" i="154"/>
  <c r="B10" i="154"/>
  <c r="B9" i="154"/>
  <c r="B14" i="153"/>
  <c r="B12" i="153"/>
  <c r="B15" i="153" s="1"/>
  <c r="B18" i="153" s="1"/>
  <c r="B21" i="153" s="1"/>
  <c r="D20" i="152"/>
  <c r="B20" i="152"/>
  <c r="B11" i="152"/>
  <c r="F25" i="151"/>
  <c r="E25" i="151"/>
  <c r="D25" i="151"/>
  <c r="C25" i="151"/>
  <c r="F14" i="151"/>
  <c r="F15" i="151" s="1"/>
  <c r="E14" i="151"/>
  <c r="E15" i="151" s="1"/>
  <c r="D14" i="151"/>
  <c r="D15" i="151" s="1"/>
  <c r="C11" i="151"/>
  <c r="C10" i="151"/>
  <c r="C9" i="151"/>
  <c r="C8" i="151"/>
  <c r="C14" i="151" s="1"/>
  <c r="C15" i="151" s="1"/>
  <c r="F24" i="150"/>
  <c r="D24" i="150" s="1"/>
  <c r="F23" i="150"/>
  <c r="E23" i="150"/>
  <c r="D23" i="150"/>
  <c r="D22" i="150"/>
  <c r="D21" i="150"/>
  <c r="F20" i="150"/>
  <c r="D20" i="150"/>
  <c r="F19" i="150"/>
  <c r="D19" i="150"/>
  <c r="F18" i="150"/>
  <c r="D18" i="150"/>
  <c r="F17" i="150"/>
  <c r="D17" i="150"/>
  <c r="F16" i="150"/>
  <c r="D16" i="150"/>
  <c r="E15" i="150"/>
  <c r="D15" i="150"/>
  <c r="D13" i="150"/>
  <c r="D12" i="150"/>
  <c r="E11" i="150"/>
  <c r="D11" i="150"/>
  <c r="H30" i="149"/>
  <c r="G30" i="149"/>
  <c r="F30" i="149"/>
  <c r="E30" i="149"/>
  <c r="H23" i="149"/>
  <c r="G23" i="149"/>
  <c r="F23" i="149"/>
  <c r="E23" i="149"/>
  <c r="E21" i="149"/>
  <c r="G20" i="149"/>
  <c r="H20" i="149" s="1"/>
  <c r="H21" i="149" s="1"/>
  <c r="H19" i="149" s="1"/>
  <c r="H24" i="149" s="1"/>
  <c r="H43" i="149" s="1"/>
  <c r="F20" i="149"/>
  <c r="F21" i="149" s="1"/>
  <c r="F19" i="149" s="1"/>
  <c r="F24" i="149" s="1"/>
  <c r="F43" i="149" s="1"/>
  <c r="K87" i="148"/>
  <c r="L87" i="148" s="1"/>
  <c r="K86" i="148"/>
  <c r="L86" i="148" s="1"/>
  <c r="K85" i="148"/>
  <c r="L85" i="148" s="1"/>
  <c r="K84" i="148"/>
  <c r="L84" i="148" s="1"/>
  <c r="K83" i="148"/>
  <c r="L83" i="148" s="1"/>
  <c r="K82" i="148"/>
  <c r="L82" i="148" s="1"/>
  <c r="K81" i="148"/>
  <c r="L81" i="148" s="1"/>
  <c r="K80" i="148"/>
  <c r="L80" i="148" s="1"/>
  <c r="K79" i="148"/>
  <c r="L79" i="148" s="1"/>
  <c r="K77" i="148"/>
  <c r="L77" i="148" s="1"/>
  <c r="K76" i="148"/>
  <c r="L76" i="148" s="1"/>
  <c r="K75" i="148"/>
  <c r="L75" i="148" s="1"/>
  <c r="K74" i="148"/>
  <c r="L74" i="148" s="1"/>
  <c r="K73" i="148"/>
  <c r="L73" i="148" s="1"/>
  <c r="K72" i="148"/>
  <c r="L72" i="148" s="1"/>
  <c r="K71" i="148"/>
  <c r="L71" i="148" s="1"/>
  <c r="K70" i="148"/>
  <c r="L70" i="148" s="1"/>
  <c r="K69" i="148"/>
  <c r="L69" i="148" s="1"/>
  <c r="K68" i="148"/>
  <c r="L68" i="148" s="1"/>
  <c r="K67" i="148"/>
  <c r="L67" i="148" s="1"/>
  <c r="K65" i="148"/>
  <c r="L65" i="148" s="1"/>
  <c r="K64" i="148"/>
  <c r="L64" i="148" s="1"/>
  <c r="K63" i="148"/>
  <c r="L63" i="148" s="1"/>
  <c r="K62" i="148"/>
  <c r="L62" i="148" s="1"/>
  <c r="K61" i="148"/>
  <c r="L61" i="148" s="1"/>
  <c r="K60" i="148"/>
  <c r="L60" i="148" s="1"/>
  <c r="K59" i="148"/>
  <c r="L59" i="148" s="1"/>
  <c r="K58" i="148"/>
  <c r="L58" i="148" s="1"/>
  <c r="K57" i="148"/>
  <c r="L57" i="148" s="1"/>
  <c r="K56" i="148"/>
  <c r="L56" i="148" s="1"/>
  <c r="K54" i="148"/>
  <c r="L54" i="148" s="1"/>
  <c r="K53" i="148"/>
  <c r="L53" i="148" s="1"/>
  <c r="K52" i="148"/>
  <c r="L52" i="148" s="1"/>
  <c r="K51" i="148"/>
  <c r="L51" i="148" s="1"/>
  <c r="K50" i="148"/>
  <c r="L50" i="148" s="1"/>
  <c r="K49" i="148"/>
  <c r="L49" i="148" s="1"/>
  <c r="K48" i="148"/>
  <c r="L48" i="148" s="1"/>
  <c r="K47" i="148"/>
  <c r="L47" i="148" s="1"/>
  <c r="K46" i="148"/>
  <c r="L46" i="148" s="1"/>
  <c r="K45" i="148"/>
  <c r="L45" i="148" s="1"/>
  <c r="K44" i="148"/>
  <c r="L44" i="148" s="1"/>
  <c r="K43" i="148"/>
  <c r="L43" i="148" s="1"/>
  <c r="K41" i="148"/>
  <c r="L41" i="148" s="1"/>
  <c r="K40" i="148"/>
  <c r="L40" i="148" s="1"/>
  <c r="K39" i="148"/>
  <c r="L39" i="148" s="1"/>
  <c r="K38" i="148"/>
  <c r="L38" i="148" s="1"/>
  <c r="L37" i="148"/>
  <c r="K37" i="148"/>
  <c r="L36" i="148"/>
  <c r="K36" i="148"/>
  <c r="K35" i="148"/>
  <c r="L35" i="148" s="1"/>
  <c r="K34" i="148"/>
  <c r="L34" i="148" s="1"/>
  <c r="K33" i="148"/>
  <c r="L33" i="148" s="1"/>
  <c r="K32" i="148"/>
  <c r="L32" i="148" s="1"/>
  <c r="K31" i="148"/>
  <c r="L31" i="148" s="1"/>
  <c r="K30" i="148"/>
  <c r="L30" i="148" s="1"/>
  <c r="K29" i="148"/>
  <c r="L29" i="148" s="1"/>
  <c r="K28" i="148"/>
  <c r="L28" i="148" s="1"/>
  <c r="K26" i="148"/>
  <c r="L26" i="148" s="1"/>
  <c r="K25" i="148"/>
  <c r="L25" i="148" s="1"/>
  <c r="K24" i="148"/>
  <c r="L24" i="148" s="1"/>
  <c r="K23" i="148"/>
  <c r="L23" i="148" s="1"/>
  <c r="K22" i="148"/>
  <c r="L22" i="148" s="1"/>
  <c r="K21" i="148"/>
  <c r="J21" i="148"/>
  <c r="I21" i="148"/>
  <c r="H21" i="148"/>
  <c r="G21" i="148"/>
  <c r="F21" i="148"/>
  <c r="E21" i="148"/>
  <c r="D21" i="148"/>
  <c r="L21" i="148" s="1"/>
  <c r="L20" i="148"/>
  <c r="K20" i="148"/>
  <c r="J20" i="148"/>
  <c r="G20" i="148"/>
  <c r="F20" i="148"/>
  <c r="E20" i="148"/>
  <c r="D20" i="148"/>
  <c r="L18" i="148"/>
  <c r="K18" i="148"/>
  <c r="J18" i="148"/>
  <c r="G18" i="148"/>
  <c r="F18" i="148"/>
  <c r="E18" i="148"/>
  <c r="D18" i="148"/>
  <c r="J16" i="148"/>
  <c r="I16" i="148"/>
  <c r="H16" i="148"/>
  <c r="G16" i="148"/>
  <c r="F16" i="148"/>
  <c r="E16" i="148"/>
  <c r="D16" i="148"/>
  <c r="K15" i="148"/>
  <c r="K16" i="148" s="1"/>
  <c r="J14" i="148"/>
  <c r="I14" i="148"/>
  <c r="I12" i="148" s="1"/>
  <c r="H14" i="148"/>
  <c r="G14" i="148"/>
  <c r="G12" i="148" s="1"/>
  <c r="F14" i="148"/>
  <c r="E14" i="148"/>
  <c r="D14" i="148"/>
  <c r="L13" i="148"/>
  <c r="L14" i="148" s="1"/>
  <c r="K13" i="148"/>
  <c r="K14" i="148" s="1"/>
  <c r="J12" i="148"/>
  <c r="J88" i="148" s="1"/>
  <c r="H12" i="148"/>
  <c r="H88" i="148" s="1"/>
  <c r="F12" i="148"/>
  <c r="F88" i="148" s="1"/>
  <c r="E12" i="148"/>
  <c r="D12" i="148"/>
  <c r="E88" i="148" l="1"/>
  <c r="E19" i="149"/>
  <c r="E24" i="149" s="1"/>
  <c r="E43" i="149" s="1"/>
  <c r="E25" i="150"/>
  <c r="D25" i="150"/>
  <c r="B22" i="152"/>
  <c r="B16" i="154"/>
  <c r="B21" i="154" s="1"/>
  <c r="C21" i="154"/>
  <c r="E21" i="154"/>
  <c r="C37" i="154"/>
  <c r="C42" i="154" s="1"/>
  <c r="E37" i="154"/>
  <c r="E42" i="154" s="1"/>
  <c r="B41" i="154"/>
  <c r="B37" i="154"/>
  <c r="B42" i="154" s="1"/>
  <c r="E43" i="154"/>
  <c r="G21" i="149"/>
  <c r="G19" i="149" s="1"/>
  <c r="G24" i="149" s="1"/>
  <c r="G43" i="149" s="1"/>
  <c r="K12" i="148"/>
  <c r="L12" i="148" s="1"/>
  <c r="L88" i="148" s="1"/>
  <c r="G88" i="148"/>
  <c r="I88" i="148"/>
  <c r="D88" i="148"/>
  <c r="L15" i="148"/>
  <c r="L16" i="148" s="1"/>
  <c r="C43" i="154" l="1"/>
  <c r="K88" i="148"/>
  <c r="D62" i="144" l="1"/>
  <c r="D50" i="144"/>
  <c r="C83" i="144"/>
  <c r="E91" i="144"/>
  <c r="C91" i="144"/>
  <c r="C87" i="144"/>
  <c r="E87" i="144" s="1"/>
  <c r="C74" i="144"/>
  <c r="C72" i="144"/>
  <c r="H15" i="144"/>
  <c r="D147" i="50" l="1"/>
  <c r="D148" i="50"/>
  <c r="D149" i="50"/>
  <c r="D159" i="50"/>
  <c r="D160" i="50"/>
  <c r="D161" i="50"/>
  <c r="D162" i="50"/>
  <c r="D163" i="50"/>
  <c r="D164" i="50"/>
  <c r="D165" i="50"/>
  <c r="D167" i="50"/>
  <c r="D168" i="50"/>
  <c r="D169" i="50"/>
  <c r="D170" i="50"/>
  <c r="D171" i="50"/>
  <c r="D172" i="50"/>
  <c r="D173" i="50"/>
  <c r="R58" i="44"/>
  <c r="R60" i="44"/>
  <c r="C94" i="41"/>
  <c r="C93" i="41"/>
  <c r="P57" i="44"/>
  <c r="B104" i="145"/>
  <c r="B95" i="145"/>
  <c r="B103" i="145"/>
  <c r="B94" i="145"/>
  <c r="B6" i="140"/>
  <c r="Z11" i="45" l="1"/>
  <c r="Y10" i="45"/>
  <c r="Y9" i="45"/>
  <c r="Y12" i="45" l="1"/>
  <c r="Y14" i="45" s="1"/>
  <c r="B39" i="144"/>
  <c r="O41" i="140" l="1"/>
  <c r="N41" i="140"/>
  <c r="C23" i="144"/>
  <c r="I32" i="144"/>
  <c r="H10" i="144"/>
  <c r="H9" i="144"/>
  <c r="I14" i="144"/>
  <c r="D30" i="107"/>
  <c r="G13" i="143"/>
  <c r="G44" i="143"/>
  <c r="G37" i="143"/>
  <c r="G21" i="143"/>
  <c r="G23" i="97"/>
  <c r="C22" i="97"/>
  <c r="H21" i="97"/>
  <c r="H22" i="97"/>
  <c r="H23" i="97"/>
  <c r="H24" i="97"/>
  <c r="G24" i="143"/>
  <c r="C33" i="97"/>
  <c r="C34" i="143"/>
  <c r="C23" i="143"/>
  <c r="C43" i="143"/>
  <c r="C25" i="143"/>
  <c r="C21" i="143"/>
  <c r="G38" i="97"/>
  <c r="F38" i="97"/>
  <c r="C39" i="42"/>
  <c r="I30" i="144" l="1"/>
  <c r="G39" i="143"/>
  <c r="C34" i="42"/>
  <c r="C35" i="42"/>
  <c r="C36" i="42"/>
  <c r="C191" i="50"/>
  <c r="C166" i="50"/>
  <c r="D91" i="50"/>
  <c r="D90" i="50"/>
  <c r="D92" i="50"/>
  <c r="D93" i="50"/>
  <c r="D94" i="50"/>
  <c r="D95" i="50"/>
  <c r="D96" i="50"/>
  <c r="C78" i="50"/>
  <c r="D48" i="42"/>
  <c r="D76" i="49"/>
  <c r="D100" i="40"/>
  <c r="D98" i="40"/>
  <c r="D97" i="40"/>
  <c r="C95" i="40"/>
  <c r="C90" i="40"/>
  <c r="C83" i="40"/>
  <c r="C60" i="40" s="1"/>
  <c r="I11" i="144" s="1"/>
  <c r="C45" i="40"/>
  <c r="I10" i="144" s="1"/>
  <c r="C36" i="40"/>
  <c r="C30" i="40" s="1"/>
  <c r="I9" i="144" s="1"/>
  <c r="D69" i="41"/>
  <c r="D68" i="41"/>
  <c r="C48" i="41"/>
  <c r="F118" i="142" l="1"/>
  <c r="D119" i="142"/>
  <c r="B117" i="142"/>
  <c r="C117" i="142"/>
  <c r="C189" i="50" s="1"/>
  <c r="C118" i="142"/>
  <c r="C190" i="50" s="1"/>
  <c r="C107" i="142"/>
  <c r="D99" i="142"/>
  <c r="D100" i="142"/>
  <c r="C102" i="142"/>
  <c r="C86" i="142"/>
  <c r="C54" i="142"/>
  <c r="C48" i="142"/>
  <c r="C41" i="142"/>
  <c r="C35" i="142"/>
  <c r="C20" i="142"/>
  <c r="C9" i="142"/>
  <c r="D42" i="107" l="1"/>
  <c r="E42" i="107" s="1"/>
  <c r="D41" i="107"/>
  <c r="E41" i="107" s="1"/>
  <c r="D40" i="107"/>
  <c r="D39" i="107"/>
  <c r="P50" i="44"/>
  <c r="H48" i="140"/>
  <c r="F48" i="140"/>
  <c r="E48" i="140"/>
  <c r="G48" i="140"/>
  <c r="C21" i="40"/>
  <c r="D25" i="40"/>
  <c r="K30" i="147" l="1"/>
  <c r="K49" i="147"/>
  <c r="M17" i="140" l="1"/>
  <c r="L17" i="140"/>
  <c r="K17" i="140"/>
  <c r="J17" i="140"/>
  <c r="I17" i="140"/>
  <c r="H17" i="140"/>
  <c r="G17" i="140"/>
  <c r="G41" i="144"/>
  <c r="AP7" i="52" l="1"/>
  <c r="Z10" i="45" s="1"/>
  <c r="F94" i="41" l="1"/>
  <c r="F77" i="41"/>
  <c r="F78" i="41"/>
  <c r="F61" i="41"/>
  <c r="G61" i="41" s="1"/>
  <c r="F45" i="41"/>
  <c r="F46" i="41"/>
  <c r="F47" i="41"/>
  <c r="F52" i="41"/>
  <c r="F42" i="41"/>
  <c r="F20" i="41"/>
  <c r="C15" i="40"/>
  <c r="C20" i="144" l="1"/>
  <c r="C32" i="144"/>
  <c r="L48" i="140"/>
  <c r="K48" i="140"/>
  <c r="J48" i="140"/>
  <c r="I48" i="140"/>
  <c r="D48" i="140"/>
  <c r="B20" i="140"/>
  <c r="L60" i="41" l="1"/>
  <c r="L39" i="41"/>
  <c r="L37" i="41"/>
  <c r="L36" i="41"/>
  <c r="L33" i="41"/>
  <c r="L32" i="41"/>
  <c r="L23" i="41"/>
  <c r="L24" i="41"/>
  <c r="L25" i="41"/>
  <c r="L26" i="41"/>
  <c r="L14" i="41"/>
  <c r="I58" i="41" l="1"/>
  <c r="H8" i="41"/>
  <c r="I8" i="41"/>
  <c r="G54" i="144"/>
  <c r="G39" i="144"/>
  <c r="G40" i="144"/>
  <c r="AP6" i="52" l="1"/>
  <c r="Z9" i="45" s="1"/>
  <c r="Z12" i="45" s="1"/>
  <c r="E23" i="107" l="1"/>
  <c r="E18" i="107"/>
  <c r="E17" i="107"/>
  <c r="E16" i="107"/>
  <c r="D5" i="107"/>
  <c r="E8" i="107"/>
  <c r="F50" i="44" l="1"/>
  <c r="I46" i="44" l="1"/>
  <c r="E289" i="145" l="1"/>
  <c r="D289" i="145"/>
  <c r="C289" i="145"/>
  <c r="B289" i="145"/>
  <c r="F288" i="145"/>
  <c r="F287" i="145"/>
  <c r="F286" i="145"/>
  <c r="F285" i="145"/>
  <c r="E280" i="145"/>
  <c r="D280" i="145"/>
  <c r="C280" i="145"/>
  <c r="B280" i="145"/>
  <c r="F279" i="145"/>
  <c r="F278" i="145"/>
  <c r="F277" i="145"/>
  <c r="F276" i="145"/>
  <c r="F280" i="145" l="1"/>
  <c r="F289" i="145"/>
  <c r="F57" i="147"/>
  <c r="G57" i="147" s="1"/>
  <c r="J57" i="147" s="1"/>
  <c r="B36" i="42"/>
  <c r="B34" i="42"/>
  <c r="O35" i="140" l="1"/>
  <c r="O33" i="140"/>
  <c r="O19" i="140"/>
  <c r="G12" i="97"/>
  <c r="G20" i="97"/>
  <c r="G19" i="97" s="1"/>
  <c r="I20" i="144" s="1"/>
  <c r="G36" i="97"/>
  <c r="G43" i="97"/>
  <c r="B43" i="50"/>
  <c r="B189" i="50"/>
  <c r="B13" i="49"/>
  <c r="G41" i="97" l="1"/>
  <c r="C22" i="41" l="1"/>
  <c r="J5" i="147"/>
  <c r="L5" i="147"/>
  <c r="J6" i="147"/>
  <c r="L6" i="147"/>
  <c r="J7" i="147"/>
  <c r="L7" i="147"/>
  <c r="E8" i="147"/>
  <c r="J8" i="147"/>
  <c r="L8" i="147"/>
  <c r="E9" i="147"/>
  <c r="J9" i="147"/>
  <c r="L9" i="147"/>
  <c r="E10" i="147"/>
  <c r="J10" i="147"/>
  <c r="L10" i="147"/>
  <c r="G11" i="147"/>
  <c r="J11" i="147" s="1"/>
  <c r="J12" i="147"/>
  <c r="E13" i="147"/>
  <c r="J13" i="147"/>
  <c r="L13" i="147"/>
  <c r="J14" i="147"/>
  <c r="L14" i="147"/>
  <c r="J15" i="147"/>
  <c r="G16" i="147"/>
  <c r="I16" i="147"/>
  <c r="M17" i="147"/>
  <c r="J18" i="147"/>
  <c r="E19" i="147"/>
  <c r="J19" i="147"/>
  <c r="J20" i="147"/>
  <c r="E21" i="147"/>
  <c r="J21" i="147"/>
  <c r="E22" i="147"/>
  <c r="J22" i="147"/>
  <c r="E23" i="147"/>
  <c r="J23" i="147"/>
  <c r="G24" i="147"/>
  <c r="G28" i="147" s="1"/>
  <c r="E25" i="147"/>
  <c r="J25" i="147"/>
  <c r="J26" i="147"/>
  <c r="I27" i="147"/>
  <c r="J27" i="147" s="1"/>
  <c r="J30" i="147"/>
  <c r="E31" i="147"/>
  <c r="J31" i="147"/>
  <c r="J32" i="147"/>
  <c r="E33" i="147"/>
  <c r="J33" i="147"/>
  <c r="E34" i="147"/>
  <c r="J34" i="147"/>
  <c r="E35" i="147"/>
  <c r="J35" i="147"/>
  <c r="G36" i="147"/>
  <c r="J36" i="147" s="1"/>
  <c r="E37" i="147"/>
  <c r="J37" i="147"/>
  <c r="J38" i="147"/>
  <c r="I39" i="147"/>
  <c r="J39" i="147" s="1"/>
  <c r="J42" i="147"/>
  <c r="E43" i="147"/>
  <c r="J43" i="147"/>
  <c r="J44" i="147"/>
  <c r="E45" i="147"/>
  <c r="J45" i="147"/>
  <c r="E46" i="147"/>
  <c r="J46" i="147"/>
  <c r="E47" i="147"/>
  <c r="J47" i="147"/>
  <c r="G48" i="147"/>
  <c r="J48" i="147" s="1"/>
  <c r="J49" i="147"/>
  <c r="E50" i="147"/>
  <c r="J50" i="147"/>
  <c r="J51" i="147"/>
  <c r="J52" i="147"/>
  <c r="I53" i="147"/>
  <c r="F58" i="147"/>
  <c r="G58" i="147" s="1"/>
  <c r="J58" i="147" s="1"/>
  <c r="J59" i="147"/>
  <c r="J60" i="147"/>
  <c r="I61" i="147"/>
  <c r="J61" i="147" s="1"/>
  <c r="I62" i="147"/>
  <c r="J62" i="147" s="1"/>
  <c r="E66" i="147"/>
  <c r="J66" i="147"/>
  <c r="E67" i="147"/>
  <c r="J67" i="147"/>
  <c r="J68" i="147"/>
  <c r="G69" i="147"/>
  <c r="J69" i="147" s="1"/>
  <c r="G70" i="147"/>
  <c r="J70" i="147" s="1"/>
  <c r="G71" i="147"/>
  <c r="J71" i="147" s="1"/>
  <c r="G73" i="147"/>
  <c r="J73" i="147" s="1"/>
  <c r="G74" i="147"/>
  <c r="J74" i="147" s="1"/>
  <c r="G75" i="147"/>
  <c r="J75" i="147" s="1"/>
  <c r="I76" i="147"/>
  <c r="I77" i="147"/>
  <c r="J77" i="147" s="1"/>
  <c r="G80" i="147"/>
  <c r="J80" i="147" s="1"/>
  <c r="I81" i="147"/>
  <c r="J81" i="147" s="1"/>
  <c r="G84" i="147"/>
  <c r="I86" i="147"/>
  <c r="J86" i="147" s="1"/>
  <c r="I87" i="147"/>
  <c r="J87" i="147" s="1"/>
  <c r="I90" i="147"/>
  <c r="J90" i="147" s="1"/>
  <c r="G91" i="147"/>
  <c r="B10" i="45" s="1"/>
  <c r="G96" i="147"/>
  <c r="J96" i="147" s="1"/>
  <c r="J97" i="147"/>
  <c r="J98" i="147"/>
  <c r="J99" i="147"/>
  <c r="J100" i="147"/>
  <c r="J101" i="147"/>
  <c r="J102" i="147"/>
  <c r="G103" i="147"/>
  <c r="J103" i="147" s="1"/>
  <c r="J104" i="147"/>
  <c r="J105" i="147"/>
  <c r="J106" i="147"/>
  <c r="G107" i="147"/>
  <c r="J107" i="147" s="1"/>
  <c r="J108" i="147"/>
  <c r="J109" i="147"/>
  <c r="J110" i="147"/>
  <c r="J111" i="147"/>
  <c r="J112" i="147"/>
  <c r="J113" i="147"/>
  <c r="J114" i="147"/>
  <c r="J115" i="147"/>
  <c r="I116" i="147"/>
  <c r="H119" i="147"/>
  <c r="G7" i="146"/>
  <c r="G6" i="146" s="1"/>
  <c r="G5" i="146" s="1"/>
  <c r="E8" i="146"/>
  <c r="E7" i="146" s="1"/>
  <c r="H9" i="146"/>
  <c r="E10" i="146"/>
  <c r="H10" i="146" s="1"/>
  <c r="H11" i="146"/>
  <c r="H12" i="146"/>
  <c r="H13" i="146"/>
  <c r="H14" i="146"/>
  <c r="H15" i="146"/>
  <c r="H16" i="146"/>
  <c r="H17" i="146"/>
  <c r="H18" i="146"/>
  <c r="E19" i="146"/>
  <c r="H19" i="146" s="1"/>
  <c r="H20" i="146"/>
  <c r="H21" i="146"/>
  <c r="J21" i="146"/>
  <c r="E22" i="146"/>
  <c r="H22" i="146" s="1"/>
  <c r="H23" i="146"/>
  <c r="H24" i="146"/>
  <c r="E25" i="146"/>
  <c r="H25" i="146" s="1"/>
  <c r="H26" i="146"/>
  <c r="H27" i="146"/>
  <c r="H28" i="146"/>
  <c r="G30" i="146"/>
  <c r="C31" i="146"/>
  <c r="H31" i="146"/>
  <c r="C32" i="146"/>
  <c r="H32" i="146"/>
  <c r="C33" i="146"/>
  <c r="H33" i="146"/>
  <c r="C34" i="146"/>
  <c r="H34" i="146"/>
  <c r="C35" i="146"/>
  <c r="H35" i="146"/>
  <c r="C36" i="146"/>
  <c r="H36" i="146"/>
  <c r="C37" i="146"/>
  <c r="H37" i="146"/>
  <c r="E38" i="146"/>
  <c r="H38" i="146" s="1"/>
  <c r="H39" i="146"/>
  <c r="G64" i="146"/>
  <c r="H64" i="146" s="1"/>
  <c r="E43" i="146"/>
  <c r="F46" i="146"/>
  <c r="C47" i="146"/>
  <c r="H47" i="146"/>
  <c r="C48" i="146"/>
  <c r="H48" i="146"/>
  <c r="E49" i="146"/>
  <c r="H49" i="146" s="1"/>
  <c r="E50" i="146"/>
  <c r="H50" i="146" s="1"/>
  <c r="E51" i="146"/>
  <c r="H51" i="146" s="1"/>
  <c r="E52" i="146"/>
  <c r="H52" i="146" s="1"/>
  <c r="E54" i="146"/>
  <c r="H54" i="146" s="1"/>
  <c r="E55" i="146"/>
  <c r="H55" i="146" s="1"/>
  <c r="E56" i="146"/>
  <c r="H56" i="146" s="1"/>
  <c r="E57" i="146"/>
  <c r="H57" i="146" s="1"/>
  <c r="H58" i="146"/>
  <c r="H59" i="146"/>
  <c r="H60" i="146"/>
  <c r="E62" i="146"/>
  <c r="H62" i="146" s="1"/>
  <c r="E63" i="146"/>
  <c r="H63" i="146" s="1"/>
  <c r="E67" i="146"/>
  <c r="B12" i="41" s="1"/>
  <c r="K12" i="41" s="1"/>
  <c r="G69" i="146"/>
  <c r="G70" i="146"/>
  <c r="H70" i="146" s="1"/>
  <c r="C68" i="146"/>
  <c r="H71" i="146"/>
  <c r="E72" i="146"/>
  <c r="B13" i="41" s="1"/>
  <c r="K13" i="41" s="1"/>
  <c r="G73" i="146"/>
  <c r="G72" i="146" s="1"/>
  <c r="E81" i="146"/>
  <c r="B191" i="50"/>
  <c r="D191" i="50" s="1"/>
  <c r="K14" i="41"/>
  <c r="M14" i="41" s="1"/>
  <c r="E20" i="41"/>
  <c r="G20" i="41" s="1"/>
  <c r="E77" i="41"/>
  <c r="E78" i="41"/>
  <c r="E45" i="41"/>
  <c r="G45" i="41" s="1"/>
  <c r="E47" i="41"/>
  <c r="E52" i="41"/>
  <c r="E42" i="41"/>
  <c r="F36" i="97"/>
  <c r="H36" i="97" s="1"/>
  <c r="F42" i="97"/>
  <c r="F43" i="97"/>
  <c r="H43" i="97" s="1"/>
  <c r="H58" i="97"/>
  <c r="H59" i="97"/>
  <c r="H60" i="97"/>
  <c r="D54" i="97"/>
  <c r="H42" i="97"/>
  <c r="H44" i="97"/>
  <c r="H45" i="97"/>
  <c r="D33" i="97"/>
  <c r="F12" i="97"/>
  <c r="H12" i="97" s="1"/>
  <c r="H18" i="97"/>
  <c r="E10" i="52"/>
  <c r="B10" i="52"/>
  <c r="D22" i="97"/>
  <c r="D23" i="97"/>
  <c r="D141" i="50"/>
  <c r="D142" i="50"/>
  <c r="D143" i="50"/>
  <c r="D145" i="50"/>
  <c r="D146" i="50"/>
  <c r="D150" i="50"/>
  <c r="D151" i="50"/>
  <c r="D152" i="50"/>
  <c r="D153" i="50"/>
  <c r="D154" i="50"/>
  <c r="D155" i="50"/>
  <c r="D156" i="50"/>
  <c r="D157" i="50"/>
  <c r="D158" i="50"/>
  <c r="D174" i="50"/>
  <c r="D175" i="50"/>
  <c r="D176" i="50"/>
  <c r="D177" i="50"/>
  <c r="D178" i="50"/>
  <c r="D179" i="50"/>
  <c r="D180" i="50"/>
  <c r="D183" i="50"/>
  <c r="D184" i="50"/>
  <c r="D185" i="50"/>
  <c r="D188" i="50"/>
  <c r="D140" i="50"/>
  <c r="D113" i="50"/>
  <c r="D114" i="50"/>
  <c r="D115" i="50"/>
  <c r="D116" i="50"/>
  <c r="D117" i="50"/>
  <c r="D118" i="50"/>
  <c r="D119" i="50"/>
  <c r="D121" i="50"/>
  <c r="D122" i="50"/>
  <c r="D123" i="50"/>
  <c r="D124" i="50"/>
  <c r="D126" i="50"/>
  <c r="D127" i="50"/>
  <c r="D128" i="50"/>
  <c r="D129" i="50"/>
  <c r="D130" i="50"/>
  <c r="D131" i="50"/>
  <c r="D132" i="50"/>
  <c r="D133" i="50"/>
  <c r="D134" i="50"/>
  <c r="D135" i="50"/>
  <c r="D136" i="50"/>
  <c r="D137" i="50"/>
  <c r="D138" i="50"/>
  <c r="D139" i="50"/>
  <c r="D112" i="50"/>
  <c r="C104" i="50"/>
  <c r="D102" i="50"/>
  <c r="D103" i="50"/>
  <c r="D105" i="50"/>
  <c r="D106" i="50"/>
  <c r="D85" i="50"/>
  <c r="D86" i="50"/>
  <c r="D87" i="50"/>
  <c r="D88" i="50"/>
  <c r="D89" i="50"/>
  <c r="D97" i="50"/>
  <c r="D99" i="50"/>
  <c r="D100" i="50"/>
  <c r="D101" i="50"/>
  <c r="D72" i="50"/>
  <c r="D73" i="50"/>
  <c r="D75" i="50"/>
  <c r="D76" i="50"/>
  <c r="D77" i="50"/>
  <c r="D79" i="50"/>
  <c r="D80" i="50"/>
  <c r="D81" i="50"/>
  <c r="D82" i="50"/>
  <c r="D83" i="50"/>
  <c r="D84" i="50"/>
  <c r="B111" i="50"/>
  <c r="B120" i="50"/>
  <c r="F35" i="97" s="1"/>
  <c r="D71" i="50"/>
  <c r="D70" i="50"/>
  <c r="D47" i="50"/>
  <c r="D48" i="50"/>
  <c r="D49" i="50"/>
  <c r="D50" i="50"/>
  <c r="D51" i="50"/>
  <c r="D52" i="50"/>
  <c r="D53" i="50"/>
  <c r="D54" i="50"/>
  <c r="D55" i="50"/>
  <c r="D56" i="50"/>
  <c r="D57" i="50"/>
  <c r="D58" i="50"/>
  <c r="D59" i="50"/>
  <c r="D60" i="50"/>
  <c r="D61" i="50"/>
  <c r="D62" i="50"/>
  <c r="D63" i="50"/>
  <c r="D64" i="50"/>
  <c r="D65" i="50"/>
  <c r="D66" i="50"/>
  <c r="D67" i="50"/>
  <c r="D68" i="50"/>
  <c r="D69" i="50"/>
  <c r="D46" i="50"/>
  <c r="D6" i="50"/>
  <c r="D7" i="50"/>
  <c r="D8" i="50"/>
  <c r="D9" i="50"/>
  <c r="D10" i="50"/>
  <c r="D11" i="50"/>
  <c r="D12" i="50"/>
  <c r="D13" i="50"/>
  <c r="D14" i="50"/>
  <c r="D15" i="50"/>
  <c r="D16" i="50"/>
  <c r="D17" i="50"/>
  <c r="D18" i="50"/>
  <c r="D19" i="50"/>
  <c r="D20" i="50"/>
  <c r="D21" i="50"/>
  <c r="D22" i="50"/>
  <c r="D23" i="50"/>
  <c r="D24" i="50"/>
  <c r="D25" i="50"/>
  <c r="D26" i="50"/>
  <c r="D27" i="50"/>
  <c r="D28" i="50"/>
  <c r="D29" i="50"/>
  <c r="D30" i="50"/>
  <c r="D31" i="50"/>
  <c r="D32" i="50"/>
  <c r="D33" i="50"/>
  <c r="D34" i="50"/>
  <c r="D35" i="50"/>
  <c r="D36" i="50"/>
  <c r="D37" i="50"/>
  <c r="D38" i="50"/>
  <c r="D39" i="50"/>
  <c r="D40" i="50"/>
  <c r="D41" i="50"/>
  <c r="D42" i="50"/>
  <c r="D5" i="50"/>
  <c r="D115" i="142"/>
  <c r="D114" i="142"/>
  <c r="D113" i="142"/>
  <c r="D106" i="142"/>
  <c r="D105" i="142"/>
  <c r="D101" i="142"/>
  <c r="D98" i="142"/>
  <c r="D89" i="142"/>
  <c r="D90" i="142"/>
  <c r="D85" i="142"/>
  <c r="D86" i="142" s="1"/>
  <c r="D81" i="142"/>
  <c r="D77" i="142"/>
  <c r="D72" i="142"/>
  <c r="D57" i="142"/>
  <c r="D52" i="142"/>
  <c r="D53" i="142"/>
  <c r="D51" i="142"/>
  <c r="D45" i="142"/>
  <c r="D46" i="142"/>
  <c r="D47" i="142"/>
  <c r="D44" i="142"/>
  <c r="D40" i="142"/>
  <c r="D39" i="142"/>
  <c r="D7" i="142"/>
  <c r="D8" i="142"/>
  <c r="D10" i="142"/>
  <c r="D11" i="142"/>
  <c r="D12" i="142"/>
  <c r="D13" i="142"/>
  <c r="D15" i="142"/>
  <c r="D16" i="142"/>
  <c r="D17" i="142"/>
  <c r="D18" i="142"/>
  <c r="D19" i="142"/>
  <c r="D21" i="142"/>
  <c r="D22" i="142"/>
  <c r="D23" i="142"/>
  <c r="D24" i="142"/>
  <c r="D25" i="142"/>
  <c r="D26" i="142"/>
  <c r="D27" i="142"/>
  <c r="D28" i="142"/>
  <c r="D29" i="142"/>
  <c r="D30" i="142"/>
  <c r="D31" i="142"/>
  <c r="D32" i="142"/>
  <c r="D33" i="142"/>
  <c r="D34" i="142"/>
  <c r="D36" i="142"/>
  <c r="D6" i="142"/>
  <c r="D52" i="49"/>
  <c r="D53" i="49"/>
  <c r="D54" i="49"/>
  <c r="D55" i="49"/>
  <c r="D56" i="49"/>
  <c r="D57" i="49"/>
  <c r="D58" i="49"/>
  <c r="D59" i="49"/>
  <c r="D60" i="49"/>
  <c r="D61" i="49"/>
  <c r="D62" i="49"/>
  <c r="D63" i="49"/>
  <c r="D64" i="49"/>
  <c r="D65" i="49"/>
  <c r="D66" i="49"/>
  <c r="D67" i="49"/>
  <c r="D68" i="49"/>
  <c r="D69" i="49"/>
  <c r="D70" i="49"/>
  <c r="D71" i="49"/>
  <c r="D72" i="49"/>
  <c r="D73" i="49"/>
  <c r="D74" i="49"/>
  <c r="D75" i="49"/>
  <c r="D77" i="49"/>
  <c r="D78" i="49"/>
  <c r="D79" i="49"/>
  <c r="D80" i="49"/>
  <c r="D81" i="49"/>
  <c r="D51" i="49"/>
  <c r="D8" i="49"/>
  <c r="D9" i="49"/>
  <c r="D10" i="49"/>
  <c r="D11" i="49"/>
  <c r="D12" i="49"/>
  <c r="D14" i="49"/>
  <c r="D15" i="49"/>
  <c r="D16" i="49"/>
  <c r="D17" i="49"/>
  <c r="D18" i="49"/>
  <c r="D19" i="49"/>
  <c r="D20" i="49"/>
  <c r="D21" i="49"/>
  <c r="D22" i="49"/>
  <c r="D23" i="49"/>
  <c r="D24" i="49"/>
  <c r="D25" i="49"/>
  <c r="D26" i="49"/>
  <c r="D27" i="49"/>
  <c r="D28" i="49"/>
  <c r="D29" i="49"/>
  <c r="D30" i="49"/>
  <c r="D31" i="49"/>
  <c r="D32" i="49"/>
  <c r="D33" i="49"/>
  <c r="D34" i="49"/>
  <c r="D35" i="49"/>
  <c r="D36" i="49"/>
  <c r="D37" i="49"/>
  <c r="D38" i="49"/>
  <c r="D39" i="49"/>
  <c r="D40" i="49"/>
  <c r="D41" i="49"/>
  <c r="D42" i="49"/>
  <c r="D43" i="49"/>
  <c r="D44" i="49"/>
  <c r="D45" i="49"/>
  <c r="D46" i="49"/>
  <c r="D47" i="49"/>
  <c r="D7" i="49"/>
  <c r="C5" i="49"/>
  <c r="C13" i="49"/>
  <c r="D13" i="49" s="1"/>
  <c r="D91" i="40"/>
  <c r="D92" i="40"/>
  <c r="D94" i="40"/>
  <c r="D96" i="40"/>
  <c r="D99" i="40"/>
  <c r="D102" i="40"/>
  <c r="D103" i="40"/>
  <c r="D104" i="40"/>
  <c r="D105" i="40"/>
  <c r="D106" i="40"/>
  <c r="D107" i="40"/>
  <c r="D108" i="40"/>
  <c r="D109" i="40"/>
  <c r="D111" i="40"/>
  <c r="D118" i="40"/>
  <c r="D120" i="40"/>
  <c r="D89" i="40"/>
  <c r="D62" i="40"/>
  <c r="D63" i="40"/>
  <c r="D64" i="40"/>
  <c r="D65" i="40"/>
  <c r="D66" i="40"/>
  <c r="D67" i="40"/>
  <c r="D68" i="40"/>
  <c r="D69" i="40"/>
  <c r="D70" i="40"/>
  <c r="D71" i="40"/>
  <c r="D72" i="40"/>
  <c r="D73" i="40"/>
  <c r="D74" i="40"/>
  <c r="D75" i="40"/>
  <c r="D76" i="40"/>
  <c r="D77" i="40"/>
  <c r="D78" i="40"/>
  <c r="D79" i="40"/>
  <c r="D80" i="40"/>
  <c r="D81" i="40"/>
  <c r="D82" i="40"/>
  <c r="D84" i="40"/>
  <c r="D85" i="40"/>
  <c r="D86" i="40"/>
  <c r="D87" i="40"/>
  <c r="D88" i="40"/>
  <c r="D61" i="40"/>
  <c r="D32" i="40"/>
  <c r="D33" i="40"/>
  <c r="D34" i="40"/>
  <c r="D35" i="40"/>
  <c r="D36" i="40"/>
  <c r="D37" i="40"/>
  <c r="D38" i="40"/>
  <c r="D39" i="40"/>
  <c r="D40" i="40"/>
  <c r="D41" i="40"/>
  <c r="D42" i="40"/>
  <c r="D43" i="40"/>
  <c r="D44" i="40"/>
  <c r="D46" i="40"/>
  <c r="D47" i="40"/>
  <c r="D48" i="40"/>
  <c r="D49" i="40"/>
  <c r="D50" i="40"/>
  <c r="D51" i="40"/>
  <c r="D52" i="40"/>
  <c r="D53" i="40"/>
  <c r="D54" i="40"/>
  <c r="D55" i="40"/>
  <c r="D56" i="40"/>
  <c r="D57" i="40"/>
  <c r="D58" i="40"/>
  <c r="D31" i="40"/>
  <c r="D8" i="40"/>
  <c r="D10" i="40"/>
  <c r="D11" i="40"/>
  <c r="D12" i="40"/>
  <c r="D13" i="40"/>
  <c r="D14" i="40"/>
  <c r="D16" i="40"/>
  <c r="D18" i="40"/>
  <c r="D19" i="40"/>
  <c r="D22" i="40"/>
  <c r="D23" i="40"/>
  <c r="D24" i="40"/>
  <c r="D7" i="40"/>
  <c r="C9" i="40"/>
  <c r="O37" i="140" s="1"/>
  <c r="AM8" i="52"/>
  <c r="AO8" i="52" s="1"/>
  <c r="AR8" i="52" s="1"/>
  <c r="AK10" i="52"/>
  <c r="AK8" i="52"/>
  <c r="AK7" i="52"/>
  <c r="AK6" i="52"/>
  <c r="AH10" i="52"/>
  <c r="AH8" i="52"/>
  <c r="AH7" i="52"/>
  <c r="AH6" i="52"/>
  <c r="AD10" i="52"/>
  <c r="AD8" i="52"/>
  <c r="AD7" i="52"/>
  <c r="AD6" i="52"/>
  <c r="AA10" i="52"/>
  <c r="AA8" i="52"/>
  <c r="AA7" i="52"/>
  <c r="AA6" i="52"/>
  <c r="J8" i="52"/>
  <c r="J7" i="52"/>
  <c r="J6" i="52"/>
  <c r="G8" i="52"/>
  <c r="G7" i="52"/>
  <c r="G6" i="52"/>
  <c r="D8" i="52"/>
  <c r="D7" i="52"/>
  <c r="D6" i="52"/>
  <c r="E7" i="107"/>
  <c r="E9" i="107"/>
  <c r="E10" i="107"/>
  <c r="E11" i="107"/>
  <c r="E12" i="107"/>
  <c r="E13" i="107"/>
  <c r="E14" i="107"/>
  <c r="E15" i="107"/>
  <c r="E19" i="107"/>
  <c r="E20" i="107"/>
  <c r="E21" i="107"/>
  <c r="E22" i="107"/>
  <c r="E30" i="107"/>
  <c r="E37" i="107"/>
  <c r="E39" i="107"/>
  <c r="E40" i="107"/>
  <c r="E6" i="107"/>
  <c r="D26" i="107"/>
  <c r="X8" i="52" s="1"/>
  <c r="D33" i="107"/>
  <c r="D38" i="107"/>
  <c r="J15" i="45"/>
  <c r="F57" i="44"/>
  <c r="Q60" i="44"/>
  <c r="Q59" i="44"/>
  <c r="Q58" i="44"/>
  <c r="Q56" i="44"/>
  <c r="Q55" i="44"/>
  <c r="Q54" i="44"/>
  <c r="Q53" i="44"/>
  <c r="Q52" i="44"/>
  <c r="Q49" i="44"/>
  <c r="Q48" i="44"/>
  <c r="Q47" i="44"/>
  <c r="Q43" i="44"/>
  <c r="Q41" i="44"/>
  <c r="Q39" i="44"/>
  <c r="Q38" i="44"/>
  <c r="Q37" i="44"/>
  <c r="Q36" i="44"/>
  <c r="Q35" i="44"/>
  <c r="Q33" i="44"/>
  <c r="Q32" i="44"/>
  <c r="Q31" i="44"/>
  <c r="Q30" i="44"/>
  <c r="Q29" i="44"/>
  <c r="Q28" i="44"/>
  <c r="Q27" i="44"/>
  <c r="Q26" i="44"/>
  <c r="Q25" i="44"/>
  <c r="Q24" i="44"/>
  <c r="Q23" i="44"/>
  <c r="Q22" i="44"/>
  <c r="Q20" i="44"/>
  <c r="Q19" i="44"/>
  <c r="Q18" i="44"/>
  <c r="Q16" i="44"/>
  <c r="Q15" i="44"/>
  <c r="Q14" i="44"/>
  <c r="Q13" i="44"/>
  <c r="M60" i="44"/>
  <c r="M59" i="44"/>
  <c r="M58" i="44"/>
  <c r="J60" i="44"/>
  <c r="J59" i="44"/>
  <c r="J58" i="44"/>
  <c r="J56" i="44"/>
  <c r="J55" i="44"/>
  <c r="J54" i="44"/>
  <c r="J53" i="44"/>
  <c r="J52" i="44"/>
  <c r="J49" i="44"/>
  <c r="J48" i="44"/>
  <c r="J47" i="44"/>
  <c r="J43" i="44"/>
  <c r="J42" i="44"/>
  <c r="J41" i="44"/>
  <c r="J40" i="44"/>
  <c r="J39" i="44"/>
  <c r="J38" i="44"/>
  <c r="J37" i="44"/>
  <c r="J36" i="44"/>
  <c r="J35" i="44"/>
  <c r="J33" i="44"/>
  <c r="J32" i="44"/>
  <c r="J31" i="44"/>
  <c r="J30" i="44"/>
  <c r="J29" i="44"/>
  <c r="J28" i="44"/>
  <c r="J27" i="44"/>
  <c r="J26" i="44"/>
  <c r="J25" i="44"/>
  <c r="J24" i="44"/>
  <c r="J23" i="44"/>
  <c r="J22" i="44"/>
  <c r="J20" i="44"/>
  <c r="J19" i="44"/>
  <c r="J18" i="44"/>
  <c r="J17" i="44"/>
  <c r="J16" i="44"/>
  <c r="J14" i="44"/>
  <c r="J13" i="44"/>
  <c r="G60" i="44"/>
  <c r="G59" i="44"/>
  <c r="G58" i="44"/>
  <c r="G56" i="44"/>
  <c r="G55" i="44"/>
  <c r="G54" i="44"/>
  <c r="G53" i="44"/>
  <c r="G52" i="44"/>
  <c r="G49" i="44"/>
  <c r="G48" i="44"/>
  <c r="G47" i="44"/>
  <c r="G43" i="44"/>
  <c r="G42" i="44"/>
  <c r="G41" i="44"/>
  <c r="G40" i="44"/>
  <c r="G39" i="44"/>
  <c r="G38" i="44"/>
  <c r="G37" i="44"/>
  <c r="G36" i="44"/>
  <c r="G35" i="44"/>
  <c r="G33" i="44"/>
  <c r="G32" i="44"/>
  <c r="G31" i="44"/>
  <c r="G30" i="44"/>
  <c r="G29" i="44"/>
  <c r="G28" i="44"/>
  <c r="G27" i="44"/>
  <c r="G26" i="44"/>
  <c r="G25" i="44"/>
  <c r="G24" i="44"/>
  <c r="G23" i="44"/>
  <c r="G22" i="44"/>
  <c r="G20" i="44"/>
  <c r="G19" i="44"/>
  <c r="G18" i="44"/>
  <c r="G17" i="44"/>
  <c r="G16" i="44"/>
  <c r="G14" i="44"/>
  <c r="G13" i="44"/>
  <c r="P12" i="44"/>
  <c r="P17" i="44"/>
  <c r="P21" i="44"/>
  <c r="P34" i="44"/>
  <c r="P40" i="44"/>
  <c r="P42" i="44"/>
  <c r="P46" i="44"/>
  <c r="F93" i="41"/>
  <c r="L13" i="44"/>
  <c r="L14" i="44"/>
  <c r="I21" i="41" s="1"/>
  <c r="L21" i="41" s="1"/>
  <c r="L16" i="44"/>
  <c r="I27" i="41" s="1"/>
  <c r="L17" i="44"/>
  <c r="L18" i="44"/>
  <c r="L19" i="44"/>
  <c r="L20" i="44"/>
  <c r="L22" i="44"/>
  <c r="L23" i="44"/>
  <c r="I45" i="41" s="1"/>
  <c r="L24" i="44"/>
  <c r="I46" i="41" s="1"/>
  <c r="L46" i="41" s="1"/>
  <c r="L25" i="44"/>
  <c r="I47" i="41" s="1"/>
  <c r="L26" i="44"/>
  <c r="I48" i="41" s="1"/>
  <c r="L27" i="44"/>
  <c r="I51" i="41" s="1"/>
  <c r="L28" i="44"/>
  <c r="I52" i="41" s="1"/>
  <c r="L52" i="41" s="1"/>
  <c r="L29" i="44"/>
  <c r="I53" i="41" s="1"/>
  <c r="L30" i="44"/>
  <c r="I54" i="41" s="1"/>
  <c r="L54" i="41" s="1"/>
  <c r="L31" i="44"/>
  <c r="I55" i="41" s="1"/>
  <c r="L32" i="44"/>
  <c r="I56" i="41" s="1"/>
  <c r="L33" i="44"/>
  <c r="I57" i="41" s="1"/>
  <c r="L35" i="44"/>
  <c r="L36" i="44"/>
  <c r="L37" i="44"/>
  <c r="L38" i="44"/>
  <c r="L39" i="44"/>
  <c r="L41" i="44"/>
  <c r="L42" i="44"/>
  <c r="L43" i="44"/>
  <c r="L47" i="44"/>
  <c r="I77" i="41" s="1"/>
  <c r="L48" i="44"/>
  <c r="I78" i="41" s="1"/>
  <c r="L49" i="44"/>
  <c r="L52" i="44"/>
  <c r="L53" i="44"/>
  <c r="R53" i="44" s="1"/>
  <c r="L54" i="44"/>
  <c r="R54" i="44" s="1"/>
  <c r="L55" i="44"/>
  <c r="R55" i="44" s="1"/>
  <c r="L56" i="44"/>
  <c r="R56" i="44" s="1"/>
  <c r="I12" i="44"/>
  <c r="I15" i="44"/>
  <c r="I21" i="44"/>
  <c r="I34" i="44"/>
  <c r="P11" i="45"/>
  <c r="I45" i="44"/>
  <c r="I57" i="44"/>
  <c r="F12" i="44"/>
  <c r="F15" i="44"/>
  <c r="F21" i="44"/>
  <c r="F34" i="44"/>
  <c r="F46" i="44"/>
  <c r="P10" i="45" s="1"/>
  <c r="C57" i="44"/>
  <c r="D14" i="44"/>
  <c r="D16" i="44"/>
  <c r="D17" i="44"/>
  <c r="D18" i="44"/>
  <c r="D19" i="44"/>
  <c r="D20" i="44"/>
  <c r="D22" i="44"/>
  <c r="D24" i="44"/>
  <c r="D25" i="44"/>
  <c r="D26" i="44"/>
  <c r="D27" i="44"/>
  <c r="D29" i="44"/>
  <c r="D30" i="44"/>
  <c r="D31" i="44"/>
  <c r="D32" i="44"/>
  <c r="D33" i="44"/>
  <c r="D35" i="44"/>
  <c r="D36" i="44"/>
  <c r="D37" i="44"/>
  <c r="D38" i="44"/>
  <c r="D39" i="44"/>
  <c r="D40" i="44"/>
  <c r="D41" i="44"/>
  <c r="D42" i="44"/>
  <c r="D43" i="44"/>
  <c r="D47" i="44"/>
  <c r="D48" i="44"/>
  <c r="D49" i="44"/>
  <c r="D52" i="44"/>
  <c r="D53" i="44"/>
  <c r="D54" i="44"/>
  <c r="D55" i="44"/>
  <c r="D56" i="44"/>
  <c r="D58" i="44"/>
  <c r="D59" i="44"/>
  <c r="D60" i="44"/>
  <c r="D13" i="44"/>
  <c r="C12" i="44"/>
  <c r="C15" i="44"/>
  <c r="C21" i="44"/>
  <c r="C34" i="44"/>
  <c r="C46" i="44"/>
  <c r="P9" i="45" s="1"/>
  <c r="J83" i="41"/>
  <c r="J82" i="41"/>
  <c r="J81" i="41"/>
  <c r="J73" i="41"/>
  <c r="J72" i="41"/>
  <c r="L67" i="41"/>
  <c r="L68" i="41"/>
  <c r="L69" i="41"/>
  <c r="L71" i="41"/>
  <c r="L72" i="41"/>
  <c r="L73" i="41"/>
  <c r="L81" i="41"/>
  <c r="L82" i="41"/>
  <c r="L83" i="41"/>
  <c r="L85" i="41"/>
  <c r="C43" i="97" s="1"/>
  <c r="C60" i="97" s="1"/>
  <c r="L86" i="41"/>
  <c r="L87" i="41"/>
  <c r="L88" i="41"/>
  <c r="L89" i="41"/>
  <c r="L90" i="41"/>
  <c r="C24" i="97" s="1"/>
  <c r="C21" i="97" s="1"/>
  <c r="C59" i="97" s="1"/>
  <c r="I66" i="41"/>
  <c r="I70" i="41"/>
  <c r="I80" i="41"/>
  <c r="I84" i="41"/>
  <c r="I79" i="41" s="1"/>
  <c r="G83" i="41"/>
  <c r="G82" i="41"/>
  <c r="G81" i="41"/>
  <c r="G73" i="41"/>
  <c r="G72" i="41"/>
  <c r="F66" i="41"/>
  <c r="F70" i="41"/>
  <c r="F80" i="41"/>
  <c r="F84" i="41"/>
  <c r="D73" i="41"/>
  <c r="D77" i="41"/>
  <c r="D78" i="41"/>
  <c r="D81" i="41"/>
  <c r="D82" i="41"/>
  <c r="D83" i="41"/>
  <c r="D85" i="41"/>
  <c r="D86" i="41"/>
  <c r="D87" i="41"/>
  <c r="D88" i="41"/>
  <c r="D89" i="41"/>
  <c r="D90" i="41"/>
  <c r="D72" i="41"/>
  <c r="C84" i="41"/>
  <c r="C80" i="41"/>
  <c r="C76" i="41"/>
  <c r="C70" i="41"/>
  <c r="C66" i="41"/>
  <c r="J44" i="41"/>
  <c r="J42" i="41"/>
  <c r="J41" i="41"/>
  <c r="J40" i="41"/>
  <c r="J39" i="41"/>
  <c r="J37" i="41"/>
  <c r="J36" i="41"/>
  <c r="J35" i="41"/>
  <c r="J33" i="41"/>
  <c r="J32" i="41"/>
  <c r="L40" i="41"/>
  <c r="L41" i="41"/>
  <c r="L44" i="41"/>
  <c r="L49" i="41"/>
  <c r="L50" i="41"/>
  <c r="L51" i="41"/>
  <c r="L53" i="41"/>
  <c r="L57" i="41"/>
  <c r="L61" i="41"/>
  <c r="L62" i="41"/>
  <c r="L63" i="41"/>
  <c r="I31" i="41"/>
  <c r="I38" i="41"/>
  <c r="I34" i="41" s="1"/>
  <c r="L55" i="41"/>
  <c r="L56" i="41"/>
  <c r="G44" i="41"/>
  <c r="G41" i="41"/>
  <c r="G40" i="41"/>
  <c r="G39" i="41"/>
  <c r="G37" i="41"/>
  <c r="G36" i="41"/>
  <c r="G35" i="41"/>
  <c r="G33" i="41"/>
  <c r="G32" i="41"/>
  <c r="D32" i="41"/>
  <c r="D33" i="41"/>
  <c r="D36" i="41"/>
  <c r="D37" i="41"/>
  <c r="D39" i="41"/>
  <c r="D40" i="41"/>
  <c r="D41" i="41"/>
  <c r="D42" i="41"/>
  <c r="D44" i="41"/>
  <c r="D45" i="41"/>
  <c r="D46" i="41"/>
  <c r="D47" i="41"/>
  <c r="D49" i="41"/>
  <c r="D50" i="41"/>
  <c r="D51" i="41"/>
  <c r="D52" i="41"/>
  <c r="D53" i="41"/>
  <c r="D54" i="41"/>
  <c r="D55" i="41"/>
  <c r="D56" i="41"/>
  <c r="D57" i="41"/>
  <c r="D59" i="41"/>
  <c r="D60" i="41"/>
  <c r="D61" i="41"/>
  <c r="D62" i="41"/>
  <c r="D63" i="41"/>
  <c r="F31" i="41"/>
  <c r="F38" i="41"/>
  <c r="L45" i="41"/>
  <c r="L47" i="41"/>
  <c r="F58" i="41"/>
  <c r="C31" i="41"/>
  <c r="C35" i="41"/>
  <c r="L35" i="41" s="1"/>
  <c r="C38" i="41"/>
  <c r="C43" i="41"/>
  <c r="C58" i="41"/>
  <c r="M15" i="41"/>
  <c r="M16" i="41"/>
  <c r="M17" i="41"/>
  <c r="M18" i="41"/>
  <c r="M19" i="41"/>
  <c r="F8" i="41"/>
  <c r="F7" i="41" s="1"/>
  <c r="D27" i="41"/>
  <c r="D20" i="41"/>
  <c r="D50" i="42"/>
  <c r="D51" i="42"/>
  <c r="D52" i="42"/>
  <c r="D19" i="42"/>
  <c r="D24" i="42"/>
  <c r="D29" i="42"/>
  <c r="D40" i="42"/>
  <c r="D41" i="42"/>
  <c r="D42" i="42"/>
  <c r="D43" i="42"/>
  <c r="D44" i="42"/>
  <c r="D45" i="42"/>
  <c r="D46" i="42"/>
  <c r="D47" i="42"/>
  <c r="D49" i="42"/>
  <c r="L42" i="41"/>
  <c r="F76" i="41"/>
  <c r="B39" i="42"/>
  <c r="B32" i="42" s="1"/>
  <c r="D36" i="42"/>
  <c r="B31" i="42"/>
  <c r="D31" i="42" s="1"/>
  <c r="D34" i="42"/>
  <c r="D61" i="144"/>
  <c r="D64" i="144" s="1"/>
  <c r="N6" i="140"/>
  <c r="J62" i="144"/>
  <c r="J32" i="144"/>
  <c r="L50" i="140"/>
  <c r="K50" i="140"/>
  <c r="G50" i="140"/>
  <c r="H50" i="140"/>
  <c r="E72" i="144"/>
  <c r="B76" i="41"/>
  <c r="M20" i="140"/>
  <c r="D34" i="143"/>
  <c r="C5" i="107"/>
  <c r="B50" i="44"/>
  <c r="E79" i="50"/>
  <c r="H186" i="145"/>
  <c r="H183" i="145"/>
  <c r="H184" i="145"/>
  <c r="H185" i="145"/>
  <c r="H187" i="145"/>
  <c r="H182" i="145"/>
  <c r="H156" i="145"/>
  <c r="H157" i="145"/>
  <c r="H155" i="145"/>
  <c r="C158" i="145"/>
  <c r="D158" i="145"/>
  <c r="E158" i="145"/>
  <c r="B78" i="50"/>
  <c r="B83" i="40"/>
  <c r="B90" i="40"/>
  <c r="D90" i="40" s="1"/>
  <c r="B95" i="40"/>
  <c r="B119" i="40"/>
  <c r="C105" i="145"/>
  <c r="D105" i="145"/>
  <c r="E105" i="145"/>
  <c r="H205" i="145"/>
  <c r="F209" i="145"/>
  <c r="G209" i="145"/>
  <c r="H208" i="145"/>
  <c r="H199" i="145"/>
  <c r="H197" i="145"/>
  <c r="H198" i="145"/>
  <c r="C200" i="145"/>
  <c r="D200" i="145"/>
  <c r="E200" i="145"/>
  <c r="F200" i="145"/>
  <c r="G200" i="145"/>
  <c r="B200" i="145"/>
  <c r="C188" i="145"/>
  <c r="D188" i="145"/>
  <c r="E188" i="145"/>
  <c r="F188" i="145"/>
  <c r="G188" i="145"/>
  <c r="B188" i="145"/>
  <c r="H176" i="145"/>
  <c r="H177" i="145"/>
  <c r="H178" i="145"/>
  <c r="C179" i="145"/>
  <c r="D179" i="145"/>
  <c r="E179" i="145"/>
  <c r="F179" i="145"/>
  <c r="G179" i="145"/>
  <c r="B179" i="145"/>
  <c r="F125" i="145"/>
  <c r="C117" i="145"/>
  <c r="D117" i="145"/>
  <c r="E117" i="145"/>
  <c r="B117" i="145"/>
  <c r="F114" i="145"/>
  <c r="F115" i="145"/>
  <c r="F116" i="145"/>
  <c r="F104" i="145"/>
  <c r="C96" i="145"/>
  <c r="D96" i="145"/>
  <c r="E96" i="145"/>
  <c r="B96" i="145"/>
  <c r="F95" i="145"/>
  <c r="F42" i="145"/>
  <c r="C34" i="145"/>
  <c r="D34" i="145"/>
  <c r="E34" i="145"/>
  <c r="B34" i="145"/>
  <c r="F31" i="145"/>
  <c r="F32" i="145"/>
  <c r="F33" i="145"/>
  <c r="AP9" i="52"/>
  <c r="AP11" i="52" s="1"/>
  <c r="B45" i="40"/>
  <c r="E12" i="52" s="1"/>
  <c r="B30" i="40"/>
  <c r="B12" i="52" s="1"/>
  <c r="O50" i="44"/>
  <c r="G61" i="144"/>
  <c r="G64" i="144" s="1"/>
  <c r="B41" i="144"/>
  <c r="E41" i="144" s="1"/>
  <c r="J41" i="144"/>
  <c r="J40" i="144"/>
  <c r="J39" i="144"/>
  <c r="Z14" i="45"/>
  <c r="E50" i="44"/>
  <c r="H50" i="44"/>
  <c r="J50" i="44" s="1"/>
  <c r="H21" i="44"/>
  <c r="J21" i="44" s="1"/>
  <c r="G268" i="145"/>
  <c r="F268" i="145"/>
  <c r="E268" i="145"/>
  <c r="D268" i="145"/>
  <c r="C268" i="145"/>
  <c r="B268" i="145"/>
  <c r="H264" i="145"/>
  <c r="H263" i="145"/>
  <c r="H262" i="145"/>
  <c r="G259" i="145"/>
  <c r="F259" i="145"/>
  <c r="E259" i="145"/>
  <c r="D259" i="145"/>
  <c r="C259" i="145"/>
  <c r="B259" i="145"/>
  <c r="H256" i="145"/>
  <c r="H259" i="145" s="1"/>
  <c r="G249" i="145"/>
  <c r="F249" i="145"/>
  <c r="E249" i="145"/>
  <c r="D249" i="145"/>
  <c r="C249" i="145"/>
  <c r="B249" i="145"/>
  <c r="H247" i="145"/>
  <c r="H246" i="145"/>
  <c r="H245" i="145"/>
  <c r="H244" i="145"/>
  <c r="H243" i="145"/>
  <c r="G240" i="145"/>
  <c r="F240" i="145"/>
  <c r="E240" i="145"/>
  <c r="D240" i="145"/>
  <c r="C240" i="145"/>
  <c r="B240" i="145"/>
  <c r="H237" i="145"/>
  <c r="H240" i="145" s="1"/>
  <c r="G229" i="145"/>
  <c r="F229" i="145"/>
  <c r="E229" i="145"/>
  <c r="D229" i="145"/>
  <c r="C229" i="145"/>
  <c r="B229" i="145"/>
  <c r="H227" i="145"/>
  <c r="H226" i="145"/>
  <c r="H225" i="145"/>
  <c r="H224" i="145"/>
  <c r="H223" i="145"/>
  <c r="G220" i="145"/>
  <c r="F220" i="145"/>
  <c r="E220" i="145"/>
  <c r="D220" i="145"/>
  <c r="C220" i="145"/>
  <c r="B220" i="145"/>
  <c r="H217" i="145"/>
  <c r="H220" i="145" s="1"/>
  <c r="E209" i="145"/>
  <c r="D209" i="145"/>
  <c r="C209" i="145"/>
  <c r="B209" i="145"/>
  <c r="H207" i="145"/>
  <c r="H206" i="145"/>
  <c r="H196" i="145"/>
  <c r="H175" i="145"/>
  <c r="C167" i="145"/>
  <c r="B167" i="145"/>
  <c r="H167" i="145" s="1"/>
  <c r="H166" i="145"/>
  <c r="H165" i="145"/>
  <c r="H164" i="145"/>
  <c r="H163" i="145"/>
  <c r="B158" i="145"/>
  <c r="E147" i="145"/>
  <c r="D147" i="145"/>
  <c r="C147" i="145"/>
  <c r="B147" i="145"/>
  <c r="F145" i="145"/>
  <c r="F144" i="145"/>
  <c r="F143" i="145"/>
  <c r="F142" i="145"/>
  <c r="F141" i="145"/>
  <c r="E138" i="145"/>
  <c r="D138" i="145"/>
  <c r="C138" i="145"/>
  <c r="B138" i="145"/>
  <c r="F137" i="145"/>
  <c r="F136" i="145"/>
  <c r="F135" i="145"/>
  <c r="E126" i="145"/>
  <c r="D126" i="145"/>
  <c r="C126" i="145"/>
  <c r="B126" i="145"/>
  <c r="F124" i="145"/>
  <c r="F123" i="145"/>
  <c r="F122" i="145"/>
  <c r="F121" i="145"/>
  <c r="F120" i="145"/>
  <c r="F113" i="145"/>
  <c r="B105" i="145"/>
  <c r="F103" i="145"/>
  <c r="F102" i="145"/>
  <c r="F101" i="145"/>
  <c r="F100" i="145"/>
  <c r="F99" i="145"/>
  <c r="F94" i="145"/>
  <c r="F93" i="145"/>
  <c r="F92" i="145"/>
  <c r="E83" i="145"/>
  <c r="D83" i="145"/>
  <c r="C83" i="145"/>
  <c r="B83" i="145"/>
  <c r="F81" i="145"/>
  <c r="F80" i="145"/>
  <c r="F79" i="145"/>
  <c r="F78" i="145"/>
  <c r="E74" i="145"/>
  <c r="D74" i="145"/>
  <c r="C74" i="145"/>
  <c r="B74" i="145"/>
  <c r="F71" i="145"/>
  <c r="F74" i="145" s="1"/>
  <c r="E63" i="145"/>
  <c r="D63" i="145"/>
  <c r="C63" i="145"/>
  <c r="B63" i="145"/>
  <c r="F61" i="145"/>
  <c r="F60" i="145"/>
  <c r="F59" i="145"/>
  <c r="F58" i="145"/>
  <c r="F57" i="145"/>
  <c r="E54" i="145"/>
  <c r="D54" i="145"/>
  <c r="C54" i="145"/>
  <c r="B54" i="145"/>
  <c r="F51" i="145"/>
  <c r="F54" i="145" s="1"/>
  <c r="E43" i="145"/>
  <c r="D43" i="145"/>
  <c r="C43" i="145"/>
  <c r="B43" i="145"/>
  <c r="F41" i="145"/>
  <c r="F40" i="145"/>
  <c r="F39" i="145"/>
  <c r="F30" i="145"/>
  <c r="E22" i="145"/>
  <c r="D22" i="145"/>
  <c r="C22" i="145"/>
  <c r="B22" i="145"/>
  <c r="F21" i="145"/>
  <c r="F20" i="145"/>
  <c r="F19" i="145"/>
  <c r="F18" i="145"/>
  <c r="F17" i="145"/>
  <c r="F16" i="145"/>
  <c r="F15" i="145"/>
  <c r="E12" i="145"/>
  <c r="D12" i="145"/>
  <c r="C12" i="145"/>
  <c r="B12" i="145"/>
  <c r="F9" i="145"/>
  <c r="F12" i="145" s="1"/>
  <c r="B5" i="49"/>
  <c r="B82" i="49" s="1"/>
  <c r="S10" i="52"/>
  <c r="H37" i="143"/>
  <c r="H13" i="143"/>
  <c r="C42" i="143"/>
  <c r="C22" i="143"/>
  <c r="C60" i="143" s="1"/>
  <c r="C20" i="143"/>
  <c r="B112" i="142"/>
  <c r="B118" i="142" s="1"/>
  <c r="B190" i="50" s="1"/>
  <c r="B93" i="41"/>
  <c r="K14" i="144"/>
  <c r="AQ9" i="52"/>
  <c r="AB12" i="45"/>
  <c r="E46" i="41"/>
  <c r="I93" i="144"/>
  <c r="G93" i="144"/>
  <c r="J91" i="144"/>
  <c r="J90" i="144"/>
  <c r="E90" i="144"/>
  <c r="E93" i="144" s="1"/>
  <c r="D90" i="144"/>
  <c r="D93" i="144" s="1"/>
  <c r="C90" i="144"/>
  <c r="C93" i="144" s="1"/>
  <c r="B90" i="144"/>
  <c r="B93" i="144" s="1"/>
  <c r="J89" i="144"/>
  <c r="J88" i="144"/>
  <c r="J86" i="144"/>
  <c r="E83" i="144"/>
  <c r="I82" i="144"/>
  <c r="I84" i="144" s="1"/>
  <c r="G82" i="144"/>
  <c r="G84" i="144" s="1"/>
  <c r="D82" i="144"/>
  <c r="D84" i="144" s="1"/>
  <c r="B82" i="144"/>
  <c r="B84" i="144" s="1"/>
  <c r="J78" i="144"/>
  <c r="J77" i="144"/>
  <c r="J76" i="144"/>
  <c r="J75" i="144"/>
  <c r="E74" i="144"/>
  <c r="J73" i="144"/>
  <c r="J72" i="144"/>
  <c r="H61" i="144"/>
  <c r="H64" i="144" s="1"/>
  <c r="C61" i="144"/>
  <c r="C64" i="144" s="1"/>
  <c r="B61" i="144"/>
  <c r="B64" i="144" s="1"/>
  <c r="J60" i="144"/>
  <c r="J59" i="144"/>
  <c r="I61" i="144"/>
  <c r="I64" i="144" s="1"/>
  <c r="J57" i="144"/>
  <c r="J56" i="144"/>
  <c r="J55" i="144"/>
  <c r="E55" i="144"/>
  <c r="E61" i="144" s="1"/>
  <c r="E64" i="144" s="1"/>
  <c r="J54" i="144"/>
  <c r="J53" i="144"/>
  <c r="E53" i="144"/>
  <c r="I49" i="144"/>
  <c r="H49" i="144"/>
  <c r="H51" i="144" s="1"/>
  <c r="C49" i="144"/>
  <c r="C51" i="144" s="1"/>
  <c r="J47" i="144"/>
  <c r="J46" i="144"/>
  <c r="J45" i="144"/>
  <c r="J44" i="144"/>
  <c r="J43" i="144"/>
  <c r="E43" i="144"/>
  <c r="J42" i="144"/>
  <c r="E42" i="144"/>
  <c r="E40" i="144"/>
  <c r="D49" i="144"/>
  <c r="E62" i="144"/>
  <c r="K26" i="144"/>
  <c r="J26" i="144"/>
  <c r="K24" i="144"/>
  <c r="K13" i="144"/>
  <c r="J13" i="144"/>
  <c r="B60" i="143"/>
  <c r="B44" i="143"/>
  <c r="B61" i="143" s="1"/>
  <c r="F42" i="143"/>
  <c r="F58" i="143" s="1"/>
  <c r="H24" i="143"/>
  <c r="H23" i="143"/>
  <c r="D23" i="143"/>
  <c r="H22" i="143"/>
  <c r="F20" i="143"/>
  <c r="F57" i="143" s="1"/>
  <c r="D14" i="143"/>
  <c r="D13" i="143"/>
  <c r="D12" i="143"/>
  <c r="E54" i="144"/>
  <c r="J58" i="144"/>
  <c r="B107" i="142"/>
  <c r="C120" i="142"/>
  <c r="B102" i="142"/>
  <c r="B91" i="142"/>
  <c r="C91" i="142"/>
  <c r="B86" i="142"/>
  <c r="B82" i="142"/>
  <c r="C82" i="142"/>
  <c r="B78" i="142"/>
  <c r="C78" i="142"/>
  <c r="B73" i="142"/>
  <c r="C73" i="142"/>
  <c r="B58" i="142"/>
  <c r="C58" i="142"/>
  <c r="B54" i="142"/>
  <c r="B48" i="142"/>
  <c r="B41" i="142"/>
  <c r="B35" i="142"/>
  <c r="B20" i="142"/>
  <c r="B14" i="142"/>
  <c r="C14" i="142"/>
  <c r="B9" i="142"/>
  <c r="N54" i="140"/>
  <c r="N52" i="140"/>
  <c r="B50" i="140"/>
  <c r="N49" i="140"/>
  <c r="M50" i="140"/>
  <c r="J50" i="140"/>
  <c r="I50" i="140"/>
  <c r="F50" i="140"/>
  <c r="D50" i="140"/>
  <c r="N47" i="140"/>
  <c r="N46" i="140"/>
  <c r="L45" i="140"/>
  <c r="K45" i="140"/>
  <c r="J45" i="140"/>
  <c r="I45" i="140"/>
  <c r="I51" i="140" s="1"/>
  <c r="I53" i="140" s="1"/>
  <c r="H45" i="140"/>
  <c r="G45" i="140"/>
  <c r="G51" i="140" s="1"/>
  <c r="G53" i="140" s="1"/>
  <c r="F45" i="140"/>
  <c r="E45" i="140"/>
  <c r="D45" i="140"/>
  <c r="C45" i="140"/>
  <c r="B45" i="140"/>
  <c r="N43" i="140"/>
  <c r="N42" i="140"/>
  <c r="N40" i="140"/>
  <c r="N39" i="140"/>
  <c r="N38" i="140"/>
  <c r="N37" i="140"/>
  <c r="N36" i="140"/>
  <c r="N35" i="140"/>
  <c r="N34" i="140"/>
  <c r="N33" i="140"/>
  <c r="N31" i="140"/>
  <c r="N30" i="140"/>
  <c r="N29" i="140"/>
  <c r="N28" i="140"/>
  <c r="M26" i="140"/>
  <c r="L26" i="140"/>
  <c r="K26" i="140"/>
  <c r="J26" i="140"/>
  <c r="I26" i="140"/>
  <c r="H26" i="140"/>
  <c r="G26" i="140"/>
  <c r="F26" i="140"/>
  <c r="E26" i="140"/>
  <c r="D26" i="140"/>
  <c r="C26" i="140"/>
  <c r="B26" i="140"/>
  <c r="N25" i="140"/>
  <c r="N24" i="140"/>
  <c r="N23" i="140"/>
  <c r="N22" i="140"/>
  <c r="N21" i="140"/>
  <c r="L20" i="140"/>
  <c r="L27" i="140" s="1"/>
  <c r="L32" i="140" s="1"/>
  <c r="K20" i="140"/>
  <c r="J20" i="140"/>
  <c r="I20" i="140"/>
  <c r="H20" i="140"/>
  <c r="H27" i="140" s="1"/>
  <c r="H32" i="140" s="1"/>
  <c r="G20" i="140"/>
  <c r="F20" i="140"/>
  <c r="E20" i="140"/>
  <c r="D20" i="140"/>
  <c r="D27" i="140" s="1"/>
  <c r="D32" i="140" s="1"/>
  <c r="C20" i="140"/>
  <c r="C27" i="140" s="1"/>
  <c r="C32" i="140" s="1"/>
  <c r="N19" i="140"/>
  <c r="N18" i="140"/>
  <c r="N17" i="140"/>
  <c r="N16" i="140"/>
  <c r="N15" i="140"/>
  <c r="N14" i="140"/>
  <c r="N13" i="140"/>
  <c r="N12" i="140"/>
  <c r="N11" i="140"/>
  <c r="N10" i="140"/>
  <c r="N9" i="140"/>
  <c r="N8" i="140"/>
  <c r="C50" i="140"/>
  <c r="O57" i="44"/>
  <c r="E93" i="41" s="1"/>
  <c r="G93" i="41" s="1"/>
  <c r="B186" i="50"/>
  <c r="B35" i="42" s="1"/>
  <c r="B166" i="50"/>
  <c r="D166" i="50" s="1"/>
  <c r="B98" i="50"/>
  <c r="B104" i="50"/>
  <c r="C98" i="50"/>
  <c r="C43" i="50"/>
  <c r="D43" i="50" s="1"/>
  <c r="B35" i="41"/>
  <c r="B48" i="41"/>
  <c r="B43" i="41" s="1"/>
  <c r="B117" i="40"/>
  <c r="F15" i="97" s="1"/>
  <c r="B101" i="40"/>
  <c r="K12" i="52" s="1"/>
  <c r="B46" i="44"/>
  <c r="O9" i="45" s="1"/>
  <c r="B28" i="44"/>
  <c r="D28" i="44" s="1"/>
  <c r="B23" i="44"/>
  <c r="B9" i="52"/>
  <c r="E9" i="52"/>
  <c r="H9" i="52"/>
  <c r="B9" i="40"/>
  <c r="H10" i="52" s="1"/>
  <c r="B15" i="40"/>
  <c r="B17" i="40"/>
  <c r="H12" i="144" s="1"/>
  <c r="C101" i="40"/>
  <c r="I12" i="144" s="1"/>
  <c r="K13" i="44"/>
  <c r="K29" i="44"/>
  <c r="H53" i="41" s="1"/>
  <c r="K53" i="41" s="1"/>
  <c r="K33" i="44"/>
  <c r="H57" i="41" s="1"/>
  <c r="K57" i="41" s="1"/>
  <c r="K27" i="44"/>
  <c r="H51" i="41" s="1"/>
  <c r="K51" i="41" s="1"/>
  <c r="B31" i="41"/>
  <c r="B38" i="41"/>
  <c r="K68" i="41"/>
  <c r="K69" i="41"/>
  <c r="K23" i="41"/>
  <c r="M23" i="41" s="1"/>
  <c r="K60" i="41"/>
  <c r="K72" i="41"/>
  <c r="K73" i="41"/>
  <c r="B21" i="40"/>
  <c r="V10" i="52" s="1"/>
  <c r="K47" i="44"/>
  <c r="H77" i="41" s="1"/>
  <c r="K85" i="41"/>
  <c r="B44" i="97" s="1"/>
  <c r="B43" i="97" s="1"/>
  <c r="B60" i="97" s="1"/>
  <c r="K90" i="41"/>
  <c r="B24" i="97" s="1"/>
  <c r="C117" i="40"/>
  <c r="C10" i="52"/>
  <c r="F10" i="52"/>
  <c r="C17" i="40"/>
  <c r="C26" i="107"/>
  <c r="AL8" i="52"/>
  <c r="C33" i="107"/>
  <c r="V7" i="52" s="1"/>
  <c r="AL7" i="52" s="1"/>
  <c r="C38" i="107"/>
  <c r="C125" i="50"/>
  <c r="C120" i="50"/>
  <c r="C111" i="50"/>
  <c r="AI9" i="52"/>
  <c r="AI11" i="52" s="1"/>
  <c r="C187" i="50"/>
  <c r="AF9" i="52"/>
  <c r="AF11" i="52" s="1"/>
  <c r="AB9" i="52"/>
  <c r="AB11" i="52" s="1"/>
  <c r="Y9" i="52"/>
  <c r="Y11" i="52" s="1"/>
  <c r="S9" i="52"/>
  <c r="K9" i="52"/>
  <c r="B34" i="44"/>
  <c r="B15" i="44"/>
  <c r="B12" i="44"/>
  <c r="E34" i="44"/>
  <c r="G34" i="44" s="1"/>
  <c r="E21" i="44"/>
  <c r="E15" i="44"/>
  <c r="E12" i="44"/>
  <c r="E46" i="44"/>
  <c r="O10" i="45" s="1"/>
  <c r="H34" i="44"/>
  <c r="H15" i="44"/>
  <c r="H12" i="44"/>
  <c r="H46" i="44"/>
  <c r="O42" i="44"/>
  <c r="O40" i="44"/>
  <c r="O34" i="44"/>
  <c r="O21" i="44"/>
  <c r="O17" i="44"/>
  <c r="O12" i="44"/>
  <c r="O46" i="44"/>
  <c r="B70" i="41"/>
  <c r="B66" i="41"/>
  <c r="B58" i="41"/>
  <c r="B22" i="41"/>
  <c r="B80" i="41"/>
  <c r="B84" i="41"/>
  <c r="K53" i="44"/>
  <c r="K54" i="44"/>
  <c r="K55" i="44"/>
  <c r="K56" i="44"/>
  <c r="H94" i="41" s="1"/>
  <c r="B94" i="41"/>
  <c r="E94" i="41"/>
  <c r="G94" i="41" s="1"/>
  <c r="K24" i="41"/>
  <c r="M24" i="41" s="1"/>
  <c r="K25" i="41"/>
  <c r="M25" i="41" s="1"/>
  <c r="K26" i="41"/>
  <c r="M26" i="41" s="1"/>
  <c r="K16" i="44"/>
  <c r="E31" i="41"/>
  <c r="E38" i="41"/>
  <c r="H31" i="41"/>
  <c r="H38" i="41"/>
  <c r="H34" i="41" s="1"/>
  <c r="K25" i="44"/>
  <c r="H47" i="41" s="1"/>
  <c r="J47" i="41" s="1"/>
  <c r="K26" i="44"/>
  <c r="H48" i="41" s="1"/>
  <c r="K30" i="44"/>
  <c r="H54" i="41" s="1"/>
  <c r="K54" i="41" s="1"/>
  <c r="K31" i="44"/>
  <c r="H55" i="41" s="1"/>
  <c r="K55" i="41" s="1"/>
  <c r="K32" i="44"/>
  <c r="H56" i="41" s="1"/>
  <c r="K56" i="41" s="1"/>
  <c r="K61" i="41"/>
  <c r="K62" i="41"/>
  <c r="K63" i="41"/>
  <c r="K67" i="41"/>
  <c r="K71" i="41"/>
  <c r="K48" i="44"/>
  <c r="K24" i="44"/>
  <c r="H46" i="41" s="1"/>
  <c r="K14" i="44"/>
  <c r="H21" i="41" s="1"/>
  <c r="E8" i="41"/>
  <c r="N22" i="44"/>
  <c r="N25" i="44"/>
  <c r="N26" i="44"/>
  <c r="N28" i="44"/>
  <c r="N30" i="44"/>
  <c r="N33" i="44"/>
  <c r="K43" i="44"/>
  <c r="K35" i="44"/>
  <c r="K36" i="44"/>
  <c r="K37" i="44"/>
  <c r="K38" i="44"/>
  <c r="K39" i="44"/>
  <c r="K41" i="44"/>
  <c r="K40" i="44" s="1"/>
  <c r="K42" i="44"/>
  <c r="K17" i="44"/>
  <c r="K18" i="44"/>
  <c r="K19" i="44"/>
  <c r="K20" i="44"/>
  <c r="K22" i="44"/>
  <c r="K49" i="44"/>
  <c r="K52" i="44"/>
  <c r="M52" i="44" s="1"/>
  <c r="B57" i="44"/>
  <c r="E57" i="44"/>
  <c r="H57" i="44"/>
  <c r="N54" i="44"/>
  <c r="N50" i="44"/>
  <c r="N45" i="44" s="1"/>
  <c r="N23" i="44"/>
  <c r="N17" i="44"/>
  <c r="N15" i="44"/>
  <c r="N12" i="44"/>
  <c r="K86" i="41"/>
  <c r="K87" i="41"/>
  <c r="K88" i="41"/>
  <c r="K89" i="41"/>
  <c r="E80" i="41"/>
  <c r="E84" i="41"/>
  <c r="H80" i="41"/>
  <c r="H84" i="41"/>
  <c r="J84" i="41" s="1"/>
  <c r="E70" i="41"/>
  <c r="E66" i="41"/>
  <c r="E58" i="41"/>
  <c r="E22" i="41"/>
  <c r="H70" i="41"/>
  <c r="H66" i="41"/>
  <c r="J66" i="41" s="1"/>
  <c r="H58" i="41"/>
  <c r="K81" i="41"/>
  <c r="K82" i="41"/>
  <c r="K83" i="41"/>
  <c r="K44" i="41"/>
  <c r="K49" i="41"/>
  <c r="K50" i="41"/>
  <c r="K32" i="41"/>
  <c r="K33" i="41"/>
  <c r="M33" i="41" s="1"/>
  <c r="K36" i="41"/>
  <c r="K37" i="41"/>
  <c r="K39" i="41"/>
  <c r="K40" i="41"/>
  <c r="K41" i="41"/>
  <c r="I9" i="52"/>
  <c r="G11" i="144" s="1"/>
  <c r="F9" i="52"/>
  <c r="C9" i="52"/>
  <c r="G9" i="144" s="1"/>
  <c r="C192" i="50"/>
  <c r="Z12" i="52" s="1"/>
  <c r="L9" i="52"/>
  <c r="G56" i="97"/>
  <c r="T10" i="52"/>
  <c r="F14" i="143" s="1"/>
  <c r="AJ9" i="52"/>
  <c r="AG9" i="52"/>
  <c r="AC9" i="52"/>
  <c r="AC11" i="52" s="1"/>
  <c r="Z9" i="52"/>
  <c r="Z11" i="52" s="1"/>
  <c r="T9" i="52"/>
  <c r="Y40" i="52"/>
  <c r="Y39" i="52"/>
  <c r="N24" i="44"/>
  <c r="N18" i="44"/>
  <c r="N60" i="44"/>
  <c r="N58" i="44"/>
  <c r="N55" i="44"/>
  <c r="N9" i="52"/>
  <c r="N11" i="52" s="1"/>
  <c r="N13" i="52" s="1"/>
  <c r="O9" i="52"/>
  <c r="O11" i="52" s="1"/>
  <c r="O13" i="52" s="1"/>
  <c r="Q9" i="52"/>
  <c r="Q11" i="52" s="1"/>
  <c r="Q13" i="52" s="1"/>
  <c r="P9" i="52"/>
  <c r="P11" i="52" s="1"/>
  <c r="P13" i="52" s="1"/>
  <c r="N53" i="44"/>
  <c r="N57" i="44" s="1"/>
  <c r="G20" i="143"/>
  <c r="H20" i="143" s="1"/>
  <c r="H57" i="143" s="1"/>
  <c r="E45" i="44"/>
  <c r="C37" i="42"/>
  <c r="G57" i="97"/>
  <c r="G84" i="41"/>
  <c r="G78" i="41"/>
  <c r="E34" i="41"/>
  <c r="B45" i="44"/>
  <c r="N56" i="44"/>
  <c r="K58" i="41"/>
  <c r="D25" i="143"/>
  <c r="N29" i="44"/>
  <c r="N42" i="44"/>
  <c r="N27" i="44"/>
  <c r="N40" i="44"/>
  <c r="H209" i="145"/>
  <c r="N34" i="44"/>
  <c r="D51" i="144"/>
  <c r="C58" i="143" l="1"/>
  <c r="O10" i="140"/>
  <c r="D11" i="144"/>
  <c r="C10" i="143"/>
  <c r="O24" i="140"/>
  <c r="C24" i="144"/>
  <c r="C31" i="144" s="1"/>
  <c r="C33" i="144" s="1"/>
  <c r="B32" i="143"/>
  <c r="L58" i="41"/>
  <c r="O23" i="140"/>
  <c r="D25" i="144"/>
  <c r="E25" i="144" s="1"/>
  <c r="C33" i="143"/>
  <c r="I76" i="41"/>
  <c r="B20" i="144" s="1"/>
  <c r="B21" i="143"/>
  <c r="C57" i="143"/>
  <c r="D20" i="144"/>
  <c r="J46" i="41"/>
  <c r="C51" i="140"/>
  <c r="C53" i="140" s="1"/>
  <c r="B120" i="142"/>
  <c r="H11" i="144"/>
  <c r="O22" i="140"/>
  <c r="C32" i="143"/>
  <c r="L38" i="41"/>
  <c r="L31" i="41"/>
  <c r="O11" i="140"/>
  <c r="C11" i="143"/>
  <c r="D12" i="144"/>
  <c r="E12" i="144" s="1"/>
  <c r="L84" i="41"/>
  <c r="B33" i="143"/>
  <c r="D33" i="143" s="1"/>
  <c r="L78" i="41"/>
  <c r="B43" i="143"/>
  <c r="G46" i="146"/>
  <c r="G42" i="146" s="1"/>
  <c r="H8" i="146"/>
  <c r="H7" i="146" s="1"/>
  <c r="J24" i="147"/>
  <c r="O21" i="140"/>
  <c r="D23" i="144"/>
  <c r="C31" i="143"/>
  <c r="I28" i="144"/>
  <c r="J28" i="144" s="1"/>
  <c r="G36" i="143"/>
  <c r="H36" i="143" s="1"/>
  <c r="I29" i="144"/>
  <c r="G38" i="143"/>
  <c r="H38" i="143" s="1"/>
  <c r="G34" i="97"/>
  <c r="G35" i="143"/>
  <c r="I27" i="144"/>
  <c r="D48" i="142"/>
  <c r="D107" i="142"/>
  <c r="G15" i="97"/>
  <c r="G16" i="143"/>
  <c r="I17" i="144"/>
  <c r="F96" i="145"/>
  <c r="F105" i="145"/>
  <c r="D22" i="143"/>
  <c r="D60" i="143" s="1"/>
  <c r="D117" i="142"/>
  <c r="H30" i="41"/>
  <c r="B60" i="40"/>
  <c r="D41" i="142"/>
  <c r="D39" i="42"/>
  <c r="C32" i="42"/>
  <c r="C30" i="42" s="1"/>
  <c r="G57" i="143"/>
  <c r="K10" i="144"/>
  <c r="J14" i="144"/>
  <c r="U10" i="52"/>
  <c r="C79" i="41"/>
  <c r="D102" i="142"/>
  <c r="D54" i="142"/>
  <c r="D35" i="142"/>
  <c r="D9" i="142"/>
  <c r="D20" i="142"/>
  <c r="H51" i="140"/>
  <c r="H53" i="140" s="1"/>
  <c r="G31" i="41"/>
  <c r="G9" i="52"/>
  <c r="G10" i="144"/>
  <c r="H27" i="41"/>
  <c r="H22" i="41" s="1"/>
  <c r="B21" i="44"/>
  <c r="D21" i="44" s="1"/>
  <c r="K23" i="44"/>
  <c r="J51" i="140"/>
  <c r="J53" i="140" s="1"/>
  <c r="H65" i="144"/>
  <c r="I43" i="41"/>
  <c r="B11" i="144" s="1"/>
  <c r="L12" i="44"/>
  <c r="O17" i="140" s="1"/>
  <c r="I20" i="41"/>
  <c r="L20" i="41" s="1"/>
  <c r="K28" i="44"/>
  <c r="H52" i="41" s="1"/>
  <c r="J52" i="41" s="1"/>
  <c r="H15" i="97"/>
  <c r="E79" i="41"/>
  <c r="C11" i="52"/>
  <c r="F8" i="143" s="1"/>
  <c r="L70" i="41"/>
  <c r="I94" i="41"/>
  <c r="L94" i="41" s="1"/>
  <c r="L27" i="41"/>
  <c r="I22" i="41"/>
  <c r="D51" i="140"/>
  <c r="D53" i="140" s="1"/>
  <c r="N26" i="140"/>
  <c r="C119" i="40"/>
  <c r="K12" i="144"/>
  <c r="Q12" i="44"/>
  <c r="Q40" i="44"/>
  <c r="C116" i="142"/>
  <c r="F56" i="143"/>
  <c r="F43" i="145"/>
  <c r="F63" i="145"/>
  <c r="J77" i="41"/>
  <c r="F44" i="44"/>
  <c r="E76" i="41"/>
  <c r="G76" i="41" s="1"/>
  <c r="AK9" i="52"/>
  <c r="H79" i="41"/>
  <c r="K34" i="44"/>
  <c r="H45" i="44"/>
  <c r="K45" i="44" s="1"/>
  <c r="C20" i="40"/>
  <c r="M72" i="41"/>
  <c r="K66" i="41"/>
  <c r="B10" i="97" s="1"/>
  <c r="B20" i="40"/>
  <c r="B22" i="42" s="1"/>
  <c r="B51" i="140"/>
  <c r="B53" i="140" s="1"/>
  <c r="H158" i="145"/>
  <c r="M27" i="140"/>
  <c r="M32" i="140" s="1"/>
  <c r="B49" i="144"/>
  <c r="B51" i="144" s="1"/>
  <c r="B65" i="144" s="1"/>
  <c r="G10" i="52"/>
  <c r="E7" i="41"/>
  <c r="G7" i="41" s="1"/>
  <c r="J38" i="41"/>
  <c r="K38" i="41"/>
  <c r="I10" i="52"/>
  <c r="J10" i="52" s="1"/>
  <c r="F34" i="145"/>
  <c r="C44" i="143"/>
  <c r="C61" i="143" s="1"/>
  <c r="C59" i="143" s="1"/>
  <c r="D45" i="143"/>
  <c r="D44" i="143" s="1"/>
  <c r="D61" i="143" s="1"/>
  <c r="O13" i="140"/>
  <c r="L51" i="140"/>
  <c r="L53" i="140" s="1"/>
  <c r="G46" i="41"/>
  <c r="K46" i="41"/>
  <c r="M46" i="41" s="1"/>
  <c r="V6" i="52"/>
  <c r="AL6" i="52" s="1"/>
  <c r="E5" i="107"/>
  <c r="M38" i="41"/>
  <c r="G38" i="41"/>
  <c r="D65" i="144"/>
  <c r="J20" i="144"/>
  <c r="D94" i="41"/>
  <c r="O13" i="45"/>
  <c r="O45" i="44"/>
  <c r="S11" i="52"/>
  <c r="U9" i="52"/>
  <c r="O52" i="140"/>
  <c r="AG12" i="52"/>
  <c r="N20" i="140"/>
  <c r="J49" i="144"/>
  <c r="H188" i="145"/>
  <c r="F79" i="41"/>
  <c r="F75" i="41" s="1"/>
  <c r="F41" i="97"/>
  <c r="F57" i="97" s="1"/>
  <c r="H57" i="97" s="1"/>
  <c r="J76" i="147"/>
  <c r="L18" i="147" s="1"/>
  <c r="I78" i="147"/>
  <c r="K9" i="144"/>
  <c r="G49" i="144"/>
  <c r="G51" i="144" s="1"/>
  <c r="G65" i="144" s="1"/>
  <c r="B26" i="40"/>
  <c r="D24" i="144"/>
  <c r="K94" i="41"/>
  <c r="H43" i="143"/>
  <c r="I50" i="144"/>
  <c r="K20" i="144" s="1"/>
  <c r="F83" i="145"/>
  <c r="F138" i="145"/>
  <c r="H200" i="145"/>
  <c r="H249" i="145"/>
  <c r="L77" i="41"/>
  <c r="C20" i="97" s="1"/>
  <c r="C19" i="97" s="1"/>
  <c r="C56" i="97" s="1"/>
  <c r="B44" i="44"/>
  <c r="B51" i="44" s="1"/>
  <c r="J34" i="41"/>
  <c r="D23" i="44"/>
  <c r="J27" i="140"/>
  <c r="J32" i="140" s="1"/>
  <c r="G52" i="41"/>
  <c r="C34" i="41"/>
  <c r="F34" i="41"/>
  <c r="G34" i="41" s="1"/>
  <c r="H69" i="146"/>
  <c r="G67" i="146"/>
  <c r="H67" i="146" s="1"/>
  <c r="AH9" i="52"/>
  <c r="M9" i="52"/>
  <c r="E11" i="52"/>
  <c r="D98" i="50"/>
  <c r="B27" i="140"/>
  <c r="B32" i="140" s="1"/>
  <c r="H229" i="145"/>
  <c r="I30" i="41"/>
  <c r="J70" i="41"/>
  <c r="L66" i="41"/>
  <c r="C11" i="42" s="1"/>
  <c r="C44" i="44"/>
  <c r="L9" i="45" s="1"/>
  <c r="P44" i="44"/>
  <c r="L13" i="45" s="1"/>
  <c r="E61" i="146"/>
  <c r="H61" i="146" s="1"/>
  <c r="B187" i="50"/>
  <c r="K46" i="44"/>
  <c r="J58" i="41"/>
  <c r="G8" i="41"/>
  <c r="K70" i="41"/>
  <c r="K48" i="41"/>
  <c r="K57" i="44"/>
  <c r="O44" i="44"/>
  <c r="K13" i="45" s="1"/>
  <c r="H44" i="44"/>
  <c r="K11" i="45" s="1"/>
  <c r="D104" i="50"/>
  <c r="F27" i="140"/>
  <c r="F32" i="140" s="1"/>
  <c r="J61" i="144"/>
  <c r="J64" i="144" s="1"/>
  <c r="E10" i="45"/>
  <c r="H10" i="45" s="1"/>
  <c r="K51" i="140"/>
  <c r="K53" i="140" s="1"/>
  <c r="C82" i="49"/>
  <c r="D82" i="49" s="1"/>
  <c r="E6" i="146"/>
  <c r="E5" i="146" s="1"/>
  <c r="B9" i="41" s="1"/>
  <c r="K9" i="41" s="1"/>
  <c r="X7" i="52"/>
  <c r="J9" i="52"/>
  <c r="G57" i="44"/>
  <c r="G21" i="44"/>
  <c r="L57" i="44"/>
  <c r="R57" i="44" s="1"/>
  <c r="R61" i="44" s="1"/>
  <c r="L21" i="44"/>
  <c r="O18" i="140" s="1"/>
  <c r="D59" i="143"/>
  <c r="O40" i="140"/>
  <c r="D101" i="40"/>
  <c r="L12" i="52"/>
  <c r="D83" i="40"/>
  <c r="J87" i="144"/>
  <c r="J93" i="144" s="1"/>
  <c r="D30" i="40"/>
  <c r="O34" i="140"/>
  <c r="D78" i="50"/>
  <c r="B107" i="50"/>
  <c r="F73" i="50"/>
  <c r="E77" i="50"/>
  <c r="G58" i="41"/>
  <c r="D117" i="40"/>
  <c r="AA9" i="52"/>
  <c r="O47" i="140"/>
  <c r="G32" i="97"/>
  <c r="G80" i="41"/>
  <c r="J31" i="41"/>
  <c r="AM7" i="52"/>
  <c r="K84" i="41"/>
  <c r="M84" i="41" s="1"/>
  <c r="B79" i="41"/>
  <c r="D79" i="41" s="1"/>
  <c r="D45" i="40"/>
  <c r="O36" i="140"/>
  <c r="F12" i="52"/>
  <c r="D31" i="41"/>
  <c r="K31" i="41"/>
  <c r="M31" i="41" s="1"/>
  <c r="H20" i="41"/>
  <c r="H7" i="41" s="1"/>
  <c r="K12" i="44"/>
  <c r="O38" i="140"/>
  <c r="I12" i="52"/>
  <c r="G10" i="143" s="1"/>
  <c r="B11" i="52"/>
  <c r="K35" i="41"/>
  <c r="M35" i="41" s="1"/>
  <c r="B34" i="41"/>
  <c r="K34" i="41" s="1"/>
  <c r="I27" i="140"/>
  <c r="I32" i="140" s="1"/>
  <c r="F51" i="140"/>
  <c r="F53" i="140" s="1"/>
  <c r="B59" i="143"/>
  <c r="E39" i="144"/>
  <c r="E49" i="144" s="1"/>
  <c r="H268" i="145"/>
  <c r="F117" i="145"/>
  <c r="K50" i="44"/>
  <c r="J8" i="41"/>
  <c r="D93" i="41"/>
  <c r="G70" i="41"/>
  <c r="J80" i="41"/>
  <c r="I44" i="44"/>
  <c r="L11" i="45" s="1"/>
  <c r="C42" i="97"/>
  <c r="C41" i="97" s="1"/>
  <c r="H44" i="143"/>
  <c r="G42" i="143"/>
  <c r="G58" i="143" s="1"/>
  <c r="E50" i="140"/>
  <c r="E51" i="140" s="1"/>
  <c r="E53" i="140" s="1"/>
  <c r="N48" i="140"/>
  <c r="N50" i="140" s="1"/>
  <c r="P13" i="45"/>
  <c r="Q13" i="45" s="1"/>
  <c r="P45" i="44"/>
  <c r="K42" i="41"/>
  <c r="M42" i="41" s="1"/>
  <c r="G42" i="41"/>
  <c r="E30" i="146"/>
  <c r="B10" i="41" s="1"/>
  <c r="K10" i="41" s="1"/>
  <c r="C43" i="107"/>
  <c r="AJ12" i="52"/>
  <c r="D22" i="41"/>
  <c r="D31" i="144"/>
  <c r="C40" i="143"/>
  <c r="B125" i="50"/>
  <c r="G87" i="146"/>
  <c r="D32" i="143"/>
  <c r="E44" i="44"/>
  <c r="K44" i="44" s="1"/>
  <c r="K52" i="41"/>
  <c r="M52" i="41" s="1"/>
  <c r="G19" i="144"/>
  <c r="G21" i="144" s="1"/>
  <c r="H16" i="143"/>
  <c r="B11" i="143"/>
  <c r="D11" i="143" s="1"/>
  <c r="G66" i="41"/>
  <c r="D111" i="50"/>
  <c r="G37" i="97"/>
  <c r="C181" i="50"/>
  <c r="O49" i="140" s="1"/>
  <c r="C115" i="40"/>
  <c r="E27" i="140"/>
  <c r="E32" i="140" s="1"/>
  <c r="F126" i="145"/>
  <c r="F147" i="145"/>
  <c r="D95" i="40"/>
  <c r="H82" i="144"/>
  <c r="H84" i="144" s="1"/>
  <c r="J74" i="144"/>
  <c r="J82" i="144" s="1"/>
  <c r="J84" i="144" s="1"/>
  <c r="F43" i="41"/>
  <c r="D43" i="107"/>
  <c r="F32" i="143" s="1"/>
  <c r="F37" i="97"/>
  <c r="K47" i="41"/>
  <c r="M47" i="41" s="1"/>
  <c r="G47" i="41"/>
  <c r="G77" i="41"/>
  <c r="J84" i="147"/>
  <c r="G88" i="147"/>
  <c r="B9" i="45" s="1"/>
  <c r="E9" i="45" s="1"/>
  <c r="N21" i="44"/>
  <c r="N44" i="44" s="1"/>
  <c r="N51" i="44" s="1"/>
  <c r="J94" i="41"/>
  <c r="K21" i="44"/>
  <c r="M41" i="41"/>
  <c r="M36" i="41"/>
  <c r="K80" i="41"/>
  <c r="K15" i="44"/>
  <c r="D120" i="50"/>
  <c r="G35" i="97"/>
  <c r="D10" i="52"/>
  <c r="K27" i="140"/>
  <c r="K32" i="140" s="1"/>
  <c r="D78" i="142"/>
  <c r="C65" i="144"/>
  <c r="F22" i="145"/>
  <c r="H179" i="145"/>
  <c r="P15" i="45"/>
  <c r="O29" i="140"/>
  <c r="C58" i="97"/>
  <c r="T11" i="52"/>
  <c r="D9" i="52"/>
  <c r="M39" i="41"/>
  <c r="D57" i="44"/>
  <c r="D17" i="40"/>
  <c r="O39" i="140"/>
  <c r="G27" i="140"/>
  <c r="G32" i="140" s="1"/>
  <c r="D14" i="142"/>
  <c r="D58" i="142"/>
  <c r="D73" i="142"/>
  <c r="D82" i="142"/>
  <c r="C56" i="143"/>
  <c r="F91" i="41"/>
  <c r="O30" i="140"/>
  <c r="M70" i="41"/>
  <c r="L15" i="44"/>
  <c r="O25" i="140" s="1"/>
  <c r="L46" i="44"/>
  <c r="M46" i="44" s="1"/>
  <c r="E43" i="41"/>
  <c r="H72" i="146"/>
  <c r="C13" i="41" s="1"/>
  <c r="H30" i="146"/>
  <c r="C10" i="41" s="1"/>
  <c r="G82" i="147"/>
  <c r="B13" i="45" s="1"/>
  <c r="E13" i="45" s="1"/>
  <c r="J16" i="147"/>
  <c r="I88" i="147"/>
  <c r="G53" i="147"/>
  <c r="J53" i="147" s="1"/>
  <c r="G40" i="147"/>
  <c r="G72" i="147"/>
  <c r="G78" i="147" s="1"/>
  <c r="L11" i="147"/>
  <c r="G116" i="147"/>
  <c r="J116" i="147" s="1"/>
  <c r="G55" i="97"/>
  <c r="F14" i="97"/>
  <c r="AL9" i="52"/>
  <c r="E50" i="144"/>
  <c r="Z13" i="52"/>
  <c r="AA11" i="52"/>
  <c r="J79" i="41"/>
  <c r="D44" i="44"/>
  <c r="AD11" i="52"/>
  <c r="K21" i="41"/>
  <c r="M21" i="41" s="1"/>
  <c r="J21" i="41"/>
  <c r="D112" i="142"/>
  <c r="D118" i="142" s="1"/>
  <c r="B116" i="142"/>
  <c r="B28" i="42" s="1"/>
  <c r="F114" i="142"/>
  <c r="D43" i="41"/>
  <c r="B30" i="41"/>
  <c r="B11" i="42"/>
  <c r="H21" i="143"/>
  <c r="B10" i="42"/>
  <c r="B31" i="97"/>
  <c r="AD9" i="52"/>
  <c r="AG11" i="52"/>
  <c r="AJ11" i="52"/>
  <c r="F11" i="52"/>
  <c r="F9" i="143" s="1"/>
  <c r="E30" i="41"/>
  <c r="O11" i="45"/>
  <c r="Q11" i="45" s="1"/>
  <c r="J46" i="44"/>
  <c r="C107" i="50"/>
  <c r="L10" i="52"/>
  <c r="C12" i="52"/>
  <c r="K10" i="52"/>
  <c r="AL10" i="52" s="1"/>
  <c r="D15" i="40"/>
  <c r="H11" i="52"/>
  <c r="F20" i="97"/>
  <c r="D186" i="50"/>
  <c r="D91" i="142"/>
  <c r="B115" i="40"/>
  <c r="D5" i="49"/>
  <c r="B108" i="50"/>
  <c r="D50" i="44"/>
  <c r="V9" i="52"/>
  <c r="O15" i="45"/>
  <c r="B30" i="42"/>
  <c r="C30" i="41"/>
  <c r="C9" i="143" s="1"/>
  <c r="D46" i="44"/>
  <c r="M47" i="44"/>
  <c r="D58" i="41"/>
  <c r="D38" i="41"/>
  <c r="D66" i="41"/>
  <c r="M89" i="41"/>
  <c r="M87" i="41"/>
  <c r="M82" i="41"/>
  <c r="M73" i="41"/>
  <c r="D34" i="44"/>
  <c r="G15" i="44"/>
  <c r="J57" i="44"/>
  <c r="J12" i="44"/>
  <c r="M55" i="44"/>
  <c r="M53" i="44"/>
  <c r="M49" i="44"/>
  <c r="M42" i="44"/>
  <c r="M39" i="44"/>
  <c r="M37" i="44"/>
  <c r="M35" i="44"/>
  <c r="M32" i="44"/>
  <c r="M30" i="44"/>
  <c r="M28" i="44"/>
  <c r="M26" i="44"/>
  <c r="M24" i="44"/>
  <c r="M22" i="44"/>
  <c r="M19" i="44"/>
  <c r="M17" i="44"/>
  <c r="M14" i="44"/>
  <c r="Q57" i="44"/>
  <c r="Q42" i="44"/>
  <c r="Q34" i="44"/>
  <c r="Q17" i="44"/>
  <c r="AN8" i="52"/>
  <c r="B12" i="42"/>
  <c r="B32" i="97"/>
  <c r="H45" i="41"/>
  <c r="H43" i="41" s="1"/>
  <c r="M23" i="44"/>
  <c r="H78" i="41"/>
  <c r="H76" i="41" s="1"/>
  <c r="M48" i="44"/>
  <c r="W10" i="52"/>
  <c r="D21" i="40"/>
  <c r="B21" i="97"/>
  <c r="D24" i="97"/>
  <c r="K77" i="41"/>
  <c r="D189" i="50"/>
  <c r="M13" i="44"/>
  <c r="G46" i="44"/>
  <c r="Q44" i="44"/>
  <c r="L48" i="41"/>
  <c r="D48" i="41"/>
  <c r="D35" i="41"/>
  <c r="M44" i="41"/>
  <c r="M40" i="41"/>
  <c r="M37" i="41"/>
  <c r="M32" i="41"/>
  <c r="S15" i="45"/>
  <c r="C91" i="41"/>
  <c r="M90" i="41"/>
  <c r="M88" i="41"/>
  <c r="M86" i="41"/>
  <c r="M83" i="41"/>
  <c r="M81" i="41"/>
  <c r="P12" i="45"/>
  <c r="Q9" i="45"/>
  <c r="D12" i="44"/>
  <c r="Q10" i="45"/>
  <c r="G12" i="44"/>
  <c r="J45" i="44"/>
  <c r="J34" i="44"/>
  <c r="J15" i="44"/>
  <c r="M56" i="44"/>
  <c r="M54" i="44"/>
  <c r="M43" i="44"/>
  <c r="M41" i="44"/>
  <c r="M38" i="44"/>
  <c r="M36" i="44"/>
  <c r="M33" i="44"/>
  <c r="M31" i="44"/>
  <c r="M29" i="44"/>
  <c r="M27" i="44"/>
  <c r="M25" i="44"/>
  <c r="M20" i="44"/>
  <c r="M18" i="44"/>
  <c r="M16" i="44"/>
  <c r="J27" i="41" s="1"/>
  <c r="Q21" i="44"/>
  <c r="E38" i="107"/>
  <c r="D9" i="40"/>
  <c r="C75" i="41"/>
  <c r="D84" i="41"/>
  <c r="D80" i="41"/>
  <c r="D76" i="41"/>
  <c r="L80" i="41"/>
  <c r="C45" i="44"/>
  <c r="D15" i="44"/>
  <c r="F45" i="44"/>
  <c r="L50" i="44"/>
  <c r="L40" i="44"/>
  <c r="M40" i="44" s="1"/>
  <c r="L34" i="44"/>
  <c r="M34" i="44" s="1"/>
  <c r="G50" i="44"/>
  <c r="Q46" i="44"/>
  <c r="Q50" i="44"/>
  <c r="E33" i="107"/>
  <c r="E26" i="107"/>
  <c r="D44" i="97"/>
  <c r="D70" i="41"/>
  <c r="D60" i="97"/>
  <c r="M85" i="41"/>
  <c r="W9" i="52"/>
  <c r="G24" i="144" s="1"/>
  <c r="D43" i="97"/>
  <c r="H41" i="97"/>
  <c r="C12" i="41"/>
  <c r="H6" i="146"/>
  <c r="H5" i="146" s="1"/>
  <c r="C9" i="41" s="1"/>
  <c r="L9" i="41" s="1"/>
  <c r="G63" i="147"/>
  <c r="H73" i="146"/>
  <c r="E53" i="146"/>
  <c r="H53" i="146" s="1"/>
  <c r="I63" i="147"/>
  <c r="I91" i="147"/>
  <c r="J91" i="147" s="1"/>
  <c r="C10" i="45" s="1"/>
  <c r="I82" i="147"/>
  <c r="I40" i="147"/>
  <c r="I28" i="147"/>
  <c r="L43" i="41" l="1"/>
  <c r="C11" i="144"/>
  <c r="B10" i="143"/>
  <c r="B23" i="144"/>
  <c r="B31" i="143"/>
  <c r="O44" i="140"/>
  <c r="I18" i="144"/>
  <c r="G16" i="97"/>
  <c r="G17" i="143" s="1"/>
  <c r="O12" i="45"/>
  <c r="AI12" i="52"/>
  <c r="F16" i="97"/>
  <c r="K9" i="45"/>
  <c r="M9" i="45" s="1"/>
  <c r="J30" i="41"/>
  <c r="E24" i="144"/>
  <c r="N27" i="140"/>
  <c r="N32" i="140" s="1"/>
  <c r="D32" i="144"/>
  <c r="D33" i="144" s="1"/>
  <c r="K28" i="144"/>
  <c r="C28" i="42"/>
  <c r="G33" i="143"/>
  <c r="I25" i="144"/>
  <c r="G12" i="52"/>
  <c r="G9" i="143"/>
  <c r="M12" i="52"/>
  <c r="G11" i="143"/>
  <c r="H9" i="143"/>
  <c r="D12" i="52"/>
  <c r="G8" i="143"/>
  <c r="I15" i="144"/>
  <c r="G14" i="143"/>
  <c r="H14" i="143" s="1"/>
  <c r="G14" i="97"/>
  <c r="H14" i="97" s="1"/>
  <c r="G15" i="143"/>
  <c r="H15" i="143" s="1"/>
  <c r="I16" i="144"/>
  <c r="K16" i="144" s="1"/>
  <c r="H93" i="144"/>
  <c r="H24" i="144"/>
  <c r="H31" i="144" s="1"/>
  <c r="H33" i="144" s="1"/>
  <c r="O14" i="45"/>
  <c r="O16" i="45" s="1"/>
  <c r="P51" i="44"/>
  <c r="D32" i="42"/>
  <c r="L34" i="41"/>
  <c r="C26" i="40"/>
  <c r="D26" i="40" s="1"/>
  <c r="C22" i="42"/>
  <c r="B55" i="140"/>
  <c r="C6" i="140" s="1"/>
  <c r="C55" i="140" s="1"/>
  <c r="D6" i="140" s="1"/>
  <c r="D55" i="140" s="1"/>
  <c r="E6" i="140" s="1"/>
  <c r="E55" i="140" s="1"/>
  <c r="F6" i="140" s="1"/>
  <c r="F55" i="140" s="1"/>
  <c r="G6" i="140" s="1"/>
  <c r="G55" i="140" s="1"/>
  <c r="H6" i="140" s="1"/>
  <c r="H55" i="140" s="1"/>
  <c r="I6" i="140" s="1"/>
  <c r="I55" i="140" s="1"/>
  <c r="J6" i="140" s="1"/>
  <c r="J55" i="140" s="1"/>
  <c r="K6" i="140" s="1"/>
  <c r="K55" i="140" s="1"/>
  <c r="L6" i="140" s="1"/>
  <c r="L55" i="140" s="1"/>
  <c r="M6" i="140" s="1"/>
  <c r="G33" i="97"/>
  <c r="G56" i="143"/>
  <c r="J50" i="144"/>
  <c r="H35" i="97"/>
  <c r="I51" i="144"/>
  <c r="I65" i="144" s="1"/>
  <c r="H37" i="97"/>
  <c r="AC12" i="52"/>
  <c r="AC13" i="52" s="1"/>
  <c r="I11" i="52"/>
  <c r="J10" i="144"/>
  <c r="E13" i="52"/>
  <c r="F8" i="97" s="1"/>
  <c r="AQ10" i="52"/>
  <c r="D119" i="40"/>
  <c r="C10" i="97"/>
  <c r="D10" i="97" s="1"/>
  <c r="K27" i="41"/>
  <c r="K22" i="41" s="1"/>
  <c r="M12" i="44"/>
  <c r="L12" i="45"/>
  <c r="L14" i="45" s="1"/>
  <c r="I7" i="41"/>
  <c r="I74" i="41" s="1"/>
  <c r="O9" i="140"/>
  <c r="D10" i="144"/>
  <c r="O26" i="140"/>
  <c r="Q15" i="45"/>
  <c r="I93" i="41"/>
  <c r="L93" i="41" s="1"/>
  <c r="L22" i="41"/>
  <c r="M27" i="41"/>
  <c r="D12" i="41"/>
  <c r="L12" i="41"/>
  <c r="M12" i="41" s="1"/>
  <c r="D10" i="41"/>
  <c r="L10" i="41"/>
  <c r="M10" i="41" s="1"/>
  <c r="D20" i="40"/>
  <c r="D13" i="41"/>
  <c r="L13" i="41"/>
  <c r="M13" i="41" s="1"/>
  <c r="M9" i="41"/>
  <c r="M13" i="45"/>
  <c r="M94" i="41"/>
  <c r="L76" i="41"/>
  <c r="C15" i="42" s="1"/>
  <c r="I75" i="41"/>
  <c r="M66" i="41"/>
  <c r="U11" i="52"/>
  <c r="H46" i="146"/>
  <c r="H42" i="146" s="1"/>
  <c r="E75" i="41"/>
  <c r="G75" i="41" s="1"/>
  <c r="E43" i="107"/>
  <c r="J12" i="144"/>
  <c r="I91" i="41"/>
  <c r="L91" i="41" s="1"/>
  <c r="H42" i="143"/>
  <c r="E91" i="41"/>
  <c r="G91" i="41" s="1"/>
  <c r="O51" i="44"/>
  <c r="E20" i="144"/>
  <c r="K51" i="44"/>
  <c r="M50" i="44"/>
  <c r="D11" i="42"/>
  <c r="H19" i="144"/>
  <c r="H21" i="144" s="1"/>
  <c r="M34" i="41"/>
  <c r="F30" i="41"/>
  <c r="J51" i="144"/>
  <c r="J65" i="144" s="1"/>
  <c r="O31" i="140"/>
  <c r="H93" i="41"/>
  <c r="J9" i="144"/>
  <c r="G79" i="41"/>
  <c r="D34" i="41"/>
  <c r="D116" i="142"/>
  <c r="E51" i="144"/>
  <c r="E65" i="144" s="1"/>
  <c r="J78" i="147"/>
  <c r="M15" i="44"/>
  <c r="AN7" i="52"/>
  <c r="AO7" i="52"/>
  <c r="AR7" i="52" s="1"/>
  <c r="D187" i="50"/>
  <c r="AF12" i="52"/>
  <c r="AF13" i="52" s="1"/>
  <c r="B20" i="143"/>
  <c r="D21" i="143"/>
  <c r="H51" i="44"/>
  <c r="M57" i="44"/>
  <c r="M21" i="44"/>
  <c r="I51" i="44"/>
  <c r="C57" i="97"/>
  <c r="C55" i="97" s="1"/>
  <c r="O14" i="140"/>
  <c r="G13" i="97"/>
  <c r="C110" i="40"/>
  <c r="B23" i="42"/>
  <c r="B181" i="50"/>
  <c r="AB12" i="52" s="1"/>
  <c r="AB13" i="52" s="1"/>
  <c r="H35" i="143"/>
  <c r="D125" i="50"/>
  <c r="B13" i="52"/>
  <c r="H8" i="143"/>
  <c r="D11" i="52"/>
  <c r="K20" i="41"/>
  <c r="M20" i="41" s="1"/>
  <c r="J20" i="41"/>
  <c r="J82" i="147"/>
  <c r="C13" i="45" s="1"/>
  <c r="F13" i="45" s="1"/>
  <c r="Q45" i="44"/>
  <c r="C31" i="97"/>
  <c r="C10" i="42"/>
  <c r="G44" i="44"/>
  <c r="J88" i="147"/>
  <c r="C9" i="45" s="1"/>
  <c r="F9" i="45" s="1"/>
  <c r="I9" i="45" s="1"/>
  <c r="V9" i="45" s="1"/>
  <c r="X9" i="45" s="1"/>
  <c r="AC9" i="45" s="1"/>
  <c r="O15" i="140"/>
  <c r="G43" i="41"/>
  <c r="C53" i="143"/>
  <c r="C47" i="143"/>
  <c r="R15" i="45"/>
  <c r="R16" i="45" s="1"/>
  <c r="B91" i="41"/>
  <c r="D91" i="41" s="1"/>
  <c r="B75" i="41"/>
  <c r="D75" i="41" s="1"/>
  <c r="K17" i="144"/>
  <c r="J17" i="144"/>
  <c r="L44" i="44"/>
  <c r="M44" i="44" s="1"/>
  <c r="H12" i="52"/>
  <c r="D60" i="40"/>
  <c r="Q51" i="44"/>
  <c r="C9" i="97"/>
  <c r="C9" i="42"/>
  <c r="C32" i="97"/>
  <c r="D32" i="97" s="1"/>
  <c r="C12" i="42"/>
  <c r="D12" i="42" s="1"/>
  <c r="J72" i="147"/>
  <c r="K10" i="45"/>
  <c r="E51" i="44"/>
  <c r="H32" i="143"/>
  <c r="F40" i="143"/>
  <c r="J40" i="147"/>
  <c r="M11" i="45"/>
  <c r="J44" i="44"/>
  <c r="D10" i="42"/>
  <c r="H13" i="45"/>
  <c r="U13" i="45" s="1"/>
  <c r="K79" i="41"/>
  <c r="B16" i="42" s="1"/>
  <c r="K29" i="144"/>
  <c r="J29" i="144"/>
  <c r="X6" i="52"/>
  <c r="AM6" i="52"/>
  <c r="AO6" i="52" s="1"/>
  <c r="AR6" i="52" s="1"/>
  <c r="F34" i="97"/>
  <c r="K93" i="41"/>
  <c r="M93" i="41" s="1"/>
  <c r="D9" i="45"/>
  <c r="C11" i="41"/>
  <c r="L11" i="41" s="1"/>
  <c r="H87" i="146"/>
  <c r="D10" i="45"/>
  <c r="E46" i="146"/>
  <c r="E42" i="146" s="1"/>
  <c r="G119" i="147"/>
  <c r="D9" i="41"/>
  <c r="W11" i="52"/>
  <c r="C27" i="42" s="1"/>
  <c r="X9" i="52"/>
  <c r="M80" i="41"/>
  <c r="L79" i="41"/>
  <c r="S16" i="45"/>
  <c r="J76" i="41"/>
  <c r="H75" i="41"/>
  <c r="J75" i="41" s="1"/>
  <c r="B59" i="97"/>
  <c r="D21" i="97"/>
  <c r="AM10" i="52"/>
  <c r="AO10" i="52" s="1"/>
  <c r="AR10" i="52" s="1"/>
  <c r="X10" i="52"/>
  <c r="K78" i="41"/>
  <c r="B32" i="144"/>
  <c r="E32" i="144" s="1"/>
  <c r="J78" i="41"/>
  <c r="F10" i="45"/>
  <c r="M58" i="41"/>
  <c r="D30" i="41"/>
  <c r="L30" i="41"/>
  <c r="V11" i="52"/>
  <c r="B27" i="42" s="1"/>
  <c r="H9" i="45"/>
  <c r="B110" i="40"/>
  <c r="F13" i="97"/>
  <c r="D115" i="40"/>
  <c r="D35" i="42"/>
  <c r="B37" i="42"/>
  <c r="D37" i="42" s="1"/>
  <c r="B7" i="42"/>
  <c r="B30" i="97"/>
  <c r="M22" i="41"/>
  <c r="L11" i="52"/>
  <c r="F11" i="143" s="1"/>
  <c r="M10" i="52"/>
  <c r="K11" i="52"/>
  <c r="J22" i="41"/>
  <c r="AH11" i="52"/>
  <c r="AG13" i="52"/>
  <c r="AH13" i="52" s="1"/>
  <c r="J11" i="144"/>
  <c r="K11" i="144"/>
  <c r="D120" i="142"/>
  <c r="C13" i="52"/>
  <c r="I119" i="147"/>
  <c r="D18" i="45" s="1"/>
  <c r="J28" i="147"/>
  <c r="B11" i="45"/>
  <c r="J63" i="147"/>
  <c r="C11" i="45" s="1"/>
  <c r="G45" i="44"/>
  <c r="F51" i="44"/>
  <c r="D45" i="44"/>
  <c r="C51" i="44"/>
  <c r="D51" i="44" s="1"/>
  <c r="L45" i="44"/>
  <c r="P14" i="45"/>
  <c r="Q12" i="45"/>
  <c r="B20" i="97"/>
  <c r="M77" i="41"/>
  <c r="J45" i="41"/>
  <c r="K45" i="41"/>
  <c r="M45" i="41" s="1"/>
  <c r="H38" i="97"/>
  <c r="H39" i="143"/>
  <c r="D30" i="42"/>
  <c r="K76" i="41"/>
  <c r="F30" i="97"/>
  <c r="V12" i="52"/>
  <c r="F19" i="97"/>
  <c r="H20" i="97"/>
  <c r="J11" i="52"/>
  <c r="D107" i="50"/>
  <c r="C108" i="50"/>
  <c r="E74" i="41"/>
  <c r="C73" i="144"/>
  <c r="F13" i="52"/>
  <c r="G11" i="52"/>
  <c r="AK11" i="52"/>
  <c r="AJ13" i="52"/>
  <c r="K30" i="41"/>
  <c r="E10" i="144"/>
  <c r="F74" i="41"/>
  <c r="H33" i="143"/>
  <c r="H91" i="41"/>
  <c r="AL11" i="52"/>
  <c r="G30" i="41" l="1"/>
  <c r="B9" i="143"/>
  <c r="I23" i="144"/>
  <c r="I31" i="144" s="1"/>
  <c r="I33" i="144" s="1"/>
  <c r="G31" i="143"/>
  <c r="H31" i="143" s="1"/>
  <c r="H40" i="143" s="1"/>
  <c r="H58" i="143"/>
  <c r="H56" i="143" s="1"/>
  <c r="G11" i="97"/>
  <c r="J16" i="144"/>
  <c r="D22" i="42"/>
  <c r="AQ11" i="52"/>
  <c r="I13" i="52"/>
  <c r="G9" i="97" s="1"/>
  <c r="F10" i="143"/>
  <c r="F18" i="143" s="1"/>
  <c r="J93" i="41"/>
  <c r="AD13" i="52"/>
  <c r="J51" i="44"/>
  <c r="J7" i="41"/>
  <c r="L51" i="44"/>
  <c r="M51" i="44" s="1"/>
  <c r="L8" i="41"/>
  <c r="L7" i="41" s="1"/>
  <c r="C7" i="42"/>
  <c r="D7" i="42" s="1"/>
  <c r="C30" i="97"/>
  <c r="G13" i="45"/>
  <c r="C9" i="144"/>
  <c r="C19" i="144" s="1"/>
  <c r="C21" i="144" s="1"/>
  <c r="C34" i="144" s="1"/>
  <c r="I92" i="41"/>
  <c r="E92" i="41"/>
  <c r="T16" i="45"/>
  <c r="AH12" i="52"/>
  <c r="AO9" i="52"/>
  <c r="AO11" i="52" s="1"/>
  <c r="D181" i="50"/>
  <c r="D20" i="143"/>
  <c r="D57" i="143" s="1"/>
  <c r="B57" i="143"/>
  <c r="H34" i="144"/>
  <c r="H94" i="144"/>
  <c r="B182" i="50"/>
  <c r="B26" i="42" s="1"/>
  <c r="G51" i="44"/>
  <c r="AD12" i="52"/>
  <c r="T15" i="45"/>
  <c r="O28" i="140"/>
  <c r="C16" i="42"/>
  <c r="AN6" i="52"/>
  <c r="AM9" i="52"/>
  <c r="U10" i="45"/>
  <c r="M10" i="45"/>
  <c r="J12" i="52"/>
  <c r="D13" i="52"/>
  <c r="G7" i="97"/>
  <c r="F53" i="143"/>
  <c r="F47" i="143"/>
  <c r="O46" i="140"/>
  <c r="G30" i="97"/>
  <c r="G31" i="97"/>
  <c r="O48" i="140"/>
  <c r="H34" i="97"/>
  <c r="F33" i="97"/>
  <c r="H33" i="97" s="1"/>
  <c r="K12" i="45"/>
  <c r="O42" i="140"/>
  <c r="T12" i="52"/>
  <c r="T13" i="52" s="1"/>
  <c r="C121" i="40"/>
  <c r="C21" i="42" s="1"/>
  <c r="F7" i="97"/>
  <c r="J27" i="144"/>
  <c r="K27" i="144"/>
  <c r="G13" i="52"/>
  <c r="G8" i="97"/>
  <c r="H8" i="97" s="1"/>
  <c r="H13" i="52"/>
  <c r="F9" i="97" s="1"/>
  <c r="D13" i="45"/>
  <c r="M30" i="41"/>
  <c r="C8" i="97"/>
  <c r="C8" i="42"/>
  <c r="C39" i="97"/>
  <c r="D31" i="97"/>
  <c r="G9" i="45"/>
  <c r="J119" i="147"/>
  <c r="C18" i="45" s="1"/>
  <c r="K91" i="41"/>
  <c r="M91" i="41" s="1"/>
  <c r="J91" i="41"/>
  <c r="M44" i="140"/>
  <c r="J43" i="41"/>
  <c r="H74" i="41"/>
  <c r="D10" i="143"/>
  <c r="E11" i="144"/>
  <c r="K43" i="41"/>
  <c r="B19" i="97"/>
  <c r="D20" i="97"/>
  <c r="Q14" i="45"/>
  <c r="P16" i="45"/>
  <c r="Q16" i="45" s="1"/>
  <c r="F11" i="45"/>
  <c r="D11" i="45"/>
  <c r="D190" i="50"/>
  <c r="B192" i="50"/>
  <c r="E23" i="144"/>
  <c r="E31" i="144" s="1"/>
  <c r="E33" i="144" s="1"/>
  <c r="B31" i="144"/>
  <c r="B33" i="144" s="1"/>
  <c r="M11" i="52"/>
  <c r="L13" i="52"/>
  <c r="G10" i="97" s="1"/>
  <c r="B39" i="97"/>
  <c r="D30" i="97"/>
  <c r="J15" i="144"/>
  <c r="K15" i="144"/>
  <c r="D110" i="40"/>
  <c r="B121" i="40"/>
  <c r="S12" i="52"/>
  <c r="U9" i="45"/>
  <c r="J9" i="45"/>
  <c r="G31" i="144"/>
  <c r="G33" i="144" s="1"/>
  <c r="J24" i="144"/>
  <c r="L74" i="41"/>
  <c r="G10" i="45"/>
  <c r="B42" i="97"/>
  <c r="M78" i="41"/>
  <c r="AN10" i="52"/>
  <c r="B58" i="97"/>
  <c r="D58" i="97" s="1"/>
  <c r="D59" i="97"/>
  <c r="M79" i="41"/>
  <c r="L75" i="41"/>
  <c r="C12" i="45"/>
  <c r="B9" i="144" s="1"/>
  <c r="K25" i="144"/>
  <c r="J25" i="144"/>
  <c r="F92" i="41"/>
  <c r="G92" i="41" s="1"/>
  <c r="G74" i="41"/>
  <c r="B8" i="42"/>
  <c r="B8" i="97"/>
  <c r="D8" i="97" s="1"/>
  <c r="D9" i="143"/>
  <c r="C82" i="144"/>
  <c r="E73" i="144"/>
  <c r="E82" i="144" s="1"/>
  <c r="E84" i="144" s="1"/>
  <c r="D108" i="50"/>
  <c r="W12" i="52"/>
  <c r="W13" i="52" s="1"/>
  <c r="C182" i="50"/>
  <c r="C26" i="42" s="1"/>
  <c r="C25" i="42" s="1"/>
  <c r="F56" i="97"/>
  <c r="H19" i="97"/>
  <c r="G40" i="143"/>
  <c r="K75" i="41"/>
  <c r="B15" i="42"/>
  <c r="M76" i="41"/>
  <c r="K30" i="144"/>
  <c r="J30" i="144"/>
  <c r="M45" i="44"/>
  <c r="E11" i="45"/>
  <c r="E12" i="45" s="1"/>
  <c r="E14" i="45" s="1"/>
  <c r="B12" i="45"/>
  <c r="B40" i="143"/>
  <c r="D31" i="143"/>
  <c r="D40" i="143" s="1"/>
  <c r="H13" i="97"/>
  <c r="F11" i="97"/>
  <c r="H11" i="97" s="1"/>
  <c r="F31" i="97"/>
  <c r="V13" i="52"/>
  <c r="D43" i="143"/>
  <c r="D42" i="143" s="1"/>
  <c r="D58" i="143" s="1"/>
  <c r="B42" i="143"/>
  <c r="B58" i="143" s="1"/>
  <c r="X11" i="52"/>
  <c r="D27" i="42" s="1"/>
  <c r="C8" i="41"/>
  <c r="B11" i="41"/>
  <c r="E87" i="146"/>
  <c r="I10" i="45"/>
  <c r="K13" i="52"/>
  <c r="F10" i="97" s="1"/>
  <c r="H10" i="97" s="1"/>
  <c r="H11" i="143"/>
  <c r="C84" i="144" l="1"/>
  <c r="AA13" i="45" s="1"/>
  <c r="J23" i="144"/>
  <c r="J31" i="144" s="1"/>
  <c r="J33" i="144" s="1"/>
  <c r="K23" i="144"/>
  <c r="H10" i="143"/>
  <c r="AN9" i="52"/>
  <c r="C23" i="42"/>
  <c r="D56" i="143"/>
  <c r="C6" i="42"/>
  <c r="C13" i="42" s="1"/>
  <c r="C7" i="97"/>
  <c r="C17" i="97" s="1"/>
  <c r="H31" i="97"/>
  <c r="I13" i="45"/>
  <c r="AR9" i="52"/>
  <c r="J13" i="52"/>
  <c r="B56" i="143"/>
  <c r="D182" i="50"/>
  <c r="X13" i="52"/>
  <c r="G39" i="97"/>
  <c r="G52" i="97" s="1"/>
  <c r="AM11" i="52"/>
  <c r="AN11" i="52" s="1"/>
  <c r="C52" i="97"/>
  <c r="C46" i="97"/>
  <c r="K14" i="45"/>
  <c r="M14" i="45" s="1"/>
  <c r="M12" i="45"/>
  <c r="G17" i="97"/>
  <c r="D16" i="42"/>
  <c r="C17" i="42"/>
  <c r="H11" i="45"/>
  <c r="U11" i="45" s="1"/>
  <c r="D8" i="42"/>
  <c r="H30" i="97"/>
  <c r="H7" i="97"/>
  <c r="J121" i="147"/>
  <c r="G11" i="45"/>
  <c r="D47" i="143"/>
  <c r="H41" i="143"/>
  <c r="D53" i="143"/>
  <c r="B14" i="45"/>
  <c r="H9" i="97"/>
  <c r="F17" i="97"/>
  <c r="V10" i="45"/>
  <c r="X10" i="45" s="1"/>
  <c r="J10" i="45"/>
  <c r="K11" i="41"/>
  <c r="B8" i="41"/>
  <c r="B7" i="41" s="1"/>
  <c r="B53" i="143"/>
  <c r="F41" i="143"/>
  <c r="B47" i="143"/>
  <c r="E15" i="45"/>
  <c r="E16" i="45" s="1"/>
  <c r="B17" i="42"/>
  <c r="D15" i="42"/>
  <c r="G47" i="143"/>
  <c r="G41" i="143"/>
  <c r="G53" i="143"/>
  <c r="D26" i="42"/>
  <c r="C94" i="144"/>
  <c r="C95" i="144" s="1"/>
  <c r="D11" i="41"/>
  <c r="M75" i="41"/>
  <c r="B41" i="97"/>
  <c r="B46" i="97" s="1"/>
  <c r="D42" i="97"/>
  <c r="F12" i="45"/>
  <c r="W9" i="45"/>
  <c r="B21" i="42"/>
  <c r="D121" i="40"/>
  <c r="B52" i="97"/>
  <c r="D39" i="97"/>
  <c r="AR11" i="52"/>
  <c r="I11" i="45"/>
  <c r="I12" i="45" s="1"/>
  <c r="B9" i="42"/>
  <c r="D9" i="42" s="1"/>
  <c r="B9" i="97"/>
  <c r="D9" i="97" s="1"/>
  <c r="M43" i="41"/>
  <c r="H16" i="97"/>
  <c r="AI13" i="52"/>
  <c r="AK13" i="52" s="1"/>
  <c r="AK12" i="52"/>
  <c r="C7" i="41"/>
  <c r="O8" i="140" s="1"/>
  <c r="D8" i="41"/>
  <c r="H47" i="143"/>
  <c r="H53" i="143"/>
  <c r="F55" i="97"/>
  <c r="H55" i="97" s="1"/>
  <c r="H56" i="97"/>
  <c r="X12" i="52"/>
  <c r="AM12" i="52"/>
  <c r="C14" i="45"/>
  <c r="D12" i="45"/>
  <c r="G34" i="144"/>
  <c r="G94" i="144"/>
  <c r="S13" i="52"/>
  <c r="U13" i="52" s="1"/>
  <c r="U12" i="52"/>
  <c r="M13" i="52"/>
  <c r="F32" i="97"/>
  <c r="H32" i="97" s="1"/>
  <c r="Y12" i="52"/>
  <c r="O50" i="140"/>
  <c r="D192" i="50"/>
  <c r="D28" i="42" s="1"/>
  <c r="B56" i="97"/>
  <c r="D19" i="97"/>
  <c r="J74" i="41"/>
  <c r="H92" i="41"/>
  <c r="J92" i="41" s="1"/>
  <c r="J18" i="144"/>
  <c r="J19" i="144" s="1"/>
  <c r="J21" i="144" s="1"/>
  <c r="K18" i="144"/>
  <c r="I19" i="144"/>
  <c r="M45" i="140"/>
  <c r="M51" i="140" s="1"/>
  <c r="N44" i="140"/>
  <c r="N45" i="140" s="1"/>
  <c r="N51" i="140" s="1"/>
  <c r="N55" i="140" s="1"/>
  <c r="K31" i="144"/>
  <c r="AA14" i="45" l="1"/>
  <c r="AB13" i="45"/>
  <c r="AB14" i="45" s="1"/>
  <c r="C8" i="143"/>
  <c r="C18" i="143" s="1"/>
  <c r="B8" i="143"/>
  <c r="O43" i="140"/>
  <c r="O45" i="140" s="1"/>
  <c r="O53" i="140" s="1"/>
  <c r="C20" i="42"/>
  <c r="C33" i="42" s="1"/>
  <c r="C38" i="42" s="1"/>
  <c r="D23" i="42"/>
  <c r="D52" i="97"/>
  <c r="AC10" i="45"/>
  <c r="C51" i="97"/>
  <c r="C53" i="97" s="1"/>
  <c r="C25" i="97"/>
  <c r="C18" i="97"/>
  <c r="C18" i="42"/>
  <c r="V13" i="45"/>
  <c r="X13" i="45" s="1"/>
  <c r="AC13" i="45" s="1"/>
  <c r="J13" i="45"/>
  <c r="G46" i="97"/>
  <c r="G40" i="97"/>
  <c r="U12" i="45"/>
  <c r="U14" i="45" s="1"/>
  <c r="D46" i="97"/>
  <c r="D17" i="42"/>
  <c r="H12" i="45"/>
  <c r="H14" i="45" s="1"/>
  <c r="H16" i="45" s="1"/>
  <c r="G25" i="97"/>
  <c r="G51" i="97"/>
  <c r="G53" i="97" s="1"/>
  <c r="G61" i="97" s="1"/>
  <c r="I14" i="45"/>
  <c r="M53" i="140"/>
  <c r="N53" i="140" s="1"/>
  <c r="M55" i="140"/>
  <c r="AA12" i="52"/>
  <c r="Y13" i="52"/>
  <c r="AA13" i="52" s="1"/>
  <c r="AL12" i="52"/>
  <c r="AL13" i="52" s="1"/>
  <c r="D7" i="41"/>
  <c r="C74" i="41"/>
  <c r="F39" i="97"/>
  <c r="D21" i="42"/>
  <c r="B20" i="42"/>
  <c r="F14" i="45"/>
  <c r="G12" i="45"/>
  <c r="B57" i="97"/>
  <c r="D57" i="97" s="1"/>
  <c r="D41" i="97"/>
  <c r="AM13" i="52"/>
  <c r="B25" i="42"/>
  <c r="O20" i="140"/>
  <c r="O27" i="140" s="1"/>
  <c r="O32" i="140" s="1"/>
  <c r="B74" i="41"/>
  <c r="W10" i="45"/>
  <c r="H17" i="97"/>
  <c r="F51" i="97"/>
  <c r="F25" i="97"/>
  <c r="B19" i="144"/>
  <c r="B21" i="144" s="1"/>
  <c r="B34" i="144" s="1"/>
  <c r="K19" i="144"/>
  <c r="I21" i="144"/>
  <c r="D56" i="97"/>
  <c r="D14" i="45"/>
  <c r="J34" i="144"/>
  <c r="K94" i="144"/>
  <c r="H17" i="143"/>
  <c r="H18" i="143" s="1"/>
  <c r="H26" i="143" s="1"/>
  <c r="G18" i="143"/>
  <c r="I18" i="143" s="1"/>
  <c r="V11" i="45"/>
  <c r="X11" i="45" s="1"/>
  <c r="J11" i="45"/>
  <c r="F52" i="143"/>
  <c r="F54" i="143" s="1"/>
  <c r="F62" i="143" s="1"/>
  <c r="F26" i="143"/>
  <c r="M11" i="41"/>
  <c r="K8" i="41"/>
  <c r="B15" i="45"/>
  <c r="C15" i="45"/>
  <c r="D9" i="144" s="1"/>
  <c r="D20" i="42" l="1"/>
  <c r="D19" i="144"/>
  <c r="D21" i="144" s="1"/>
  <c r="D34" i="144" s="1"/>
  <c r="W13" i="45"/>
  <c r="W11" i="45"/>
  <c r="X12" i="45"/>
  <c r="J12" i="45"/>
  <c r="C61" i="97"/>
  <c r="G62" i="97" s="1"/>
  <c r="G54" i="97"/>
  <c r="B55" i="97"/>
  <c r="D55" i="97" s="1"/>
  <c r="H25" i="97"/>
  <c r="AN13" i="52"/>
  <c r="B16" i="45"/>
  <c r="D15" i="45"/>
  <c r="E9" i="144"/>
  <c r="E19" i="144" s="1"/>
  <c r="E21" i="144" s="1"/>
  <c r="E34" i="144" s="1"/>
  <c r="V12" i="45"/>
  <c r="V14" i="45" s="1"/>
  <c r="B18" i="143"/>
  <c r="D8" i="143"/>
  <c r="D18" i="143" s="1"/>
  <c r="K7" i="41"/>
  <c r="M8" i="41"/>
  <c r="G52" i="143"/>
  <c r="G54" i="143" s="1"/>
  <c r="G62" i="143" s="1"/>
  <c r="I62" i="143" s="1"/>
  <c r="G26" i="143"/>
  <c r="H51" i="97"/>
  <c r="B92" i="41"/>
  <c r="N74" i="41"/>
  <c r="F15" i="45"/>
  <c r="G15" i="45" s="1"/>
  <c r="G14" i="45"/>
  <c r="H39" i="97"/>
  <c r="F52" i="97"/>
  <c r="H52" i="97" s="1"/>
  <c r="F46" i="97"/>
  <c r="H46" i="97" s="1"/>
  <c r="F40" i="97"/>
  <c r="H40" i="97" s="1"/>
  <c r="I16" i="45"/>
  <c r="J16" i="45" s="1"/>
  <c r="J14" i="45"/>
  <c r="H52" i="143"/>
  <c r="H54" i="143" s="1"/>
  <c r="H62" i="143" s="1"/>
  <c r="C16" i="45"/>
  <c r="I94" i="144"/>
  <c r="J94" i="144" s="1"/>
  <c r="I34" i="144"/>
  <c r="B94" i="144"/>
  <c r="B95" i="144" s="1"/>
  <c r="C96" i="144" s="1"/>
  <c r="C52" i="143"/>
  <c r="C54" i="143" s="1"/>
  <c r="C26" i="143"/>
  <c r="C19" i="143"/>
  <c r="D25" i="42"/>
  <c r="B33" i="42"/>
  <c r="C92" i="41"/>
  <c r="D74" i="41"/>
  <c r="AN12" i="52"/>
  <c r="D94" i="144" l="1"/>
  <c r="AC15" i="45"/>
  <c r="E94" i="144"/>
  <c r="E95" i="144" s="1"/>
  <c r="AC11" i="45"/>
  <c r="W12" i="45"/>
  <c r="D16" i="45"/>
  <c r="AR12" i="52"/>
  <c r="AR13" i="52"/>
  <c r="B38" i="42"/>
  <c r="D38" i="42" s="1"/>
  <c r="D33" i="42"/>
  <c r="G55" i="143"/>
  <c r="C62" i="143"/>
  <c r="C63" i="143" s="1"/>
  <c r="D95" i="144"/>
  <c r="F16" i="45"/>
  <c r="G16" i="45" s="1"/>
  <c r="D52" i="143"/>
  <c r="D54" i="143" s="1"/>
  <c r="D19" i="143"/>
  <c r="D26" i="143"/>
  <c r="L15" i="45"/>
  <c r="L92" i="41"/>
  <c r="D92" i="41"/>
  <c r="E96" i="144"/>
  <c r="K15" i="45"/>
  <c r="K92" i="41"/>
  <c r="W14" i="45"/>
  <c r="F53" i="97"/>
  <c r="B6" i="42"/>
  <c r="B7" i="97"/>
  <c r="M7" i="41"/>
  <c r="K74" i="41"/>
  <c r="B26" i="143"/>
  <c r="B52" i="143"/>
  <c r="B54" i="143" s="1"/>
  <c r="B19" i="143"/>
  <c r="X14" i="45" l="1"/>
  <c r="AC12" i="45"/>
  <c r="B13" i="42"/>
  <c r="D6" i="42"/>
  <c r="V15" i="45"/>
  <c r="M15" i="45"/>
  <c r="L16" i="45"/>
  <c r="B62" i="143"/>
  <c r="F55" i="143"/>
  <c r="M74" i="41"/>
  <c r="N92" i="41"/>
  <c r="B17" i="97"/>
  <c r="D7" i="97"/>
  <c r="H53" i="97"/>
  <c r="F61" i="97"/>
  <c r="U15" i="45"/>
  <c r="U16" i="45" s="1"/>
  <c r="W17" i="45" s="1"/>
  <c r="K16" i="45"/>
  <c r="M92" i="41"/>
  <c r="D62" i="143"/>
  <c r="D63" i="143" s="1"/>
  <c r="H55" i="143"/>
  <c r="AC16" i="45" l="1"/>
  <c r="AC14" i="45"/>
  <c r="H61" i="97"/>
  <c r="M16" i="45"/>
  <c r="B51" i="97"/>
  <c r="B25" i="97"/>
  <c r="D17" i="97"/>
  <c r="B18" i="97"/>
  <c r="D18" i="97" s="1"/>
  <c r="B63" i="143"/>
  <c r="D64" i="143"/>
  <c r="W15" i="45"/>
  <c r="V16" i="45"/>
  <c r="W16" i="45" s="1"/>
  <c r="B18" i="42"/>
  <c r="D18" i="42" s="1"/>
  <c r="F38" i="42" s="1"/>
  <c r="D13" i="42"/>
  <c r="D51" i="97" l="1"/>
  <c r="B53" i="97"/>
  <c r="D25" i="97"/>
  <c r="B61" i="97" l="1"/>
  <c r="F62" i="97" s="1"/>
  <c r="F54" i="97"/>
  <c r="H54" i="97" s="1"/>
  <c r="D53" i="97"/>
  <c r="D61" i="97" l="1"/>
</calcChain>
</file>

<file path=xl/sharedStrings.xml><?xml version="1.0" encoding="utf-8"?>
<sst xmlns="http://schemas.openxmlformats.org/spreadsheetml/2006/main" count="2488" uniqueCount="1256">
  <si>
    <t>Aszófői útnál belterületbe vont ingatlanok közművesítése</t>
  </si>
  <si>
    <t>Államháztartáson belüli megelőlegezés visszafizetés</t>
  </si>
  <si>
    <t xml:space="preserve"> - Veszprém Kereszténységért Közhasznú Alapítvány Horváth Balázs broznz dombormű</t>
  </si>
  <si>
    <t>Arculati Kézikönyv</t>
  </si>
  <si>
    <t>4912 hrsz-ú ingatlanból vásárlás</t>
  </si>
  <si>
    <t>Tündérkert Óvoda mosogatógép</t>
  </si>
  <si>
    <t>4. Értékpapírok vásárlása</t>
  </si>
  <si>
    <t>5. Egyéb működési célú kiadások áh-n belülre</t>
  </si>
  <si>
    <r>
      <t xml:space="preserve">    </t>
    </r>
    <r>
      <rPr>
        <sz val="10"/>
        <rFont val="Arial"/>
        <family val="2"/>
        <charset val="238"/>
      </rPr>
      <t>1.1. Előző év költségvetési maradványának  igénybevétele működési célra</t>
    </r>
  </si>
  <si>
    <t xml:space="preserve">  Közfoglalkoztatás +diákmunka</t>
  </si>
  <si>
    <t xml:space="preserve">Papsoka felhagyott temetők felújítása II. ütem </t>
  </si>
  <si>
    <t>Kemping fejlesztési pályázat előkészítés</t>
  </si>
  <si>
    <t xml:space="preserve"> - Balatonfüred, Csárda u. 11. Társasház (330/2017.(X.26.)</t>
  </si>
  <si>
    <t>EFOP-1.5.2-16-2017-00016</t>
  </si>
  <si>
    <t xml:space="preserve">EU Projekt megnevezése: </t>
  </si>
  <si>
    <t>Humán közszolgáltatások fejlesztése az Észak-Balatoni térségben</t>
  </si>
  <si>
    <t>Bevételek</t>
  </si>
  <si>
    <t>2018 év</t>
  </si>
  <si>
    <t>2019 év</t>
  </si>
  <si>
    <t>2020 év</t>
  </si>
  <si>
    <t>Következő évek</t>
  </si>
  <si>
    <t>EU forrás</t>
  </si>
  <si>
    <t>Egyéb forrás</t>
  </si>
  <si>
    <t>Saját forrás</t>
  </si>
  <si>
    <t>Kiadások</t>
  </si>
  <si>
    <t>személyi juttatások (bérköltség)</t>
  </si>
  <si>
    <t>személyi juttatások járulékai</t>
  </si>
  <si>
    <t>egyéb személyi kiadások</t>
  </si>
  <si>
    <t>dologi kiadások</t>
  </si>
  <si>
    <t>felújítások</t>
  </si>
  <si>
    <t>beruházások</t>
  </si>
  <si>
    <t>átadott pénzeszközök</t>
  </si>
  <si>
    <t>TOP-3.2.2-15-VE1-2016-00002</t>
  </si>
  <si>
    <t>Biomassza alapú ORC erőmű Balatonfüred</t>
  </si>
  <si>
    <t>személyi juttatások</t>
  </si>
  <si>
    <t>EFOP-4.1.8-16-2017-00140</t>
  </si>
  <si>
    <t>A könyvtárral a tudásért - megújult épületben, korszerű technikával Balatonfüreden</t>
  </si>
  <si>
    <t>TOP-2.1.3-16-VE1-2017-00008</t>
  </si>
  <si>
    <t>Balatonfüred csapadékcsatorna hálózatának fejlesztése</t>
  </si>
  <si>
    <t>GINOP-7.1.9-17-2017-0001</t>
  </si>
  <si>
    <t>Gyógyhelyfejlesztés Balatonfüred Városában</t>
  </si>
  <si>
    <t>GINOP-7.1.6.16-2017-00004</t>
  </si>
  <si>
    <t>Balaton-felvidéki Kultúrtáj Világörökség várományos helyszín turisztikai célú fejlesztése</t>
  </si>
  <si>
    <t>TOP-3.2.1-16-VE2-2017-00001</t>
  </si>
  <si>
    <t>Fenntartható Energia és Klíma Akcióterv (SECAP) kidolgozása Veszprém megyében</t>
  </si>
  <si>
    <t>HU07-0037-A1-2013</t>
  </si>
  <si>
    <t>"A Zsidóság és a csúcstechnika Einsteintől napjainkig" (addicionális pályázattal együtt)</t>
  </si>
  <si>
    <t>2017. év</t>
  </si>
  <si>
    <t>2018. év</t>
  </si>
  <si>
    <t xml:space="preserve">2017 évben pénzügyileg teljesült </t>
  </si>
  <si>
    <t xml:space="preserve"> -Balatonfüred Hárs köz 1. (331/2017.(X.26.)</t>
  </si>
  <si>
    <t xml:space="preserve"> -Balatonfüred Móra F. u. 5. (332/2017.(X.26.)</t>
  </si>
  <si>
    <t xml:space="preserve"> Füred Stúdió Kft. Fejlesztési célú visszatérítendő támogatás (357/2017.(X.26.)</t>
  </si>
  <si>
    <t xml:space="preserve"> -Elmar Karl Schmitz Bajcsy-Zs. U. 7. helyi védett épüle felújítása tám. 359/2017.(X.26.)</t>
  </si>
  <si>
    <t xml:space="preserve"> -Fülöpné Kántás Tímea Major u. 1. helyi védett épüle felújítása tám. 360/2017.(X.26.)</t>
  </si>
  <si>
    <t xml:space="preserve"> -Gács Béla Bfüred Kossuth u. 2/A. helyi védett épüle felújítása tám. 361/2017.(X.26.)</t>
  </si>
  <si>
    <t xml:space="preserve"> - Balaton Vívóklub fejlesztési támogatás Eötvös tornaterem felújításra (340/2017.(X.24.)</t>
  </si>
  <si>
    <t xml:space="preserve"> - Dunántúli Református Egyházközség a Balatonfüredi Református Általános Iskola energiahatékonysági felújításához fejlesztési támogatás</t>
  </si>
  <si>
    <t>Panelprogram támogatás</t>
  </si>
  <si>
    <t>Útfelújítások 2017. I. ütem (Bfüred Kemping belső útfelújítás, Noszlopy és Völgy utcai parkoló közötti út, Horgász köz, Arokszőlő u., Száka dülő, Papsoka u. és járda, Péterhegyi út, Galamb u.)</t>
  </si>
  <si>
    <t>AZ ÖNKORMÁNYZAT 2018. ÉVI KÖLTSÉGVETÉSÉNEK FŐÖSSZESÍTŐJE</t>
  </si>
  <si>
    <t>2. 2017. évről áthúzódó bérkompenzáció támogatása</t>
  </si>
  <si>
    <t>Pedagógus II. kat. sorolt óvodapedag. kieg. támog.-minősítés 2016. dec.31-ig szerezték meg</t>
  </si>
  <si>
    <t xml:space="preserve">    finansz.szempontjából elismert szakmai dolgozók bértámogatása: felsőfokú végzettségű kisgyermeknevelők,szaktanácsadók</t>
  </si>
  <si>
    <t xml:space="preserve">    finansz.szempontjából elismert szakmai dolgozók bértámogatása: bölcsödei dajkák, középfokú végzettségű kisgyermeknevelők, szaktanácsadók</t>
  </si>
  <si>
    <t>2016. évi lakosssági víz- és csatornatámogatás</t>
  </si>
  <si>
    <t>II.4.a</t>
  </si>
  <si>
    <t>III.7. a (1)</t>
  </si>
  <si>
    <t>Finansz.szempontjából elismert szakmai dolgozók bértámogatása: felsőfokú végzettségű kisgyermeknevelők,szaktanácsadók</t>
  </si>
  <si>
    <t>III.7. a (2)</t>
  </si>
  <si>
    <t>Finansz.szempontjából elismert szakmai dolgozók bértámogatása: bölcsödei dajkák, középfokú végzettségű kisgyermeknevelők, szaktanácsadók</t>
  </si>
  <si>
    <t>I.1.a.</t>
  </si>
  <si>
    <t>2015. évről áthúzódó bérkompenzáció támogatása</t>
  </si>
  <si>
    <t>.../2015. Korm. határozat alapján támogatás (járdafelújítás, kollégium)</t>
  </si>
  <si>
    <t>BEVÉTELEK ELŐIRÁNYZATA INTÉZMÉNYEK SZERINTI BONTÁSBAN 2018. ÉV</t>
  </si>
  <si>
    <t>BEVÉTELEK ELŐIRÁNYZATA 2018. ÉV</t>
  </si>
  <si>
    <t>INTÉZMÉNYI SAJÁTHATÁSKÖRŰ FEJLESZTÉSEK 2018. ÉV</t>
  </si>
  <si>
    <t>MŰKÖDÉSI KIADÁSOK ÖNKORMÁNYZAT, HIVATAL BONTÁSBAN 2018. ÉV</t>
  </si>
  <si>
    <t>TÁMOGATÁSOK 2018. ÉV</t>
  </si>
  <si>
    <t>FELHALMOZÁSI KIADÁSOK 2018. ÉV</t>
  </si>
  <si>
    <t>Önkormányzati Tűzoltóság tagdíj</t>
  </si>
  <si>
    <t>Arácsi Református Egyházközség (óvoda)</t>
  </si>
  <si>
    <t>V. összesen:</t>
  </si>
  <si>
    <t>Intézményi felújítások 2017. évi kötváll.</t>
  </si>
  <si>
    <t>KÖFOP-1.2.1. ASP központhoz való csatlakozás</t>
  </si>
  <si>
    <t>TOP-1.2.1.-15 Széchenyi strand fejlesztése</t>
  </si>
  <si>
    <t>TOP-1.1.1.-15 Térségi kihatással bíró ipartelepítés infrastrukturálás feltételeinek megteremtése</t>
  </si>
  <si>
    <t>TOP-4.1.1.-15 Egészségügyi alapellátás fejlesztése Balatonfüreden</t>
  </si>
  <si>
    <t>Annagóra Park Bevásárlóközpont Társasház 41,11 % tulajdoni hányad megvásárlása</t>
  </si>
  <si>
    <t>településtervezési ktg</t>
  </si>
  <si>
    <t>1543/2 hrsz-ú ingatlan megvásárlása 2018. évi (Kossuth u. 24.)</t>
  </si>
  <si>
    <t>Füred Kemping műszaki felújítási munkák megtérítése 2018.</t>
  </si>
  <si>
    <t xml:space="preserve">       BAHART tőkejuttatás</t>
  </si>
  <si>
    <t>Balatonfüredi Turisztikai Egyesület  (BTE)</t>
  </si>
  <si>
    <t>Infromatikai fejlesztés Hivatalban (támogatás terhére)</t>
  </si>
  <si>
    <t>EDR hálózati ellátottság egyszeri díja (támogatás terhére)</t>
  </si>
  <si>
    <t>Ingatlanok vásárlása közpark részére (071/76,069/27-069/30,071/68,071/70,071/101,071/102</t>
  </si>
  <si>
    <t xml:space="preserve">2627/2 és 2625/4 hrsz-ú ingatlanokból terület vásárlás (P.Horváth Á. u.) </t>
  </si>
  <si>
    <t xml:space="preserve"> - Észak-Balatoni Regionális Konferencia Központ Kft.</t>
  </si>
  <si>
    <t xml:space="preserve"> - Balatonfüredi Református Egyházközség (gyülekezeti rész konyha, mosdó teljes felújítás, burkolat, víz, gáz, elektromos vezeték)</t>
  </si>
  <si>
    <t xml:space="preserve">Társasházak vissza nem térítendő támogatás </t>
  </si>
  <si>
    <t xml:space="preserve"> - Balatonfüred Tamási Áron u. 27.</t>
  </si>
  <si>
    <t xml:space="preserve"> - Balatonfüred Arad u. 16.</t>
  </si>
  <si>
    <t xml:space="preserve"> - Balatonfüred Arad u. 22.</t>
  </si>
  <si>
    <t xml:space="preserve"> - Balatonfüred Kéki u. 1.</t>
  </si>
  <si>
    <t xml:space="preserve"> - Balatonfüred Csárda u. 11.</t>
  </si>
  <si>
    <t xml:space="preserve"> - Balatonfüred Hársköz1.</t>
  </si>
  <si>
    <t>Szünidei szociális gyermekétkeztetés</t>
  </si>
  <si>
    <t>Vetítővászon, projektor (zsinagóga)</t>
  </si>
  <si>
    <t>Pénztárgép (zsinagóga)</t>
  </si>
  <si>
    <t>Bútor (zsinagóga)</t>
  </si>
  <si>
    <t>Belépőkártyák (zsinagóga)</t>
  </si>
  <si>
    <t>Fülhallgatók (zsinagóga)</t>
  </si>
  <si>
    <t>10 db audio készülék (zsinagóga)</t>
  </si>
  <si>
    <t>2 db telefonkészülék (zsinagóga)</t>
  </si>
  <si>
    <t>Mobiltelefon vezető részére (zsinagóga)</t>
  </si>
  <si>
    <t>Egyéb kisértékű eszközök (könyvtár)</t>
  </si>
  <si>
    <t>Dokumentumbeszerzés (könyvtár)</t>
  </si>
  <si>
    <t>Egyéb kisértékű eszközök (zsinagóga)</t>
  </si>
  <si>
    <t>II.4.b</t>
  </si>
  <si>
    <t>II.4.b.</t>
  </si>
  <si>
    <t xml:space="preserve">     Pedagógus II. kategóriába sorolt óvodapedagógusok kieg. támog. (lemodás)</t>
  </si>
  <si>
    <t xml:space="preserve">  ebből: támogatott projektek</t>
  </si>
  <si>
    <t>Gépek és felszerelés a büfétérbe (zsinagóga)</t>
  </si>
  <si>
    <t>Kiadványtároló, megállítótábla (zsinagóga)</t>
  </si>
  <si>
    <t xml:space="preserve"> - Állami Szívkórház fejlesztési támogatás</t>
  </si>
  <si>
    <t>BALATONFÜREDI VÁROSI BÖLCSÖDE</t>
  </si>
  <si>
    <t>BALATONFÜREDI VÁROSI SZAKORVOSI RENDELŐINTÉZET</t>
  </si>
  <si>
    <t>Balatonfüredi Városi Szakorvosi Rendelőintézet</t>
  </si>
  <si>
    <t>Balatonfüredi Városi Bölcsőde</t>
  </si>
  <si>
    <t>Lipták Gábor Városi Könyvtár összesen:</t>
  </si>
  <si>
    <t>Balatonfüredi Közös Önkormányzati Hivatal összesen:</t>
  </si>
  <si>
    <t>Balatonfüredi Szociális Alapszolgáltatási Központ összesen:</t>
  </si>
  <si>
    <t>Kökörcsin Tagóvoda összesen:</t>
  </si>
  <si>
    <t>Balatonfüredi Tündérkert óvoda összesen:</t>
  </si>
  <si>
    <t>Balatonfüredi Óvárosi óvoda összesen:</t>
  </si>
  <si>
    <t>Balatonfüredi Kiserdei óvoda összesen:</t>
  </si>
  <si>
    <t>BALATONFÜREDI VÁROSI BÖLCSŐDE</t>
  </si>
  <si>
    <t>BALATONFÜRED VÁROS ÖNKORMÁNYZAT BEVÉTELI ELŐIRÁNYZATAI KÖLTSÉGVETÉSI SZERVEK SZERINTI BONTÁSBAN</t>
  </si>
  <si>
    <t>AZ ÖNKORMÁNYZAT KIADÁSI ELŐIRÁNYZATAI INTÉZMÉNYEK SZERINTI BONTÁSBAN KIEMELT ELŐIRÁNYZATONKÉNT 2018. ÉV</t>
  </si>
  <si>
    <t>BALATONFÜRED VÁROS ÖNKORMÁNYZAT BEVÉTELI ELŐIRÁNYZATAI KÖLTSÉGVETÉSI SZERVEK SZERINTI BONTÁSBAN 2018. ÉV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</si>
  <si>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</si>
  <si>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</si>
  <si>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</si>
  <si>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</si>
  <si>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</si>
  <si>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</si>
  <si>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</si>
  <si>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</si>
  <si>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</si>
  <si>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</si>
  <si>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</si>
  <si>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</si>
  <si>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Nyitó pénzkészlet</t>
  </si>
  <si>
    <t>Működési célú támogatások áh-n belülről</t>
  </si>
  <si>
    <t>Közhatalmi bevételek</t>
  </si>
  <si>
    <t>Működési bevételek</t>
  </si>
  <si>
    <t xml:space="preserve">Működési célú átvett pénzeszközök </t>
  </si>
  <si>
    <t>Közös Önkormányzati Hivatal</t>
  </si>
  <si>
    <t>Működési célú átvett pénzeszközök</t>
  </si>
  <si>
    <t>Működési bevételek összesen:</t>
  </si>
  <si>
    <t>Felhalmozási célú támogatások áh-n belülről</t>
  </si>
  <si>
    <t>Felhalmozási  bevételek</t>
  </si>
  <si>
    <t>Felhalmozási célú átvett pénzeszközök</t>
  </si>
  <si>
    <t>Közös Önkormányzati Hivatal felhalm.bev.</t>
  </si>
  <si>
    <t>Intézményi felhalmozási bevételek</t>
  </si>
  <si>
    <t>Felhalmozási bevételek összesen</t>
  </si>
  <si>
    <t>Finanszírozási bevételek (hitel, kötvény, értékpapír, betét, állami támogatás megelőlegezés)</t>
  </si>
  <si>
    <t>Pénzforgalom nélküli bevételek Önkormányzat</t>
  </si>
  <si>
    <t>Pénzforgalom nélküli bevételek Hivatal</t>
  </si>
  <si>
    <t>Pénzforgalom nélküli bevételek Intézmények</t>
  </si>
  <si>
    <t>Közös Önkormányzati Hivatal működési kiadásai személyi juttatás</t>
  </si>
  <si>
    <t>Önkormányzat személyi juttatás</t>
  </si>
  <si>
    <t>Közös Önkormányzati Hivatal működési kiadásai munkaadót terhelő járulék</t>
  </si>
  <si>
    <t>Önkormányzat munkaadót terhelő járulék</t>
  </si>
  <si>
    <t>Közös Önkormányzati Hivatal működési kiadásai dologi kiadás</t>
  </si>
  <si>
    <t>Önkormányzat dologi kiadás</t>
  </si>
  <si>
    <t>Közös Önkormányzati Hivatal működési kiadásai ellátottak juttatásai</t>
  </si>
  <si>
    <t>Önkormányzat ellátottak pénzbeli juttatásai</t>
  </si>
  <si>
    <t>Önkormányzat egyéb működési célú kiadások</t>
  </si>
  <si>
    <t>Intézmények működési kiadásai (személyi, jár, dologi)</t>
  </si>
  <si>
    <t>Tartalék</t>
  </si>
  <si>
    <t>Működési kiadások összesen:</t>
  </si>
  <si>
    <t>Beruházások</t>
  </si>
  <si>
    <t>Felújítások</t>
  </si>
  <si>
    <t>Saját hatáskörű intézményi fejl.</t>
  </si>
  <si>
    <t>Egyéb felhalmozási célú kiadások</t>
  </si>
  <si>
    <t>Felhalmozási célú kiadások összesen</t>
  </si>
  <si>
    <t>Finanszírozási kiadások (hitel törlesztés, értékpapír visszavásárlás)</t>
  </si>
  <si>
    <t>Korrekció</t>
  </si>
  <si>
    <t>Záró pénzkészlet</t>
  </si>
  <si>
    <t>2018. évi eredeti ei.</t>
  </si>
  <si>
    <t>BEVÉTELEK ÉS KIADÁSOK ELŐIRÁNYZATÁNAK HAVI ÜTEMEZÉSE 2018. ÉV</t>
  </si>
  <si>
    <t xml:space="preserve"> Az Önkormányzat  működési bevételei és kiadásai  2018. év</t>
  </si>
  <si>
    <t>Bevétele és kiadások mérlege 2018. év</t>
  </si>
  <si>
    <t xml:space="preserve"> Az Önkormányzat felhalmozási bevételei és kiadásai  2018. év</t>
  </si>
  <si>
    <t>INTÉZMÉNYI FELÚJÍTÁSOK 2018. ÉV</t>
  </si>
  <si>
    <t>Intézmény / munkanemek</t>
  </si>
  <si>
    <t>1. Kiserdei Óvoda Park u.</t>
  </si>
  <si>
    <t>Udvari betonfelület eltakarása (előző évi kötelezettségvállalás)</t>
  </si>
  <si>
    <t>ÉK-i csoportszoba beázás javítása, tető javítása</t>
  </si>
  <si>
    <t>Konyhában régi tűzhely eltávolítása, burkolás</t>
  </si>
  <si>
    <t xml:space="preserve">2. Arácsi óvoda - Iskolalépcső u. </t>
  </si>
  <si>
    <t>Posta épület helyének tereprendezése, öntözési lehetőséggel 2016. évről</t>
  </si>
  <si>
    <t>Udvari fajátékok felújítása, festése 2016. évről</t>
  </si>
  <si>
    <t xml:space="preserve">3. Hunyadi u. óvoda </t>
  </si>
  <si>
    <t>NÉBIH által jelzett hiányosságok rendezése  (előző évi kötelezettségvállalás)</t>
  </si>
  <si>
    <t>Épület DNY-i sarok helyreállítása</t>
  </si>
  <si>
    <t>Csúszda megerősítése, stabilizálása</t>
  </si>
  <si>
    <t>4. Tündérkert Óvoda</t>
  </si>
  <si>
    <t>vizlágyító berendezés és vízszűrő beépítése  (előző évi kötelezettségvállalás)</t>
  </si>
  <si>
    <t>Villamos elosztó szekrény felújítása  (előző évi kötelezettségvállalás)</t>
  </si>
  <si>
    <t>Keverőszelepek cseréje  (előző évi kötelezettségvállalás)</t>
  </si>
  <si>
    <t>Solar rendszer beüzemelése</t>
  </si>
  <si>
    <t>Hőközponti vez. beüzemelése</t>
  </si>
  <si>
    <t>Világítótestek cseréje</t>
  </si>
  <si>
    <t>Folyosó PVC padló felújítása</t>
  </si>
  <si>
    <t>Balesetveszélyes udvari játékok cseréje</t>
  </si>
  <si>
    <t>Zsámoly (konyhai sütő) betáp kábel átépítése</t>
  </si>
  <si>
    <t>Irodák PVC padló felújítása</t>
  </si>
  <si>
    <t>Füvesítés három szakaszban</t>
  </si>
  <si>
    <t>5. Városi Bölcsőde</t>
  </si>
  <si>
    <t>2 db játszóeszköz szabvány szerinti esési felület kialakítása  (előző évi kötelezettségvállalás)</t>
  </si>
  <si>
    <t>6. Óvárosi Óvoda</t>
  </si>
  <si>
    <t>Bejárati ajtóportál felújítása  (előző évi kötelezettségvállalás)</t>
  </si>
  <si>
    <t>Kossuth utcai külső homlokzat javítás, falfestés</t>
  </si>
  <si>
    <t>Kossuth utcai homlokzat eresz csatorna felújítása</t>
  </si>
  <si>
    <t>Világítás felújítása</t>
  </si>
  <si>
    <t>7. Mogyoró u. Óvoda</t>
  </si>
  <si>
    <t>Arácsi Óvoda költözése miatti munkálatok ( 3 fázisú mosogató, gázboyler beüzemelése, duguláselhárítás)  (előző évi kötelezettségvállalás)</t>
  </si>
  <si>
    <t>világítás felújítása  (előző évi kötelezettségvállalás)</t>
  </si>
  <si>
    <t>földszinti konyha felújítása  (előző évi kötelezettségvállalás)</t>
  </si>
  <si>
    <t xml:space="preserve">8. Eötvös Loránd Általános Iskola </t>
  </si>
  <si>
    <t>tornaterem festés  (előző évi kötelezettségvállalás)</t>
  </si>
  <si>
    <t xml:space="preserve">9. Református Általános Iskola </t>
  </si>
  <si>
    <t xml:space="preserve">10. Radnóti Miklós Általános Iskola </t>
  </si>
  <si>
    <t xml:space="preserve">11. Fekete István Általános Iskola </t>
  </si>
  <si>
    <t>12. Ferencsik János Zeneiskola</t>
  </si>
  <si>
    <t>13. Szent Benedek Gimnázium</t>
  </si>
  <si>
    <t>üvegházak felújítása  (előző évi kötelezettségvállalás)</t>
  </si>
  <si>
    <t xml:space="preserve"> Összesen</t>
  </si>
  <si>
    <t>14. Lóczy Lajos Gimnázium</t>
  </si>
  <si>
    <t>Labdafogó háló felszerelése  (előző évi kötelezettségvállalás)</t>
  </si>
  <si>
    <t>15. Közösségi Ház</t>
  </si>
  <si>
    <t>Hőközpont kering. sziv. csere  (előző évi kötelezettségvállalás)</t>
  </si>
  <si>
    <t>16. BSZAK</t>
  </si>
  <si>
    <t>Kert renedzés, felújítás</t>
  </si>
  <si>
    <t>17. Szakorvosi Rendelőintézet</t>
  </si>
  <si>
    <t>Folyadékhűtő berendezés csere  (előző évi kötelezettségvállalás)</t>
  </si>
  <si>
    <t>Viharkár miatti homlokzat felújítás  (előző évi kötelezettségvállalás)</t>
  </si>
  <si>
    <t>18. Lipták Gábor Városi Könyvtár</t>
  </si>
  <si>
    <t>22. Hivatali épület</t>
  </si>
  <si>
    <t>Velux roló csere, felújítása  (előző évi kötelezettségvállalás)</t>
  </si>
  <si>
    <t>23. Arácsi Népház</t>
  </si>
  <si>
    <t>villanyszerelési munkák  (előző évi kötelezettségvállalás)</t>
  </si>
  <si>
    <t>24. Konferencia Központ</t>
  </si>
  <si>
    <t>25. Tartalék</t>
  </si>
  <si>
    <t xml:space="preserve">26. Lakásfelújítás 2018 évi </t>
  </si>
  <si>
    <t>27.Egyéb épület: Astória homlokzat felújítás  (előző évi kötelezettségvállalás)</t>
  </si>
  <si>
    <t>28.Kossuth u. 24. tetőfelújítás</t>
  </si>
  <si>
    <t>Kötelezettségek</t>
  </si>
  <si>
    <t>2018. évi ei.</t>
  </si>
  <si>
    <t>lakásfelújítás</t>
  </si>
  <si>
    <t>ÖSSZESEN: (a tábla vége)</t>
  </si>
  <si>
    <t>Költségve-tési szervek</t>
  </si>
  <si>
    <t>Önkormányzat összesen</t>
  </si>
  <si>
    <t>3.4. Felhalmozási célú visszatérítendő támogatások, kölcsönök nyújtása áh-n kívülre</t>
  </si>
  <si>
    <t>4. Értékpapírok visszavásárlása</t>
  </si>
  <si>
    <t>Költségvetési hiány:</t>
  </si>
  <si>
    <t>Intézményfinanszírozás</t>
  </si>
  <si>
    <t>AZ ÖNKORMÁNYZAT MŰKÖDÉSI ÉS FELHALMOZÁSI MÉRLEGE KÖLTSÉGVETÉSI SZERVEK ÉS ÖNKORMÁNYZAT BONTÁSBAN 2018. ÉV</t>
  </si>
  <si>
    <t>Önkormányzati Hivatal</t>
  </si>
  <si>
    <t>1. Működési támogatások államháztartáson belülről</t>
  </si>
  <si>
    <t>Költségvetési működési  bevételek kötelező feladatok szerinti bontásban</t>
  </si>
  <si>
    <t>Költségvetési működési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</si>
  <si>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</si>
  <si>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</si>
  <si>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</si>
  <si>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</si>
  <si>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</si>
  <si>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</si>
  <si>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</si>
  <si>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</si>
  <si>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</si>
  <si>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</si>
  <si>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Költségvetési felhalmozási bevételek kötelező feladatok szerinti bontásban</t>
  </si>
  <si>
    <t>Költségvetési felhalmozási kiadások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</si>
  <si>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</si>
  <si>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</si>
  <si>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</si>
  <si>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</si>
  <si>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</si>
  <si>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</si>
  <si>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</si>
  <si>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</si>
  <si>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</si>
  <si>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</si>
  <si>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</si>
  <si>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</si>
  <si>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</si>
  <si>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</si>
  <si>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Önkormányzati támogatás</t>
  </si>
  <si>
    <t>Az önkormányzat működési bevételei és kiadásai, a felhalmozási bevételei és kiadásai kiemelt előirányzatok, 
és kötelező feladatok, önként vállalt feladatok és államigazgatási feladatok bontásban 2018. év</t>
  </si>
  <si>
    <t xml:space="preserve"> Az Önkormányzat  kötelező feladatok bevételei és kiadásai  2018. év</t>
  </si>
  <si>
    <t xml:space="preserve"> Az Önkormányzat önként vállalt feladatok bevételei és kiadásai  2018. év</t>
  </si>
  <si>
    <t xml:space="preserve"> Az Önkormányzat államigazgatási feladatok bevételei és kiadásai  2018. év</t>
  </si>
  <si>
    <t>2018. ÉV</t>
  </si>
  <si>
    <t>Kötelező feladatok</t>
  </si>
  <si>
    <t>Önként vállalt feladatok</t>
  </si>
  <si>
    <t>Útépítések 2018. év</t>
  </si>
  <si>
    <t>közvilágítás bővítés</t>
  </si>
  <si>
    <t xml:space="preserve">Szent Benedek iskola alatti útrendezés ,murvás út kialakítása, kerítés bontás , temető északi kerítés rendbetétel </t>
  </si>
  <si>
    <t>Papsoka környezetrendezés III. ütem</t>
  </si>
  <si>
    <t>Játszótéri eszközök pótlása, korszerűsítése, bővítése</t>
  </si>
  <si>
    <t>Hulladékgyűjtők, kutyapiszok gyűjtők cseréje, szóróanyagtároló beszerzése</t>
  </si>
  <si>
    <t>Információs táblák</t>
  </si>
  <si>
    <t>Autóbusz várók</t>
  </si>
  <si>
    <t>Zöldterület fejlesztés</t>
  </si>
  <si>
    <t>Széchenyi Park emléktáblák felújítás I. ütem</t>
  </si>
  <si>
    <t xml:space="preserve">Morvai utca vízvezeték hálózat építés </t>
  </si>
  <si>
    <t>Hulladékgyűjtő szigetek takarása</t>
  </si>
  <si>
    <t>Térinformatikai rendszer bevezetése</t>
  </si>
  <si>
    <t xml:space="preserve">Csapadékvíz nyelők kiépítése </t>
  </si>
  <si>
    <t>Stabilizált burkolatú gyalogutak felújítása</t>
  </si>
  <si>
    <t>Süllyeszthető pollerek telepítése</t>
  </si>
  <si>
    <t>Forgalomterelő mészkő kockák kihelyezése</t>
  </si>
  <si>
    <t xml:space="preserve">Zákonyi sétány stabilizált gyöngykavics burkolat </t>
  </si>
  <si>
    <t>Zákonyi sétány BYC előtti " fadobogó " felújítása</t>
  </si>
  <si>
    <t>Kovászna Parkban vízkivételi mű létesítése</t>
  </si>
  <si>
    <t xml:space="preserve">Tervezési feladatok:                                                                                                      - útépítési tervek készítése(Déry T.utca, Balaton utca , Mészöly G.utca,Illyés Gy. Utca                                                                                                                            - légvezeték hálózatok kiváltásának tervezése I. ütem (Öreghegyi út, Völgy utca alsó szakasza , Régi temető utca, Déry T. utca)                                                     - környezetrendezési terv  készítése Aranyhíd sétány                                             - gyepmesteri telep áthelyezésének tervezése ( Aszófői úti iparterületen)        </t>
  </si>
  <si>
    <t>településrendezési eszközök</t>
  </si>
  <si>
    <t>telefon központ</t>
  </si>
  <si>
    <t xml:space="preserve">     házi segítségnyújtás - személyi gondozás - társuál által történő feladatellátás</t>
  </si>
  <si>
    <t>III.3. da</t>
  </si>
  <si>
    <t>III.3. db</t>
  </si>
  <si>
    <t>III.3. g(2)</t>
  </si>
  <si>
    <t>III.3. g (4)</t>
  </si>
  <si>
    <t>III.3. g (6)</t>
  </si>
  <si>
    <t>3. Egyéb közhatalmi bevételek  (bírság, pótlék, településrendezési szerz.)</t>
  </si>
  <si>
    <t>Zsinagóga felújítási alap</t>
  </si>
  <si>
    <t xml:space="preserve">      óvodákban évközben jelentkező SNI többletktg.</t>
  </si>
  <si>
    <t>Gyermekétkeztetés iskolákban</t>
  </si>
  <si>
    <t xml:space="preserve"> Advent fényei </t>
  </si>
  <si>
    <t>Szent Benedek Gimnázium</t>
  </si>
  <si>
    <t>Zsinagóga építés</t>
  </si>
  <si>
    <t>072 hrsz-ú ingatlan megvásárlása 2016. évi ütem</t>
  </si>
  <si>
    <t>Probio Zrt közszolgáltatási feladatok</t>
  </si>
  <si>
    <t>Probio Zrt.  Virágos Füred</t>
  </si>
  <si>
    <t xml:space="preserve">Balatonfüredi Utánpótlás Sport Club </t>
  </si>
  <si>
    <t>Arácsi tájház tervezés (Lóczy Lajos u. 101.)</t>
  </si>
  <si>
    <t xml:space="preserve">    Református Általános Iskola tornaterem TAO önrész</t>
  </si>
  <si>
    <t xml:space="preserve">  </t>
  </si>
  <si>
    <t xml:space="preserve">    Forrás Sportpark</t>
  </si>
  <si>
    <t xml:space="preserve">   - Kurutz Károly helyi védettség alatt álló épület felújítása (300/2010.és 39/2013.(II.07.))</t>
  </si>
  <si>
    <t xml:space="preserve"> -Kripta Csaba Bfüred Itató köz 5. helyi védett épüle felújítása tám. 411/2017.(XII.14.)</t>
  </si>
  <si>
    <t>7. Államháztartáson belüli megelőlegezés visszafizetése</t>
  </si>
  <si>
    <t>6. Államháztartáson belüli megelőlegezés visszafizetése</t>
  </si>
  <si>
    <t>2018. évi módosított ei. I.</t>
  </si>
  <si>
    <t>Eltérés</t>
  </si>
  <si>
    <t>Pedagógus II. kat. sorolt óvodapedag. kieg. támog.-minősítés 2018. jan.1-jei átsorolással szerezték meg</t>
  </si>
  <si>
    <t>Ágazati összevont pótlék</t>
  </si>
  <si>
    <t>Kulturális illetménypótlék</t>
  </si>
  <si>
    <t>2018. évi bérkompenzáció</t>
  </si>
  <si>
    <t>2018. évi lakosssági víz- és csatornatámogatás</t>
  </si>
  <si>
    <t>Pedagógus II. kategóriába sorolt óvodapedagógusok kieg. támog.akik a minősítést 2016.dec.31-ig szerezték meg</t>
  </si>
  <si>
    <t>II.4.B</t>
  </si>
  <si>
    <t>IV.3.</t>
  </si>
  <si>
    <t>Maros Megye Cserkészeiért Egyesület (Petőfi szobor állítása)</t>
  </si>
  <si>
    <t>Füred Dixiland Band támogatása</t>
  </si>
  <si>
    <t>Múzsa Egyesület "Balatonfüred Kultúrájáért" kitüntetés</t>
  </si>
  <si>
    <t>4. Működési bevételek áfa visszatérülés (felhalm.)</t>
  </si>
  <si>
    <t xml:space="preserve"> - Balatonfüred Kézilabda Sportjáért Közhasznú Alapítvány </t>
  </si>
  <si>
    <t>ÁLLAMI TÁMOGATÁSOK 2018. ÉV</t>
  </si>
  <si>
    <t>2017 évi kötelezettséggel terhelt</t>
  </si>
  <si>
    <t>2017. évi előirányzat maradvány</t>
  </si>
  <si>
    <t>TOP-1.2.1-15-VE1-2016-00029</t>
  </si>
  <si>
    <t>"Balatonfüred, Széchenyi strand turisztikai infrastruktúrájának fejlesztése"</t>
  </si>
  <si>
    <t>TOP-1.1.1-15-VE1-2016-00010</t>
  </si>
  <si>
    <t>"Térségi kihatással bíró ipartelepíítés infrastruktúrális feltételeinek megteremtése Balatonfüreden"</t>
  </si>
  <si>
    <t>TOP-4.1.1-15-VE1-2016-00019</t>
  </si>
  <si>
    <t>"Az egészségügyi alapellátás fejelesztése Balatonfüreden"</t>
  </si>
  <si>
    <t>KÖFOP-1.2.1-VEKOP-16-2017-01024</t>
  </si>
  <si>
    <t>"Balatonfüred Város Önkormányzata ASP központhoz való csatlakozása"</t>
  </si>
  <si>
    <t>TOP-5.1.2-15-VE1-2016-00001</t>
  </si>
  <si>
    <t>"Balatonfüred és Balatonalmádi közös helyi foglalkoztatási együttműködés"</t>
  </si>
  <si>
    <t>Gépkocsi beszerzés</t>
  </si>
  <si>
    <t>Gépjármű beszerzés</t>
  </si>
  <si>
    <t>Zákonyi u. mélygarázs fenntartási ktg.</t>
  </si>
  <si>
    <t>Balatonfüred Kézilabda Sportjáért Közhasznú Alapítvány</t>
  </si>
  <si>
    <t>Balatonfüred Város Sportjáért Közhasznú Alapítvány</t>
  </si>
  <si>
    <t>EURÓPAI UNIÓS TÁMOGATÁSSAL MEGVALÓSULÓ PROGRAMOK BEVÉTELEI ÉS KIADÁSAI 2018. ÉV</t>
  </si>
  <si>
    <t>EFOP-1.5.2-16-2017-00016 Humán közszolgáltatások fejlesztése az Észak-Balatoni térségben</t>
  </si>
  <si>
    <t>TOP-3.2.2-15-VE1-2016-00002 Biomassza alapú ORC erőmű Balatonfüred</t>
  </si>
  <si>
    <t>EFOP-4.1.8-16-2017-00140 A könyvtárral a tudásért - megújult épületben, korszerű technikával Balatonfüreden</t>
  </si>
  <si>
    <t>TOP-2.1.3-16-VE1-2017-00008 Balatonfüred csapadékcsatorna hálózatának fejlesztése</t>
  </si>
  <si>
    <t>GINOP-7.1.9-17-2017-0001 Gyógyhelyfejlesztés Balatonfüred Városában</t>
  </si>
  <si>
    <t>GINOP-7.1.6.16-2017-00004 Balaton-felvidéki Kultúrtáj Világörökség várományos helyszín turisztikai célú fejlesztése</t>
  </si>
  <si>
    <t xml:space="preserve">     TOP-3.2.2-15-VE1-2016-00002 Biomassza alapú ORC erőmű Balatonfüred</t>
  </si>
  <si>
    <t xml:space="preserve">      EFOP-1.5.2-16-2017-00016 Humán közszolgáltatások fejlesztése az Észak-Balatoni térségben</t>
  </si>
  <si>
    <t xml:space="preserve">     EFOP-4.1.8-16-2017-00140 A könyvtárral a tudásért - megújult épületben, korszerű technikával Balatonfüreden</t>
  </si>
  <si>
    <t xml:space="preserve">     TOP-2.1.3-16-VE1-2017-00008 Balatonfüred csapadékcsatorna hálózatának fejlesztése</t>
  </si>
  <si>
    <t xml:space="preserve">    GINOP-7.1.9-17-2017-0001 Gyógyhelyfejlesztés Balatonfüred Városában</t>
  </si>
  <si>
    <t xml:space="preserve">    GINOP-7.1.6.16-2017-00004 Balaton-felvidéki Kultúrtáj Világörökség várományos helyszín turisztikai célú fejlesztése</t>
  </si>
  <si>
    <t xml:space="preserve">    TOP-3.2.1-16-VE2-2017-00001 Fenntartható Energia és Klíma Akcióterv (SECAP) kidolgozása Veszprém megyében</t>
  </si>
  <si>
    <t>Könyvtár bővítés</t>
  </si>
  <si>
    <t xml:space="preserve">Horgász Klubház </t>
  </si>
  <si>
    <t>116/1 hrsz-ú ingatlanon épülő mélygarázsban 56 db parkoló megvásárlása 2018. évi</t>
  </si>
  <si>
    <t>területszerzés, kisajátítás (városrehab, stb…)</t>
  </si>
  <si>
    <t>Beruházás előkészítő kiadások</t>
  </si>
  <si>
    <t>Bejárható Magyarország kikötő fejlesztés</t>
  </si>
  <si>
    <t>Elkerülő út II. ütem (Lapostelki u. épületbontás)</t>
  </si>
  <si>
    <t>BSZAK gépkocsi beszerzés</t>
  </si>
  <si>
    <t xml:space="preserve"> - Balatonfüredi Utánpótlás Sport Club Radnóti Miklós Általános Iskola műfüves pálya felújítása TAO önrész</t>
  </si>
  <si>
    <t xml:space="preserve"> -Balatonfüred-Dörgicse Evangélikus Egyházközség fejlesztési támogatás</t>
  </si>
  <si>
    <t xml:space="preserve"> - Balatonfüred Város Sportjáért Közhasznú Alapítvány</t>
  </si>
  <si>
    <t xml:space="preserve">     Radnóti M. Általános Iskola környezetrendezés</t>
  </si>
  <si>
    <t xml:space="preserve">     Vizilabda fejlesztés önrész</t>
  </si>
  <si>
    <t xml:space="preserve"> - Anna Grand Hotel fejlesztési támogatás</t>
  </si>
  <si>
    <t xml:space="preserve"> - Magyar Fordítóház Alapítvány fejlesztési támogatás</t>
  </si>
  <si>
    <t>visszaigényelhető ÁFA</t>
  </si>
  <si>
    <t>4. Pénzforgalom nélküli kiadások (tartalék)</t>
  </si>
  <si>
    <t>Költségvetési hiány / többlet:</t>
  </si>
  <si>
    <t>Intézmény</t>
  </si>
  <si>
    <t>Bútor</t>
  </si>
  <si>
    <t>Informatikai eszközök</t>
  </si>
  <si>
    <t>egyéb kisértékű eszközök</t>
  </si>
  <si>
    <t>játékok</t>
  </si>
  <si>
    <t>informatikai eszközök</t>
  </si>
  <si>
    <t>Orvosi műszerek</t>
  </si>
  <si>
    <t>ÖSSZESEN:</t>
  </si>
  <si>
    <t>1818/2016. (XII.22.) Korm.határozat alapján megítélt támogatásból Hivatal B épület felújítás</t>
  </si>
  <si>
    <t>1818/2016. (XII.22.) Korm.határozat alapján megítélt támogatásból Arácsi Óvoda felújítás</t>
  </si>
  <si>
    <t>71-es út forgalmi rend felülvizsgálat</t>
  </si>
  <si>
    <t>Autóbusz várók telepítése 2017.</t>
  </si>
  <si>
    <t>Információs táblarendszer</t>
  </si>
  <si>
    <t>Radnóti csarnok járulékos munkái + kert</t>
  </si>
  <si>
    <t>játszóterek felújítása, bővítése 2017.</t>
  </si>
  <si>
    <t>Közterületi berendezések</t>
  </si>
  <si>
    <t>Közvilágítás ellátatlan területeken</t>
  </si>
  <si>
    <t>Utcai zöldterületek fejlesztése</t>
  </si>
  <si>
    <t>Stabilizált gyöngykavics burkolatok készítése</t>
  </si>
  <si>
    <t xml:space="preserve"> - Arácsi Református Egyház fejlesztési támogatás (temető térkövezés)</t>
  </si>
  <si>
    <t>Gyermeklétszám (8 hó)</t>
  </si>
  <si>
    <t>Gyermeklétszám (4 hó)</t>
  </si>
  <si>
    <t>III. 6.</t>
  </si>
  <si>
    <t>1. Működési célú garancia- és kezességvállalásból származó megtérülések áh-n kívülről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</si>
  <si>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</si>
  <si>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</si>
  <si>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</si>
  <si>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</si>
  <si>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</si>
  <si>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</si>
  <si>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</si>
  <si>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</si>
  <si>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1. Hitel, kölcsön felvétele áh-n kívülről</t>
  </si>
  <si>
    <t>1.1. Hosszú lejáratú hitelek, kölcsönök felvétele</t>
  </si>
  <si>
    <t>1.2. Likviditási célú hitelek, kölcsönök felvétele pénzügyi vállalkozástól</t>
  </si>
  <si>
    <t>1.3. Rövid lejáratú hitelek, kölcsönök felvétele</t>
  </si>
  <si>
    <t>2. Belföldi értékpapírok bevételei</t>
  </si>
  <si>
    <t xml:space="preserve">   2.1. Forgatási célú értékpapírok beváltása, értékesítéseű</t>
  </si>
  <si>
    <t xml:space="preserve">  2.2. Forgatási célú értékpapírok kibocsátása</t>
  </si>
  <si>
    <t xml:space="preserve"> 2.3. Befektetési célú belföldi értékpapírok beváltása, értékesítése</t>
  </si>
  <si>
    <t xml:space="preserve"> 2.4. Befektetési célú belföldi értékpapírok kibocsátása</t>
  </si>
  <si>
    <t>Finanszírozási bevételek összesen:</t>
  </si>
  <si>
    <t>Összes bevétel:</t>
  </si>
  <si>
    <t xml:space="preserve">  ebből közfoglalkoztatott</t>
  </si>
  <si>
    <t>KÖLTSÉGVETÉSI SZERVEK ÖSSZESEN</t>
  </si>
  <si>
    <t>I. Működési célú támogatások államházatartáson belülről</t>
  </si>
  <si>
    <t>II. Közhatalmi bevételek</t>
  </si>
  <si>
    <t>3. Irányító szervi támogatások</t>
  </si>
  <si>
    <t>Létszámadatok intézményenként</t>
  </si>
  <si>
    <t>technikai állomány (fő)</t>
  </si>
  <si>
    <t>szakmai állomány (fő)</t>
  </si>
  <si>
    <t>határozott idejű (fő</t>
  </si>
  <si>
    <t>közfoglalkoztatott (fő)</t>
  </si>
  <si>
    <t>Összesen (fő):</t>
  </si>
  <si>
    <t>Önkormányzat engedélyezett létszám</t>
  </si>
  <si>
    <t>Önkormányzat közfoglalkoztatott (fő)</t>
  </si>
  <si>
    <t>LÉTSZÁM</t>
  </si>
  <si>
    <t>MUTATÓ</t>
  </si>
  <si>
    <t>FAJLAGOS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</si>
  <si>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</si>
  <si>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</si>
  <si>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</si>
  <si>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</si>
  <si>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</si>
  <si>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</si>
  <si>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</si>
  <si>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 xml:space="preserve">Pénzbeli szociális juttatások </t>
  </si>
  <si>
    <t>Egyes szoc.és gyermekjólétii felad.támog.</t>
  </si>
  <si>
    <t xml:space="preserve">     Családi iroda</t>
  </si>
  <si>
    <t xml:space="preserve">     Közösségi Ház</t>
  </si>
  <si>
    <t xml:space="preserve">     Befizetendő áfa</t>
  </si>
  <si>
    <t xml:space="preserve">    Kisértékű tárgyi eszközök</t>
  </si>
  <si>
    <t xml:space="preserve">     szociális étkeztetés</t>
  </si>
  <si>
    <t xml:space="preserve">  Fogyatékos és demens személyek nappali intézményi ellátása</t>
  </si>
  <si>
    <t xml:space="preserve">     fogyatékos személyek nappali intézményi ellátása</t>
  </si>
  <si>
    <t xml:space="preserve">     foglalkoztatási támog-ban részesülő fogyatékos nappali intézményben ellátottak</t>
  </si>
  <si>
    <t xml:space="preserve">  Gyermekek napközbeni ellátása</t>
  </si>
  <si>
    <t>Gyermekétkeztetés támogatása</t>
  </si>
  <si>
    <t xml:space="preserve">   Finanszírozás szempontjábol elismert dolgozók bértámogatása</t>
  </si>
  <si>
    <t xml:space="preserve">  Gyermekétkeztetés üzemeltetési  támogatása</t>
  </si>
  <si>
    <t>Óvodapedagógusok elismert létszáma (8 hó)</t>
  </si>
  <si>
    <t>Óvodapedagógusok munkáját kvetlenül segítők (8 hó)</t>
  </si>
  <si>
    <t>Óvodapedagógusok elismert létszáma (4 hó)</t>
  </si>
  <si>
    <t>Óvodapedagógusok elismert létszáma (4 hó) (pótlólagos összeg)</t>
  </si>
  <si>
    <t>Óvodapedagógusok munkáját kvetlenül segítők (4 hó)</t>
  </si>
  <si>
    <t>Kulturális feladatok támogatása</t>
  </si>
  <si>
    <t>Nyilvános könyvtári és közművelődési feladatok támogatása</t>
  </si>
  <si>
    <t>Üdülőhelyi feladatok támogatása</t>
  </si>
  <si>
    <t>Lakott külterületekkel kapcsolatos feladatok támogatása</t>
  </si>
  <si>
    <t>Összesen</t>
  </si>
  <si>
    <t>Mell.</t>
  </si>
  <si>
    <t>Sorszám</t>
  </si>
  <si>
    <t>Megnevezés</t>
  </si>
  <si>
    <t>II.1.</t>
  </si>
  <si>
    <t>II.2.</t>
  </si>
  <si>
    <t>Óvodaműködtetési támogatás (8 hó)</t>
  </si>
  <si>
    <t>Óvodaműködtetési támogatás (4 hó)</t>
  </si>
  <si>
    <t>III. 5.a</t>
  </si>
  <si>
    <t>Gyermekétkeztetés támogatása (bértámogatás)</t>
  </si>
  <si>
    <t>III. 5.b</t>
  </si>
  <si>
    <t>Gyermekétkeztetés üzemeltetési  támogatása</t>
  </si>
  <si>
    <t>Iskolai étkeztetés támogatása (bértámogatás)</t>
  </si>
  <si>
    <t>III.3.</t>
  </si>
  <si>
    <t>Egyes szociális és gyermekjóléti feladatok támog.</t>
  </si>
  <si>
    <t>III.3. c.</t>
  </si>
  <si>
    <t>III.3. f.</t>
  </si>
  <si>
    <t>III.3. g.</t>
  </si>
  <si>
    <t>Önkormányzati hivatal működtetésének támogatás</t>
  </si>
  <si>
    <t>IV. 1.d.</t>
  </si>
  <si>
    <t>Nyilvános könyvtári feladatok támogatása</t>
  </si>
  <si>
    <t>III.2.</t>
  </si>
  <si>
    <t>I.b.</t>
  </si>
  <si>
    <t>Település üz-hez kapcsolódó feladatellát.támog.</t>
  </si>
  <si>
    <t>I.ba.</t>
  </si>
  <si>
    <t>I.bb.</t>
  </si>
  <si>
    <t>I.bc.</t>
  </si>
  <si>
    <t>I.bd.</t>
  </si>
  <si>
    <t>I.d.</t>
  </si>
  <si>
    <t>Önkormányzat feladatok összesen:</t>
  </si>
  <si>
    <t>Támogatások összesen</t>
  </si>
  <si>
    <t>ÖNKORMÁNYZATI TÁMOGATÁS</t>
  </si>
  <si>
    <t>IRÁNYÍTÓ SZERVTŐL KAPOTT TÁMOGATÁS</t>
  </si>
  <si>
    <t>SAJÁT BEVÉTEL</t>
  </si>
  <si>
    <t>MARADVÁNY IGÉNYBEVÉTEL</t>
  </si>
  <si>
    <t>FINANSZÍROZÁSI CÉLÚ BEVÉTELEK</t>
  </si>
  <si>
    <t>BEVÉTELEK ÖSSZESEN</t>
  </si>
  <si>
    <t>Költségvetési szervek összesen:</t>
  </si>
  <si>
    <t>Intézmények összesen:</t>
  </si>
  <si>
    <t>Mindösszesen:</t>
  </si>
  <si>
    <t>SZEMÉLYI JUTTATÁS</t>
  </si>
  <si>
    <t>MUNKAADÓKAT TERH. JÁRULÉKOK ÉS SZOCIÁLIS HOZZÁJÁRULÁSI ADÓ</t>
  </si>
  <si>
    <t>DOLOGI KIADÁSOK</t>
  </si>
  <si>
    <t xml:space="preserve">ELLÁTOTTAK  PÉNZBELI JUTTATÁSAI </t>
  </si>
  <si>
    <t>EGYÉB MŰKÖDÉSI CÉLÚ KIADÁSOK</t>
  </si>
  <si>
    <t xml:space="preserve"> BERUHÁZÁSOK</t>
  </si>
  <si>
    <t>FELÚJÍTÁSOK</t>
  </si>
  <si>
    <t>EGYÉB FELHALMOZÁSI KIADÁSOK</t>
  </si>
  <si>
    <t>FINANSZÍROZÁSI KIADÁSOK</t>
  </si>
  <si>
    <t>ÖSSZESEN</t>
  </si>
  <si>
    <t>Összesen:</t>
  </si>
  <si>
    <t>1. Személyi juttatás</t>
  </si>
  <si>
    <t>2. Munkaadót terhelő járulékok</t>
  </si>
  <si>
    <t>3. Dologi kiadások</t>
  </si>
  <si>
    <t xml:space="preserve">          Igazgatás dologi Balatonfüred</t>
  </si>
  <si>
    <t xml:space="preserve">          Telephelyek dologi</t>
  </si>
  <si>
    <t>4.1.  Ellátottak pénzbeli juttatásai Balatonfüred</t>
  </si>
  <si>
    <t xml:space="preserve">   Rendszeres gyermekvédelmi támogatás</t>
  </si>
  <si>
    <t>4.2. Ellátottak pénzbeli juttatásai  telephelyek</t>
  </si>
  <si>
    <t>5. Egyéb működési célú kiadások</t>
  </si>
  <si>
    <t>6. Saját hatáskörű fejlesztések</t>
  </si>
  <si>
    <t>1. Személyi juttatások</t>
  </si>
  <si>
    <t xml:space="preserve">  Képviselő-testület személyi juttatásai</t>
  </si>
  <si>
    <t xml:space="preserve">  Városi Kitüntetések</t>
  </si>
  <si>
    <t xml:space="preserve">  Megbízási díjak</t>
  </si>
  <si>
    <t xml:space="preserve">  Ösztöndíjak</t>
  </si>
  <si>
    <t>2. Munkaadót terhelő járulékok és szociális hozzájárulási adó</t>
  </si>
  <si>
    <t>Építés és településfejlesztés</t>
  </si>
  <si>
    <t>Városüzemeltetés</t>
  </si>
  <si>
    <t>Idegenforgalmi feladatok</t>
  </si>
  <si>
    <t>Oktatás, nevelés</t>
  </si>
  <si>
    <t>Közművelődés</t>
  </si>
  <si>
    <t>Sport</t>
  </si>
  <si>
    <t>TV és újság</t>
  </si>
  <si>
    <t>Lakásgazdálkodás</t>
  </si>
  <si>
    <t>Vagyonhasznosítás</t>
  </si>
  <si>
    <t>ÁFA befizetés</t>
  </si>
  <si>
    <t>Munkaegészségügyi ellát</t>
  </si>
  <si>
    <t>Házi segítségnyújtás</t>
  </si>
  <si>
    <t>Fejlesztési célú hitel kamata</t>
  </si>
  <si>
    <t>4. Ellátottak pénzbeli juttatásai</t>
  </si>
  <si>
    <t>Rendkívüli gyermekvédelmi támogatás</t>
  </si>
  <si>
    <t>Átm szociális segély (kölcsön)</t>
  </si>
  <si>
    <t>Temetési segély</t>
  </si>
  <si>
    <t>Köztemetés</t>
  </si>
  <si>
    <t>1. Elvonások, befizetések</t>
  </si>
  <si>
    <t>2. Működési célú garancia- és kezességvállalásból származó kifizetés államháztartáson belülre</t>
  </si>
  <si>
    <t>3. Működési célú visszatérítendő támogatások, kölcsönök nyújtása áh-n belülre</t>
  </si>
  <si>
    <t>4. Működési célú visszatérítendő támogatások, kölcsönök törlesztése áh-n belülre</t>
  </si>
  <si>
    <t>5. Egyéb működési célú támogatások áh-n belülre</t>
  </si>
  <si>
    <t>6. Működési célú garancia- és kezességvállalásból származó kifizetés államháztartáson kívülre</t>
  </si>
  <si>
    <t>8. Egyéb működési célú támogatások áh-n kívülre</t>
  </si>
  <si>
    <t>Önkormányzati működési kiadások  összesen:</t>
  </si>
  <si>
    <t>Országos Mentőszolgálat támogatás</t>
  </si>
  <si>
    <t xml:space="preserve">Veszprém Megyei Rendőr-főkapitányság </t>
  </si>
  <si>
    <t>Balatonfüredi Többcélú Társulás BSZAK</t>
  </si>
  <si>
    <t>Renaissance Festiváls Kft. Balaton-Ifjúság-Művészet Nemzetiközi Fesztivál</t>
  </si>
  <si>
    <t>Közösségi közlekedés támogatása</t>
  </si>
  <si>
    <t>I.5.</t>
  </si>
  <si>
    <t>I.1.</t>
  </si>
  <si>
    <t>Felhalmozási célú önormányzati támogatások</t>
  </si>
  <si>
    <t>Közművelődési támogatás Muzeális intézmények szakmai támogatása</t>
  </si>
  <si>
    <t>Intézményi elkülönített keret</t>
  </si>
  <si>
    <t>TOP-1.2.1-15 Széchenyi strand fejlesztése pályázat előkészítés</t>
  </si>
  <si>
    <t>TOP-1.1.1.-15  Ipari parkok, iparterületek fejlesztése pályázat előkészítés</t>
  </si>
  <si>
    <t>TOP-4.1.1.-15 VE Egészségügyi alapellátás infrastruktúrális fejlesztése pályázat előkészítés</t>
  </si>
  <si>
    <t>TOP-2.1.2-15 Zöld város kialakítása pályázat előkészítés</t>
  </si>
  <si>
    <t>HU07-0037-A1-2013  Zsinagóga pályázat dologi kiadások (nyilvánosság, könyvvizsgálat, projektmenedzsment)</t>
  </si>
  <si>
    <t xml:space="preserve">      Rendkívüli települési támogatás     </t>
  </si>
  <si>
    <t>MVM Sportegyesület Riói olimpia felkészülés</t>
  </si>
  <si>
    <t xml:space="preserve">  - Rendelőintézet műszerbeszerzés támogatása (orvos pályázati alap)</t>
  </si>
  <si>
    <t>Vis maior támogatás</t>
  </si>
  <si>
    <t>Közművelődési érdekeltségnövelő támogatás</t>
  </si>
  <si>
    <t>Közoktatási Intézményfenntartó Társulás Óvodák</t>
  </si>
  <si>
    <t>Önkéntes Tűzoltóság</t>
  </si>
  <si>
    <t>Vagyonvédelmi Alapítvány</t>
  </si>
  <si>
    <t>Váll. Fejl. Közalapítvány</t>
  </si>
  <si>
    <t>Városért Közalapítvány</t>
  </si>
  <si>
    <t>Balatonfüred Város Közalapítvány Tempevölgy</t>
  </si>
  <si>
    <t>Kovászna Testvérvárosi Egyesület</t>
  </si>
  <si>
    <t>Opatija Testvérvárosi Egyesület</t>
  </si>
  <si>
    <t>Kouvala Testvérvárosi Egyesület</t>
  </si>
  <si>
    <t>Germering Testvérvárosi Egyesület</t>
  </si>
  <si>
    <t>QUASIMODO Alapítvány</t>
  </si>
  <si>
    <t>Fordítóház Alapítvány</t>
  </si>
  <si>
    <t>Sportegyesületek</t>
  </si>
  <si>
    <t>SOS Alapítvány Vállalkozásfejlesztő Aliroda</t>
  </si>
  <si>
    <t>Balatonfüred Református Egyházközség</t>
  </si>
  <si>
    <t>Balatonfüred-Arács Református Egyházközség</t>
  </si>
  <si>
    <t>Balatonfüred-Dörgicse Evangélikus Egyházközség</t>
  </si>
  <si>
    <t>Római Katolikus Plébánia</t>
  </si>
  <si>
    <t>Civil pályázati alap</t>
  </si>
  <si>
    <t>Polgármesteri keret</t>
  </si>
  <si>
    <t>Alpolgármesteri keret</t>
  </si>
  <si>
    <t>Képviselői keret</t>
  </si>
  <si>
    <t>Érzékeny Gyermekeinkét Alapít. (liszt és szűróvizsgálat is)</t>
  </si>
  <si>
    <t xml:space="preserve">Idegenforgalmi támogatás </t>
  </si>
  <si>
    <t>Gitár fesztivál-Balatonfüredi Nemzetközi Gitárfesztivál Alapítvány</t>
  </si>
  <si>
    <t>Művészeti együttesek nemzetközi kapcsolattartás</t>
  </si>
  <si>
    <t>Reformkori Hagyományőrzők Egyesülete</t>
  </si>
  <si>
    <t>Művészeti együttesek formaruha pályázat</t>
  </si>
  <si>
    <t>"S.O.S. és Könyvelő" Szociálisan Rászorultakat Segítő Kft</t>
  </si>
  <si>
    <t>Balaton Mozi</t>
  </si>
  <si>
    <t xml:space="preserve">Sportesemények támogatása: Magyar Vitorlás Szövetség Kékszalag Fesztivál </t>
  </si>
  <si>
    <t xml:space="preserve">Sportesemények támogatása: Nemzetközi ultramaraton </t>
  </si>
  <si>
    <t>Balatonfüred Kulturális Nonprofit Kft.</t>
  </si>
  <si>
    <t>Múzsák Egyesülete Sirály táncfesztivál</t>
  </si>
  <si>
    <t>Szociálisan rászorulók részére tűzifa vásárlás</t>
  </si>
  <si>
    <t>TOP-2.1.3.-16  Csapadékcsatorna hálózat fejlesztése pályázat előkészítés</t>
  </si>
  <si>
    <t>Arácsi Népház karbantartás felújítási alap terhére</t>
  </si>
  <si>
    <t>Barácsi Református Egyházközség óvoda hiányfin. 281/2017.(VIII.24.)</t>
  </si>
  <si>
    <t>GINOP 7.1.9-17. pályázathoz engedélyezési és kiviteli tervek</t>
  </si>
  <si>
    <t>Papsoka felhagyott temetők felújítása I. ütem (Református)</t>
  </si>
  <si>
    <t>BALATONFÜREDI KÖZÖS ÖNKORMÁNYZATI HIVATAL</t>
  </si>
  <si>
    <t>Balatonfüredi Közös Önkormányzati Hivatal</t>
  </si>
  <si>
    <t>Lipták Gábor Városi Könyvtár</t>
  </si>
  <si>
    <t>LIPTÁK GÁBOR VÁROSI KÖNYVTÁR</t>
  </si>
  <si>
    <t>I.  Balatonfüredi Közös Önkormányzati Hivatal költségvetése</t>
  </si>
  <si>
    <t xml:space="preserve">Üzletrész vásárlás részletek </t>
  </si>
  <si>
    <t>Balatonfüredi Néptánc Egyesület</t>
  </si>
  <si>
    <t>Rákóczy Szövetség</t>
  </si>
  <si>
    <t>Füred Studió Kft.</t>
  </si>
  <si>
    <t>Balatonfüredi Református Egyház (Református Iskola)</t>
  </si>
  <si>
    <t>Siloam Református Otthon támogatása</t>
  </si>
  <si>
    <t>Konferencia Központ Kft.</t>
  </si>
  <si>
    <t>Balaton Best Nonprofit Kft.</t>
  </si>
  <si>
    <t>I. Kötelezettséggel terhelt fejlesztések</t>
  </si>
  <si>
    <t>Savanyúvizes kutak védterület kijelőlése (340/2007 sz. hat.) hidrogeológiai geodéziai anyag készítése</t>
  </si>
  <si>
    <t xml:space="preserve"> - Orvosok pályázati alap (műszer beszerzés)</t>
  </si>
  <si>
    <t>Forgatási célú értékpapír vásárlás</t>
  </si>
  <si>
    <t xml:space="preserve"> - Lakásépítés, -vásárlás kölcsön (dolgozói + lakáshoz jutás tám.)</t>
  </si>
  <si>
    <t>Tervek, megvalósítási tanulmányok, pályázatok</t>
  </si>
  <si>
    <t>I. összesen:</t>
  </si>
  <si>
    <t>Ebből: bérleti díj</t>
  </si>
  <si>
    <t>3. Betét bevonás</t>
  </si>
  <si>
    <t>Beruházásokhoz kapcsolódó dologi kiadások</t>
  </si>
  <si>
    <t xml:space="preserve">  -Többcélú Társulás (BSZAK fejlesztési tám.)</t>
  </si>
  <si>
    <t xml:space="preserve">  - Közoktatási Társulás (óvodák fejlesztési tám.)</t>
  </si>
  <si>
    <t>Meglévő részesedések növeléséhez kapcsolódó kiadások: törzstőke emelés</t>
  </si>
  <si>
    <t xml:space="preserve">      Konferencia Központ</t>
  </si>
  <si>
    <t xml:space="preserve">       Füredkult Kft.</t>
  </si>
  <si>
    <t>Részesedések beszerzése:</t>
  </si>
  <si>
    <t>II. összesen:</t>
  </si>
  <si>
    <t>I+II. összesen:</t>
  </si>
  <si>
    <t xml:space="preserve">    Informatikai fejlesztések (kisértékű, nagyértékű)</t>
  </si>
  <si>
    <t>Felhalmozási célú visszatérítendő támogatások, kölcsönök nyújtása áh-n kívülre</t>
  </si>
  <si>
    <t>Egyéb felhalmozási célú támogatások áh-n belülre</t>
  </si>
  <si>
    <t>Egyéb felhalmozási célú támogatások áh-n kívülre</t>
  </si>
  <si>
    <t xml:space="preserve">      - Köztársaság u. 3. (panelprogram, 351/2005 sz. hat.)</t>
  </si>
  <si>
    <t xml:space="preserve">      - Köztársaság u. 5. (panelprogram, 352/2005 sz. hat.)</t>
  </si>
  <si>
    <t xml:space="preserve">      - Noszlopy u. 16. (panelprogram, 353/2005 sz. hat.)</t>
  </si>
  <si>
    <t xml:space="preserve">      - Kéki u. 2. (panelprogram, 289/2006 sz. hat.)</t>
  </si>
  <si>
    <t xml:space="preserve">      - Csárda u. 2. (panelprogram, 290/2006 sz. hat.)</t>
  </si>
  <si>
    <t>Ebből: bérleti díjak</t>
  </si>
  <si>
    <t xml:space="preserve">      - Köztársaság u. 13. (panelprogram, 291/2006 sz. hat.)</t>
  </si>
  <si>
    <t xml:space="preserve">      - Kéki u. 5. (panelprogram, 292/2006 sz. hat.)</t>
  </si>
  <si>
    <t xml:space="preserve">      - Köztársaság u. 7. (panelprogram, 293/2006 sz. hat.)</t>
  </si>
  <si>
    <t xml:space="preserve">      - Csárda u. 19. (panelprogram, 294/2006 sz. hat.)</t>
  </si>
  <si>
    <t xml:space="preserve">      - Köztársaság u. 19. (panelprogram 8/2009.)</t>
  </si>
  <si>
    <t xml:space="preserve">      - Köztársaság u. 17. (panelprogram 9/2009.)</t>
  </si>
  <si>
    <t xml:space="preserve">      - Köztársaság u. 15. (panelprogram 10/2009.)</t>
  </si>
  <si>
    <t xml:space="preserve">      - Köztársaság u. 11. (panelprogram 11/2009.)</t>
  </si>
  <si>
    <t xml:space="preserve">      - Köztársaság u. 1. (panelprogram 12/2009.)</t>
  </si>
  <si>
    <t>III. összesen:</t>
  </si>
  <si>
    <t>I+II+III. összesen:</t>
  </si>
  <si>
    <t>IV. Finanszírozási kiadások</t>
  </si>
  <si>
    <t>Hitel törlesztés</t>
  </si>
  <si>
    <t>IV. Finanszírozási kiadások összesen:</t>
  </si>
  <si>
    <t>V. Felújítások</t>
  </si>
  <si>
    <t>Intézményi felújítások</t>
  </si>
  <si>
    <t>Lakásfelújítás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</si>
  <si>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</si>
  <si>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</si>
  <si>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</si>
  <si>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</si>
  <si>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>2. Munkaadót terhelő járulékok és szoc.hj. Adó</t>
  </si>
  <si>
    <t xml:space="preserve">3. Működési bevételek </t>
  </si>
  <si>
    <t>Működési célú támogatások áh-n belülre:</t>
  </si>
  <si>
    <t>Működési célú támogatások áh-n kívülre: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</si>
  <si>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</si>
  <si>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</si>
  <si>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</si>
  <si>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</si>
  <si>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</si>
  <si>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</si>
  <si>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</si>
  <si>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</si>
  <si>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</si>
  <si>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</si>
  <si>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6. Értékpapír kibocsátás, értékesítés</t>
  </si>
  <si>
    <t>7. Hitelfelvétel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</si>
  <si>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</si>
  <si>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</si>
  <si>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</si>
  <si>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</si>
  <si>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</si>
  <si>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</si>
  <si>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</si>
  <si>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</si>
  <si>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</si>
  <si>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</si>
  <si>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</si>
  <si>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</si>
  <si>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</si>
  <si>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</si>
  <si>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</si>
  <si>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</si>
  <si>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</si>
  <si>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>ELŐIRÁNYZAT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</si>
  <si>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</si>
  <si>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</si>
  <si>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</si>
  <si>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</si>
  <si>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</si>
  <si>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</si>
  <si>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</si>
  <si>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</si>
  <si>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</si>
  <si>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</si>
  <si>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</si>
  <si>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</si>
  <si>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</si>
  <si>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</si>
  <si>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</si>
  <si>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</si>
  <si>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</si>
  <si>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</si>
  <si>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</si>
  <si>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</si>
  <si>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</si>
  <si>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</si>
  <si>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</si>
  <si>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</si>
  <si>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MEGNEVEZÉS</t>
  </si>
  <si>
    <t xml:space="preserve">ÁLLAMI TÁMOGATÁS </t>
  </si>
  <si>
    <t xml:space="preserve">      2.3.3. Települési adó</t>
  </si>
  <si>
    <t>I.e.</t>
  </si>
  <si>
    <t>Egyéb önkormányzati feladatok támogatása</t>
  </si>
  <si>
    <t>I.c.</t>
  </si>
  <si>
    <t>Települési önkormányzatok szociális feladatainak egyéb támogatása</t>
  </si>
  <si>
    <t>Pénzbeli szociális ellátások kiegészítése</t>
  </si>
  <si>
    <t>demens személyek nappali int-i ellát - társulás által történő feladatellátás</t>
  </si>
  <si>
    <t>Pedagógus II. kategóriába sorolt óvodapedagógusok kieg. támog.</t>
  </si>
  <si>
    <t>Települési ápolási támogatás</t>
  </si>
  <si>
    <t>Települési gyógyszertámogatás</t>
  </si>
  <si>
    <t>Települési lakhatási támogatás</t>
  </si>
  <si>
    <t>Sportesemények támogatása: Úszó Világkupa</t>
  </si>
  <si>
    <t>1. Költségvetési hiány belső finanszírozására szolgáló finanszírozási  bevételek</t>
  </si>
  <si>
    <t>I. HELYI ÖNKORMÁNYZATOK MŰKÖDÉSÉNEK ÁLT.TÁMOGATÁSA</t>
  </si>
  <si>
    <t>III. SZOCIÁLIS, GYERMEKJÓLÉTI  ÉS GYERMEKÉTKEZTETÉSI FELADATAI</t>
  </si>
  <si>
    <t xml:space="preserve">     fogyatékos személyek nappali intézményi ellátása társulás általi feladatellátás</t>
  </si>
  <si>
    <t>demens személyek nappali intézményi ellátása - társulás által történő feladatellátás</t>
  </si>
  <si>
    <t>6. Pénzforgalom nélküli kiadások (tartalék)</t>
  </si>
  <si>
    <t xml:space="preserve">  Megbízási díjak </t>
  </si>
  <si>
    <t xml:space="preserve">2. Elvonások, befizetések </t>
  </si>
  <si>
    <t>5. Egyéb felhalmozási célú támogatások államháztartáson belülről</t>
  </si>
  <si>
    <t>Intézményi létszámok:</t>
  </si>
  <si>
    <t xml:space="preserve"> - Infrastruktúrális fejlesztések</t>
  </si>
  <si>
    <t>TARTALÉKOK</t>
  </si>
  <si>
    <t>Egyéb sporttámogatás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</si>
  <si>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</si>
  <si>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</si>
  <si>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</si>
  <si>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</si>
  <si>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8. Hitelek törlesztése</t>
  </si>
  <si>
    <t>ÉNYKK (Balaton Volán jogutódja)</t>
  </si>
  <si>
    <t>4. Államháztartáson belüli megelőlegezések</t>
  </si>
  <si>
    <t xml:space="preserve">  Rendezvényekhez kapcsolódó személyi</t>
  </si>
  <si>
    <t xml:space="preserve">  Rendezvényekhez kapcsolódó járulék és kifizetői adó</t>
  </si>
  <si>
    <t>Acro Dance Sporttánc Egyesület</t>
  </si>
  <si>
    <t>Bérkompenzáció</t>
  </si>
  <si>
    <t>Ágazati pótlék, kiegészítő ágazati pótlék</t>
  </si>
  <si>
    <t>Könyvtári érdekeltségnövelő</t>
  </si>
  <si>
    <t>Elszámolásból származó bevételek</t>
  </si>
  <si>
    <t>IV.1.i.</t>
  </si>
  <si>
    <t>Helyi Önkormányzatok kiegészítő támogatásai (működési)</t>
  </si>
  <si>
    <t xml:space="preserve">Almási László Borok háza </t>
  </si>
  <si>
    <t>Morvai J. u. ivóvíz házlózat tervezése</t>
  </si>
  <si>
    <t xml:space="preserve">       BVSZK Balatonfüredi Vizisport és Szabadidő Központ Nonprofit Kft.</t>
  </si>
  <si>
    <t xml:space="preserve"> - tagi hitel Probio Zrt.</t>
  </si>
  <si>
    <t xml:space="preserve"> - Füredkult. Kft. fejlesztési támogatás</t>
  </si>
  <si>
    <t>Forgatási célú értékpapír vásárlása</t>
  </si>
  <si>
    <t>10. Forgatási célú értékpapír vásárlás</t>
  </si>
  <si>
    <t>8. Állami támogatás megelőlegezés visszafizetése</t>
  </si>
  <si>
    <t>9. Betét vásárlás</t>
  </si>
  <si>
    <t>Társulásoknak átadott intézmények kv-i maradványa</t>
  </si>
  <si>
    <t>Aranyhíd Patika Bt. Részesedés</t>
  </si>
  <si>
    <t>Felhalmozási célú visszatérítendő támogatások, kölcsönök nyújtása áh-n belülre</t>
  </si>
  <si>
    <t>3.3. Felhalmozási célú visszatérítendő támogatások, kölcsönök nyújtása áh-n belülre</t>
  </si>
  <si>
    <t>2.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</si>
  <si>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</si>
  <si>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</si>
  <si>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</si>
  <si>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</si>
  <si>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</si>
  <si>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</si>
  <si>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 xml:space="preserve">     család- és gyermekjóléti szolgálat</t>
  </si>
  <si>
    <t xml:space="preserve">     család- és gyermekjóléti központ</t>
  </si>
  <si>
    <t xml:space="preserve">     időskorúak nappali intézényi ellátása - társulás által történő feladatellátás</t>
  </si>
  <si>
    <t xml:space="preserve">  A rászoruló gyermekek intézményen kívüli szünidei étkeztetésének támogatása</t>
  </si>
  <si>
    <t>III.3. a.</t>
  </si>
  <si>
    <t>III.3. b.</t>
  </si>
  <si>
    <t xml:space="preserve">  A rászoruló gyermekek int. kívüli szünidei étk. támogatása</t>
  </si>
  <si>
    <t>I.6.</t>
  </si>
  <si>
    <t>Védett szőlők támogatása</t>
  </si>
  <si>
    <t xml:space="preserve">5477. hrsz-ú ingatlan vásárlás 306/2015. (XII.17.) </t>
  </si>
  <si>
    <t>139 hrsz-ú ingatlan (szálloda) megvásárlása 210/2015. (VIII.26.)</t>
  </si>
  <si>
    <t xml:space="preserve">       Gótika Kft.</t>
  </si>
  <si>
    <t xml:space="preserve">    -Andrew John Prest Koloska u. 8. helyi védettség alatt álló épület felújítása 311/2015.(XII.17.)</t>
  </si>
  <si>
    <t xml:space="preserve">   -Hegyi Rita Dózsa György u. 1/a helyi védettség alatt álló épület felújítása 312/2015.(XII.17.) </t>
  </si>
  <si>
    <t xml:space="preserve"> -Pósvári Gábor Arácsi út 94. helyi védett épület felújítása tám. 314/2015. (XII.17.) </t>
  </si>
  <si>
    <t>4.1. Üzemeltetési díjak</t>
  </si>
  <si>
    <t xml:space="preserve"> 1.5. Működési célú költségvetési támogatások és kiegészítő támogatások</t>
  </si>
  <si>
    <t>1. Készletértékesítés bevétele</t>
  </si>
  <si>
    <t>2. Szolgáltatások ellenértéke</t>
  </si>
  <si>
    <t>10. Biztosító által fizetett kártérítés</t>
  </si>
  <si>
    <t xml:space="preserve">11. Egyéb működési bevételek </t>
  </si>
  <si>
    <t>9. Egyéb pénzügyi műveletek bevételei</t>
  </si>
  <si>
    <t xml:space="preserve"> - tagi hitel Gótika Kft.</t>
  </si>
  <si>
    <t>Útépítések 2016. évi I. ütem</t>
  </si>
  <si>
    <t xml:space="preserve"> -Balatonfüredi Utánpótlás Sport Club infrastruktúrális fejlesztések</t>
  </si>
  <si>
    <t>Horváth Mihály u. közmű kiváltás</t>
  </si>
  <si>
    <t>II. Javasolt fejlesztések</t>
  </si>
  <si>
    <t>III. Egyéb felhalmozási kiadások</t>
  </si>
  <si>
    <t xml:space="preserve">    1.1. Előző év költségvetési maradványának  igénybevétele működési célra</t>
  </si>
  <si>
    <t xml:space="preserve"> 1.6. Elszámolásból származó bevételek</t>
  </si>
  <si>
    <t xml:space="preserve">4. Tulajdonosi bevételek </t>
  </si>
  <si>
    <t>1. Települési önkormányzatok működésének támogatása</t>
  </si>
  <si>
    <t>Könyvtári érdekeltségnövelő támogatás</t>
  </si>
  <si>
    <t>Hivatal működési kiadások összesen:</t>
  </si>
  <si>
    <t>Egyéb ktg. (bankktg, postai befiz. ktg., tagdíjak, késedelmi kamat, stb.)</t>
  </si>
  <si>
    <t>7. Működési célú visszatérítendő támogatások, kölcsönök nyújtása áh-n kívülre</t>
  </si>
  <si>
    <t xml:space="preserve">BURSA Hungarica ösztöndíj </t>
  </si>
  <si>
    <t xml:space="preserve"> - BYC infrastruktúrális fejlesztések</t>
  </si>
  <si>
    <t xml:space="preserve"> - Balatonfüredi Futball Club infrastruktúrális fejlesztések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</si>
  <si>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</si>
  <si>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</si>
  <si>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</si>
  <si>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</si>
  <si>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</si>
  <si>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</si>
  <si>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</si>
  <si>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</si>
  <si>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</si>
  <si>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</si>
  <si>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Finanszírozási  bevételek összesen:</t>
  </si>
  <si>
    <t>Bevételek összesen:</t>
  </si>
  <si>
    <t>Működési kiadások</t>
  </si>
  <si>
    <t>Önkormányzat</t>
  </si>
  <si>
    <t>Önkormányzati  Hivatal</t>
  </si>
  <si>
    <t>Intézmények</t>
  </si>
  <si>
    <t>Felhalmozási kiadások</t>
  </si>
  <si>
    <t>Fejlesztési kiadások</t>
  </si>
  <si>
    <t>Intézm saját hatásk fejl</t>
  </si>
  <si>
    <t>Felújítás</t>
  </si>
  <si>
    <t>Tartalékok</t>
  </si>
  <si>
    <t>Általános</t>
  </si>
  <si>
    <t>Cél</t>
  </si>
  <si>
    <t>Költségvetési kiadások összesen:</t>
  </si>
  <si>
    <t>Hiteltörlesztés</t>
  </si>
  <si>
    <t>Finanszírozási kiadások összesen:</t>
  </si>
  <si>
    <t>Kiadások összesen:</t>
  </si>
  <si>
    <t>Céltartalék:</t>
  </si>
  <si>
    <t>MÁK forgótőke</t>
  </si>
  <si>
    <t xml:space="preserve"> környezetvédelmi alap</t>
  </si>
  <si>
    <t>Polgármester saját hatáskörű keret</t>
  </si>
  <si>
    <t>Népház, posta pénzügyi alap</t>
  </si>
  <si>
    <t xml:space="preserve">Helyi védelem </t>
  </si>
  <si>
    <t xml:space="preserve">Közhasznú foglalkoztatás </t>
  </si>
  <si>
    <t>ÖNKORMÁNYZAT</t>
  </si>
  <si>
    <t xml:space="preserve">KÖLTSÉGVETÉSI SZERVEK </t>
  </si>
  <si>
    <t>ÖNKORMÁNYZAT ÖSSZESEN</t>
  </si>
  <si>
    <t>1. Önkormányzat működési támogatásai</t>
  </si>
  <si>
    <t xml:space="preserve"> 1.1. Helyi önk. működésének ált. támogatása</t>
  </si>
  <si>
    <t xml:space="preserve"> 1.2. Települési önk. egyes köznev. feladatainak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</si>
  <si>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</si>
  <si>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</si>
  <si>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</si>
  <si>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</si>
  <si>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</si>
  <si>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</si>
  <si>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  ebből működési célú támogatás társadalombiztosítási alapból</t>
  </si>
  <si>
    <t xml:space="preserve">  1. Felhalmozási célú önkormányzati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</si>
  <si>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</si>
  <si>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</si>
  <si>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</si>
  <si>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 xml:space="preserve"> 4. Egyéb felhalmozási célú támogatások államháztartáson belülről</t>
  </si>
  <si>
    <t>1. Vagyoni típusú adók</t>
  </si>
  <si>
    <t xml:space="preserve">      1.1. Építményadó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</si>
  <si>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</si>
  <si>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</si>
  <si>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</si>
  <si>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</si>
  <si>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</si>
  <si>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</si>
  <si>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</si>
  <si>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</si>
  <si>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</si>
  <si>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1V. Működési bevételek</t>
  </si>
  <si>
    <t>3. Közvetített szolgáltatások ellenértéke</t>
  </si>
  <si>
    <t>4. Tulajdonosi bevételek</t>
  </si>
  <si>
    <t>4.2. Részesedés után kapott osztalék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</si>
  <si>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</si>
  <si>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</si>
  <si>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</si>
  <si>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</si>
  <si>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</si>
  <si>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</si>
  <si>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</si>
  <si>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</si>
  <si>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 xml:space="preserve">  5. Részesedések megszűnéséhez kapcsolódó bevételek</t>
  </si>
  <si>
    <t>Lóczy L. u. 52. ingatlan felújítás</t>
  </si>
  <si>
    <t>Forgalomtechnikai feladatok tervezése</t>
  </si>
  <si>
    <t>Vizes VB parkolófejlesztés Zákonyi mélygarázs</t>
  </si>
  <si>
    <t>1.7. Vis major</t>
  </si>
  <si>
    <t>Balatoni Kajak- Kenu Evezős és Vitorlás SE</t>
  </si>
  <si>
    <t>Cimbora Alapítvány az Egészséges és Kulturált Gyermekekért</t>
  </si>
  <si>
    <t>Zöldterület-gazdálk-al kapcsolatos feladatok ellátásának támog. (HA)</t>
  </si>
  <si>
    <t xml:space="preserve">     házi segítségnyújtás - szociális segítés</t>
  </si>
  <si>
    <t>microhullámú</t>
  </si>
  <si>
    <t>hűtő</t>
  </si>
  <si>
    <t>fűnyíró</t>
  </si>
  <si>
    <t xml:space="preserve">       TOP-4.1.1-15 Egészségügyi alapellátás fejlesztése </t>
  </si>
  <si>
    <t xml:space="preserve">       TOP-1.1.2-15 Balatonfüred és Balatonalmádi közös helyi foglalkoztatási együttműködés</t>
  </si>
  <si>
    <t xml:space="preserve">        KÖFOP-1.2.1. ASP központhoz való csatlakozás</t>
  </si>
  <si>
    <t xml:space="preserve">       TOP-1.2.1-15 Széchényi Strand turisztikai infrastruktúra fejlesztés </t>
  </si>
  <si>
    <t>ÁLLAMI TÁMOGATÁSOK INTÉZMÉNYENKÉNT 2018. ÉV</t>
  </si>
  <si>
    <t>I. MÓDOSÍTÁS</t>
  </si>
  <si>
    <t>MÓDOSÍTOTT ELŐIRÁNYZAT I.</t>
  </si>
  <si>
    <t>TOP-2.1.2-16-VE1-2017-00009</t>
  </si>
  <si>
    <t>Balatonfüred Ófalu fejlesztése és űj közösségi tér kialakítása</t>
  </si>
  <si>
    <t>Gurulós padló állvány (zsinagóga)</t>
  </si>
  <si>
    <t>Porszívó (zsinagóga)</t>
  </si>
  <si>
    <t>Postaláda (zsinagóga)</t>
  </si>
  <si>
    <t>Hengeres, műanyag kuka (zsinagóga)</t>
  </si>
  <si>
    <t>Államigazgatási feladatok</t>
  </si>
  <si>
    <t>Velux rolók beszerzése tetőablakokra</t>
  </si>
  <si>
    <t>Velux rolók tetőablakokra</t>
  </si>
  <si>
    <t>Viharkár miatti homlokzat felújítás (K., ÉK. oldal)</t>
  </si>
  <si>
    <t>B épület iroda felújítás (padló, villany, klíma)</t>
  </si>
  <si>
    <t xml:space="preserve">Modern idők játszóház </t>
  </si>
  <si>
    <t>TOP-2.1.2-16-VE1-2017-00009 azonosítószámú, Balatonfüred Ófalu fejlesztése dologi kiadás 2018.</t>
  </si>
  <si>
    <t xml:space="preserve"> KEHOP-1.2.1. Helyi klímastratégiák kidolgozása, előzetes tanulmány elkészítése</t>
  </si>
  <si>
    <t>EMMI  elszámolásból adódó visszafizetés</t>
  </si>
  <si>
    <t>Szociális foglalkoztató miatti visszafizetési kötelezettség</t>
  </si>
  <si>
    <t xml:space="preserve"> Balaton Vívóklub</t>
  </si>
  <si>
    <t>Magyar Ökölvívó Szakszövetség Nemzetközi Ifjúsági Ökölvívó Balaton Bajnokság</t>
  </si>
  <si>
    <t>Tájház pályázati önerő Lóczy u. 101.103. (82/2018. (III.29.))</t>
  </si>
  <si>
    <t>Vissza nem térítendő tám. TFC-1.1.2-2018 pályázat érdekében (105/2018.(IV.13.))</t>
  </si>
  <si>
    <t>Bfüred Kemping Vizisí pálya 1/3 rész</t>
  </si>
  <si>
    <t>TOP-2.1.2-16-VE1-2017-00009 azonosítószámú, Balatonfüred Ófalu fejlesztése</t>
  </si>
  <si>
    <t>Balatonfüredi Református Iskola energiahatékonysági felújítás kiegészítő műszaki tartalom kivitelezése</t>
  </si>
  <si>
    <t>Kisfaludy üzletház előtti közterület reklámfelirat terv</t>
  </si>
  <si>
    <t>Kisértékű eszköz beszerzés (városüzemeltetés)</t>
  </si>
  <si>
    <t>Vitorlás téri szökőkút világítás</t>
  </si>
  <si>
    <t xml:space="preserve">Öreghegyi u. érintő útbővítés kisajátítás </t>
  </si>
  <si>
    <t xml:space="preserve"> -Állami Szívkórház</t>
  </si>
  <si>
    <t xml:space="preserve"> - Balatonfüredi Vízisport és Szabadidő Nonprofit Kft. Bejárható Magyarország kikötő fejlesztés</t>
  </si>
  <si>
    <t>I. Balatonfüredi Közös Önkormányzati Hivatal összesen:</t>
  </si>
  <si>
    <t>II.  Balatonfüred Város Önkormányzat költségvetése</t>
  </si>
  <si>
    <t xml:space="preserve"> Működési többlet/ hiány: </t>
  </si>
  <si>
    <t xml:space="preserve">Közös Önkormányzati Hivatal egyéb működési célú kiadásai </t>
  </si>
  <si>
    <t>Saját bevétel és költségvetési maradvány</t>
  </si>
  <si>
    <t>Intézményfinan-szírozás</t>
  </si>
  <si>
    <t>DRV Zrt. 2018. évi víz- és csatornaszolgáltatás támogatása</t>
  </si>
  <si>
    <t>Felhalmozási bevételek kiemelt előirányzatonként államigazgatási feladatok szerinti bontásban</t>
  </si>
  <si>
    <t>Felhalmozási kiadások kiemelt előirányzatonként államigazgatási  feladatok szerinti bontásban</t>
  </si>
  <si>
    <t>TÖBBÉVES KIHATÁSSAL JÁRÓ DÖNTÉSEK SZÁMSZERŰSÍTVE ÉVENKÉNTI BONTÁSBAN ÉS ÖSSZESÍTVE</t>
  </si>
  <si>
    <t xml:space="preserve">Kötelezettség jogcíme </t>
  </si>
  <si>
    <t>Kötelezett-ségvállalás</t>
  </si>
  <si>
    <t>2017.12.31-ig kifizetés</t>
  </si>
  <si>
    <t>2017. évi költségvetést terhelő</t>
  </si>
  <si>
    <t>2018.</t>
  </si>
  <si>
    <t>2019.</t>
  </si>
  <si>
    <t>2020.</t>
  </si>
  <si>
    <t>2021.</t>
  </si>
  <si>
    <t>2021. után</t>
  </si>
  <si>
    <t>Tárgyéven túli köt. Összesen (7+8+9+10)</t>
  </si>
  <si>
    <t>Összesen (4+5+6+11)</t>
  </si>
  <si>
    <t xml:space="preserve">éve </t>
  </si>
  <si>
    <t>(aktuális  kv-i év)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</si>
  <si>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</si>
  <si>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</si>
  <si>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</si>
  <si>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</si>
  <si>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</si>
  <si>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</si>
  <si>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</si>
  <si>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</si>
  <si>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</si>
  <si>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</si>
  <si>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</si>
  <si>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Működési célú hitel-törlesztés</t>
  </si>
  <si>
    <t>(tőke + kamat )</t>
  </si>
  <si>
    <t>Felhalmozási célú hitel-törlesztés</t>
  </si>
  <si>
    <t xml:space="preserve">(tőke + kamat) </t>
  </si>
  <si>
    <t>Füred Kemping vásárlása hitel</t>
  </si>
  <si>
    <t>hitel összesen</t>
  </si>
  <si>
    <t>Füred Kemping vásárlása hitel kamat</t>
  </si>
  <si>
    <t>kamat összesen</t>
  </si>
  <si>
    <t>kezességvállalás: hitelek összesen</t>
  </si>
  <si>
    <t>kezességvállalás: hitelkamatok össz.</t>
  </si>
  <si>
    <t>Fejlesztés feladatonként</t>
  </si>
  <si>
    <t>Panelprogram tám.: Csárda u. 2. (290/2006)</t>
  </si>
  <si>
    <t>2006.</t>
  </si>
  <si>
    <t>Panelprogram tám.: Kéki u. 5. (292/2006)</t>
  </si>
  <si>
    <t>Panelprogram tám.: Köztársaság u. 7. (293/2006)</t>
  </si>
  <si>
    <t>Panelprogram tám.: Csárda u. 19. (294/2006)</t>
  </si>
  <si>
    <t>Népház és posta rekonstrukciója pályázathoz kapcsolódó ingatlan karbantartás és fenntartás költségeire pénzügyi alap (220/2008)</t>
  </si>
  <si>
    <t>2008.</t>
  </si>
  <si>
    <t>Balatoni Hajózási Zrt részvénycsomagjának átvételével kapcsolatos kötváll (tőkeemelés és tőkejuttatás) (285/2008)</t>
  </si>
  <si>
    <t xml:space="preserve">347/2017.(XI.3.) BAHART tőkejuttatás átütemezés </t>
  </si>
  <si>
    <t>2017.</t>
  </si>
  <si>
    <t>Mederhasználati díjra megkötött szerződés (lejár 2067.09.17)</t>
  </si>
  <si>
    <t>Panelprogram Köztársaság u. 19. tám (8/2009)</t>
  </si>
  <si>
    <t>Panelpromram Köztársaság u. 17. tám (9/2009)</t>
  </si>
  <si>
    <t>Panelprogram Köztársaság u.15.tám. (10/2009)</t>
  </si>
  <si>
    <t>2009.</t>
  </si>
  <si>
    <t>Panelprogram Köztársaság u.11.tám. (11/2009)</t>
  </si>
  <si>
    <t>Panelprogram Köztársaság u.1. tám. (12/2009)</t>
  </si>
  <si>
    <t>TDM pályázat működési támogatás (2+5 évre) (194,201/2009)</t>
  </si>
  <si>
    <t>Autóbuszpályaudvar pm költség, közbeszerzés 339/2011 (IX.15)</t>
  </si>
  <si>
    <t>Balaton Mozi támogatása (53/2011)</t>
  </si>
  <si>
    <t>2 TDM projekt 2017-2018 évi támogatása (124/2011)</t>
  </si>
  <si>
    <t xml:space="preserve">Annagóra Park Társasház tulajdonjog szerzés 339/2012. (XII.13.) </t>
  </si>
  <si>
    <t>Balatonfüredi Yacht Club éves működési támogatásának biztosítása 10 éven keresztül 231/2013. (VII.05.)</t>
  </si>
  <si>
    <t>KMF Közép-magyarországi Fejlesztési Zrt. Konferencia Központ üzletrész részletek</t>
  </si>
  <si>
    <t>300/2014.(XII.18.) intézményi felújítások közbeszerzési kiírásához fedezet biztosítása</t>
  </si>
  <si>
    <t>163/2015.(VI.25.) SOS Együtt Egymásért Alapítvánnyal együttműködési megállapodás városüzemeltetés szakfeladat terhére üzemanyagköltségekre</t>
  </si>
  <si>
    <t>210/2015.(VIII.26.) 139 hrsz-ú ingatlan megvásárlása</t>
  </si>
  <si>
    <t>201/2016.(VI.23.) 139 hrsz-ú ingatlan megvásárlása ütemezés módosítása</t>
  </si>
  <si>
    <t>2016.</t>
  </si>
  <si>
    <t>271/2016.(VI.23.) 139 hrsz-ú ingatlan megvásárlása ütemezés módosítása</t>
  </si>
  <si>
    <t>306/2015.(XII.17.) 5477 hrsz-ú ingatlan megvásárlása</t>
  </si>
  <si>
    <t>2015.</t>
  </si>
  <si>
    <t>30/2016.(II.25.) helyi TDM szervezet GINOP pályázathoz önerő</t>
  </si>
  <si>
    <t>30/2016.(II.25.) térségi TDM szervezet GINOP pályázathoz önerő</t>
  </si>
  <si>
    <t>54/2016.(III.17.) Állami Szívkórház ingatlan bérleti szerződés a 403/15 hrsz-ú ingatlanra 25 éves időtartamra 3 MFt/év</t>
  </si>
  <si>
    <t>54/2016.(III.17.) Állami Szívkórház éves támogatás biztosítása 2017-2021. évekre</t>
  </si>
  <si>
    <t>55/2016.(III.17.) Balatonfüredi Horgász Egyesület 403/16 hrsz-ú ingatlan bérleti szerződés 25 éves időtartamra 2 MFt/év</t>
  </si>
  <si>
    <t>55/2016.(III.17.) Balatonfüredi Horgász Egyesület csónak vételár</t>
  </si>
  <si>
    <t>146/2016.(V.06.) 072 hrsz-ú ingatlan megvásárlása</t>
  </si>
  <si>
    <t>86/2017. (III.30.) 072 hrsz-ú ingatlan megvásárlása átütemezés</t>
  </si>
  <si>
    <t>282/2016.(X.222.) 1543/2 hrsz-ú Kossuth u. 24.ingatlan megvásárlása ütemezés módosítása</t>
  </si>
  <si>
    <t>299/2016.(X.27.) Annagóra Park Bevásárlóközpont Társasház 41,11 % tulajdoni hányad megvásárlása ütemezés módosítása</t>
  </si>
  <si>
    <t>145/2017.(IV.27.) Pillér Takarékszövetkezet ingatlan vásárlás átütemezése (Annagóra Park)</t>
  </si>
  <si>
    <t>316/2016.(X.27.) 0118/61 ingatlanra vonatkozó megállapodás megállapodásból eredő fiz. Köt.</t>
  </si>
  <si>
    <t>378/2016. (XII.15.) BFT és NFM Településfejlesztési beruházások támogatására kiírt pályázat önrész</t>
  </si>
  <si>
    <t>6/2017.(I.20.) Parkolóhelyek megvásárlása előszerződés</t>
  </si>
  <si>
    <t>17/2017. (II.10.) ÉNYKK Zrt. 2014. évi veszteség rendezés</t>
  </si>
  <si>
    <t>87/2017.(III.30.) Füred Kemping műszaki felújítási munkák megtérítése (2018. március 31-ig)</t>
  </si>
  <si>
    <t>211/2017. (VI.27.) Balatonfüred, Tamási Áron u. 27. Társasház külső felújítás  vissza nem térítendő támogatás</t>
  </si>
  <si>
    <t xml:space="preserve">212/2017.(VI.27.) GINOP-7.1.2-15. önrész biztosítása </t>
  </si>
  <si>
    <t>247/2017.(VII.27.) Bfüred, Arad u. 16. támogatása</t>
  </si>
  <si>
    <t>247/2017.(VII.27.) Bfüred, Arad u. 22. támogatása</t>
  </si>
  <si>
    <t xml:space="preserve">253/2017.(VII.27.) 282/2017. (VIII.24.) TOP 2.1.2-16 Zold város pályázat önrész </t>
  </si>
  <si>
    <t>283/2017. (VIII.24.) GINOP 7.1.9-17 pályázat Gyógyhelyfejlesztés Balatonfüred Városban önrész</t>
  </si>
  <si>
    <t>299/2017.(IX.29.) Bfüred, Kéki u. 1. Társasház támogatása</t>
  </si>
  <si>
    <t>300/2017.(IX.29.) Dunántúli Református Egyházkerület támogatása a Balatonfüredi Református Ált. Iskola energiahatékonysági felújításához</t>
  </si>
  <si>
    <t>309/2017.(IX.28.) Papsoka felhagyott temetők (katolikus) önrész BFT támogatáshoz</t>
  </si>
  <si>
    <t>312/2017.(IX.28.) Balatonfüred Város Sportjáért Közhasznú Alapítvány 5454/2 hrsz-ú ingatlanon homokos technikai pálya TAO önrész</t>
  </si>
  <si>
    <t>330/2017. (X.26.) Bfüred, Csárda u. 11. Társasház támogatás</t>
  </si>
  <si>
    <t>330/2017. (X.26.) Bfüred, Hárs köz 1.. Társasház támogatás</t>
  </si>
  <si>
    <t>340/2017.(X.26.) Balaton Vívóklub  támogatása az Eötvös L. Ált. Iskola kis tornaterem padlóburkolat felújításához</t>
  </si>
  <si>
    <t>366/2017.(XI.23.) 071/76, 069/27-069/30, 071/68,071/70,071/101,071/102 hrsz-ú ingatlanok vás. Közpark céljára</t>
  </si>
  <si>
    <t>Zsinagóga Felújítási Alap létrehozása</t>
  </si>
  <si>
    <t>4/2018 (I.30) GINOP-7.1.9-17 pályázat további saját forrás biztosítása</t>
  </si>
  <si>
    <t>Összesen: (1+4+9)</t>
  </si>
  <si>
    <t>Az Önkormányzat adósságállományának alakulása</t>
  </si>
  <si>
    <t>lejárat, eszközök bel- és külföldi hitelezők szerinti bontásban (Ft-ban)</t>
  </si>
  <si>
    <t>Felvétel</t>
  </si>
  <si>
    <t>Lejárat</t>
  </si>
  <si>
    <t>Állomány január 1-én (FT)</t>
  </si>
  <si>
    <t>Hitel jellege</t>
  </si>
  <si>
    <t>éve</t>
  </si>
  <si>
    <t>2020. után</t>
  </si>
  <si>
    <t>BELFÖLDI HITELEZŐK</t>
  </si>
  <si>
    <t>Működési célú hitel állomány + kamat</t>
  </si>
  <si>
    <t>Hitel összesen</t>
  </si>
  <si>
    <t>Kamat összesen</t>
  </si>
  <si>
    <t>Felhalmozási célú hitel állomány+kamat</t>
  </si>
  <si>
    <t>Hitel összesen (7-10)</t>
  </si>
  <si>
    <t>Kamat összesen (12-15)</t>
  </si>
  <si>
    <t>Összesen: (1+6)</t>
  </si>
  <si>
    <t xml:space="preserve"> a szerződésben kapott, legalább háromszázhatvanöt nap időtartamú halasztott fizetés, részletfizetés, és a még ki nem fizetett ellenérték,</t>
  </si>
  <si>
    <t>13.</t>
  </si>
  <si>
    <t>DRV környezetvédelmi beruházások megvalósítása</t>
  </si>
  <si>
    <t>2005.</t>
  </si>
  <si>
    <t>14.</t>
  </si>
  <si>
    <t>Balatoni Hajózási Zrt. részvények átvét. Tőkejuttatás</t>
  </si>
  <si>
    <t>15.</t>
  </si>
  <si>
    <t>Konferencia Központ üzletrész megvásárlása</t>
  </si>
  <si>
    <t>2003.</t>
  </si>
  <si>
    <t>16.</t>
  </si>
  <si>
    <t>2005-2009.</t>
  </si>
  <si>
    <t>2017-2019</t>
  </si>
  <si>
    <t>17.</t>
  </si>
  <si>
    <t>Összesen (13-16)</t>
  </si>
  <si>
    <t>18.</t>
  </si>
  <si>
    <t>KÜLFÖLDI HITELEZŐK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</si>
  <si>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</si>
  <si>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</si>
  <si>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</si>
  <si>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</si>
  <si>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</si>
  <si>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</si>
  <si>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</si>
  <si>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</si>
  <si>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</si>
  <si>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</si>
  <si>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</si>
  <si>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Összesen: (19+24)</t>
  </si>
  <si>
    <t>30.</t>
  </si>
  <si>
    <t>Összesen: (11+17+29)</t>
  </si>
  <si>
    <t>Az önkormányzat által nyújtott közvetett támogatások jogcímenként</t>
  </si>
  <si>
    <t xml:space="preserve">                                (kedvezmények) 2018. év                       </t>
  </si>
  <si>
    <t xml:space="preserve">Bevételi jogcím </t>
  </si>
  <si>
    <t>Intézmények,</t>
  </si>
  <si>
    <t xml:space="preserve">Kedvezmény nélkül </t>
  </si>
  <si>
    <t xml:space="preserve">Kedvezmények </t>
  </si>
  <si>
    <t>adónemek</t>
  </si>
  <si>
    <t>elérhető</t>
  </si>
  <si>
    <t>összege</t>
  </si>
  <si>
    <t>bevétel  Ft</t>
  </si>
  <si>
    <t>Ft</t>
  </si>
  <si>
    <t>Ellátottak térítési díjának ill. kártérítésének méltányossági alapon történő elengedésének összege</t>
  </si>
  <si>
    <t>Bölcsőde</t>
  </si>
  <si>
    <t>Iskolák</t>
  </si>
  <si>
    <t>Lakosság részére nyújtott lakásépítéshez, lakásfelújításhoz nyújtott kölcsönök elengedésének összege</t>
  </si>
  <si>
    <t>Helyi adónál, gépjárműadónál biztosított kedvezmény, mentesség összege</t>
  </si>
  <si>
    <t>Építményadó</t>
  </si>
  <si>
    <t>Iparűzési adó</t>
  </si>
  <si>
    <t>IFA személyek után</t>
  </si>
  <si>
    <t>Telekadó</t>
  </si>
  <si>
    <t>Gépjárműadó</t>
  </si>
  <si>
    <t>Települési adó/termőföldadó</t>
  </si>
  <si>
    <t>Települési adó/külterületi</t>
  </si>
  <si>
    <t>Helyiségek, eszközök hasznosításából származó bevételből nyújtott kedvezmény, mentesség összege</t>
  </si>
  <si>
    <t>egyéb nyújtott kedvezmény vagy kölcsön elengedésének összege</t>
  </si>
  <si>
    <t>Összesen :</t>
  </si>
  <si>
    <t>Az önkormányzat adósságot keletkeztető ügyletből származó tárgyévi összes fizetési kötelezettsége az adósságot keletkeztető ügylet futamidejének végéig egyik évben sem haladja meg az önkormányzat adott évi saját bevételeinek 50%-át.</t>
  </si>
  <si>
    <t>megnevezés</t>
  </si>
  <si>
    <t>1. Helyi adó és települési adó bevétel</t>
  </si>
  <si>
    <t>2. Vagyon és vagyonértékű jog értékesítéséből származó bevétel</t>
  </si>
  <si>
    <t>3. Osztalék, koncessziós díj és hozambevétel,</t>
  </si>
  <si>
    <t>4. tárgyi eszköz és immateriális jószág, részvény, részesedés, vállalalat értékesítésből vagy privatizációból származó bevétel</t>
  </si>
  <si>
    <t>5. Bírság, pótlék- és díjbevétel</t>
  </si>
  <si>
    <t>6. Kezességvállalással kapcsolatos megtérülés</t>
  </si>
  <si>
    <t>az önkormányzat adott évi saját bevételeinek 50%-a (Eft)</t>
  </si>
  <si>
    <t xml:space="preserve">adósságot keletkeztető ügyletekből és kezességvállalásokból fennálló kötelezettségek </t>
  </si>
  <si>
    <t>futamidő kezdete</t>
  </si>
  <si>
    <t xml:space="preserve">Balatonfüred Kemping ingatlan vásárlás felvett hitel </t>
  </si>
  <si>
    <t>Balatonfüred Kemping ingatlan vásárlás hitel  kamata</t>
  </si>
  <si>
    <t>Összesen (Eft):</t>
  </si>
  <si>
    <t>PARKOLÓHELY MEGVÁLTÁS ALAKULÁSA 2018. ÉV</t>
  </si>
  <si>
    <t>Összeg (eFt)</t>
  </si>
  <si>
    <t>2011-2015. években befolyt parkolóhely megváltás bevétele</t>
  </si>
  <si>
    <t>2016. évben befolyt parkolóhely megváltás bevétele</t>
  </si>
  <si>
    <t>2017. évben befolyt parkolóhely megváltás bevétele</t>
  </si>
  <si>
    <t>2018. évben tervezett parkolóhely megváltás bevétele</t>
  </si>
  <si>
    <t>Bevétel összesen:</t>
  </si>
  <si>
    <t>2011. évben a parkolóhely megváltás alap terhére elsz. kiadás</t>
  </si>
  <si>
    <t xml:space="preserve">2011. évben megelőlegezett kiadás a 2013. évi bevétel terhére </t>
  </si>
  <si>
    <t xml:space="preserve">2011. évben megelőlegezett kiadás a 2014. évi bevétel terhére </t>
  </si>
  <si>
    <t xml:space="preserve">2011. évben megelőlegezett kiadás a 2015. évi bevétel terhére </t>
  </si>
  <si>
    <t xml:space="preserve">2011. évben megelőlegezett kiadás a 2016. évi bevétel terhére </t>
  </si>
  <si>
    <t xml:space="preserve">2011. évben megelőlegezett kiadás a 2017. évi bevétel terhére </t>
  </si>
  <si>
    <t xml:space="preserve">2012. évben megelőlegezett kiadás a 2018. évi bevétel terhére </t>
  </si>
  <si>
    <t>Kiadás összesen:</t>
  </si>
  <si>
    <t>2018. évben céltartalékba helyezve</t>
  </si>
  <si>
    <t>KÖRNYEZETVÉDELMI ALAP ALAKULÁSA 2018. ÉV</t>
  </si>
  <si>
    <t>2014. évi záró</t>
  </si>
  <si>
    <t>2015. év</t>
  </si>
  <si>
    <t>Környezetvédelmi bírság</t>
  </si>
  <si>
    <t>Talajterhelési díj</t>
  </si>
  <si>
    <t>2015. évi kiadás</t>
  </si>
  <si>
    <t>2015. évi záró</t>
  </si>
  <si>
    <t>2016. évi kiadás</t>
  </si>
  <si>
    <t>2016. évi  bevétel</t>
  </si>
  <si>
    <t>2016. évi záró</t>
  </si>
  <si>
    <t>2017. évi kiadás</t>
  </si>
  <si>
    <t>2017. évi bevétel</t>
  </si>
  <si>
    <t>2017. évi záró</t>
  </si>
  <si>
    <t>2018. évi tervezetett kiadás</t>
  </si>
  <si>
    <t>2018. évi tervezett bevétel</t>
  </si>
  <si>
    <t>2018. évi várható záró</t>
  </si>
  <si>
    <t>AZ ÖNKORMÁNYZAT 2018-2021. ÉVEK</t>
  </si>
  <si>
    <t xml:space="preserve"> TERVEZETT ELŐIRÁNYZATAINAK KERETSZÁMAI</t>
  </si>
  <si>
    <t>2019. évi várható előirányzatok</t>
  </si>
  <si>
    <t>2020. évi várható előirányzatok</t>
  </si>
  <si>
    <t>2021. évi várható előirányzatok</t>
  </si>
  <si>
    <t>I. Működési támogatások államháztartáson belülről</t>
  </si>
  <si>
    <t>II. Felhalmozási támogatások államháztartáson belülről</t>
  </si>
  <si>
    <t xml:space="preserve">VIII. Finanszírozási  bevételek </t>
  </si>
  <si>
    <t>1. Költségvetési hiány belső finanszírozására szolgáló finanszírozási bevételek</t>
  </si>
  <si>
    <t>2. Költségvetési hiány külső finanszírozására, vagy költségvetési többlet felhasználására szolgáló  finanszírozási bevételek</t>
  </si>
  <si>
    <t>I. Működési kiadások</t>
  </si>
  <si>
    <t>2.  Munkaadót terhelő járulék és szociális hozzájárulási adó</t>
  </si>
  <si>
    <t>II. Felhalmozási kiadások</t>
  </si>
  <si>
    <t>1. Beruházások</t>
  </si>
  <si>
    <t>2. Intézm saját hatásk fejl</t>
  </si>
  <si>
    <t>3. Felújítás</t>
  </si>
  <si>
    <t>4. Egyéb felhalmozási célú kiadások</t>
  </si>
  <si>
    <t>Állami támogatás megelőlegezés visszafiz.</t>
  </si>
  <si>
    <t>Értékpapír vásárlás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</si>
</sst>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F_t_-;\-* #,##0.00\ _F_t_-;_-* &quot;-&quot;??\ _F_t_-;_-@_-"/>
    <numFmt numFmtId="164" formatCode="mmm\ d/"/>
    <numFmt numFmtId="165" formatCode="#,##0.0"/>
    <numFmt numFmtId="166" formatCode="0.0"/>
    <numFmt numFmtId="167" formatCode="#,##0;[Red]#,##0"/>
    <numFmt numFmtId="168" formatCode="#\ ##0"/>
  </numFmts>
  <fonts count="63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0"/>
      <name val="Times New Roman"/>
      <family val="1"/>
      <charset val="238"/>
    </font>
    <font>
      <b/>
      <i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Arial CE"/>
      <family val="2"/>
      <charset val="238"/>
    </font>
    <font>
      <i/>
      <sz val="12"/>
      <name val="Arial"/>
      <family val="2"/>
      <charset val="238"/>
    </font>
    <font>
      <i/>
      <sz val="14"/>
      <name val="Arial"/>
      <family val="2"/>
      <charset val="238"/>
    </font>
    <font>
      <b/>
      <sz val="11"/>
      <name val="Times New Roman"/>
      <family val="1"/>
      <charset val="238"/>
    </font>
    <font>
      <sz val="12"/>
      <color indexed="10"/>
      <name val="Arial"/>
      <family val="2"/>
      <charset val="238"/>
    </font>
    <font>
      <b/>
      <i/>
      <u/>
      <sz val="10"/>
      <name val="Arial"/>
      <family val="2"/>
      <charset val="238"/>
    </font>
    <font>
      <sz val="10"/>
      <color indexed="8"/>
      <name val="Calibri"/>
      <family val="2"/>
      <charset val="238"/>
    </font>
    <font>
      <sz val="11"/>
      <color indexed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 CE"/>
      <family val="1"/>
      <charset val="238"/>
    </font>
    <font>
      <b/>
      <sz val="12"/>
      <name val="Arial CE"/>
      <family val="2"/>
      <charset val="238"/>
    </font>
    <font>
      <sz val="12"/>
      <name val="Arial CE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charset val="238"/>
    </font>
    <font>
      <b/>
      <sz val="10"/>
      <name val="Arial CE"/>
      <charset val="238"/>
    </font>
    <font>
      <sz val="12"/>
      <name val="Times New Roman"/>
      <family val="1"/>
      <charset val="238"/>
    </font>
    <font>
      <sz val="11"/>
      <name val="Arial CE"/>
      <family val="2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22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2"/>
      </patternFill>
    </fill>
    <fill>
      <patternFill patternType="solid">
        <fgColor indexed="9"/>
        <bgColor indexed="34"/>
      </patternFill>
    </fill>
  </fills>
  <borders count="16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</borders>
  <cellStyleXfs count="135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6" fillId="22" borderId="0" applyNumberFormat="0" applyBorder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18" fillId="23" borderId="1" applyNumberFormat="0" applyAlignment="0" applyProtection="0"/>
    <xf numFmtId="0" fontId="9" fillId="24" borderId="2" applyNumberFormat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8" fillId="0" borderId="0"/>
    <xf numFmtId="0" fontId="14" fillId="0" borderId="0" applyNumberForma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ill="0" applyBorder="0" applyAlignment="0" applyProtection="0"/>
    <xf numFmtId="43" fontId="34" fillId="0" borderId="0" applyFill="0" applyBorder="0" applyAlignment="0" applyProtection="0"/>
    <xf numFmtId="43" fontId="28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25" borderId="0" applyNumberFormat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4" fillId="7" borderId="1" applyNumberFormat="0" applyAlignment="0" applyProtection="0"/>
    <xf numFmtId="0" fontId="28" fillId="26" borderId="7" applyNumberFormat="0" applyFont="0" applyAlignment="0" applyProtection="0"/>
    <xf numFmtId="0" fontId="28" fillId="26" borderId="7" applyNumberFormat="0" applyFont="0" applyAlignment="0" applyProtection="0"/>
    <xf numFmtId="0" fontId="13" fillId="27" borderId="8" applyNumberFormat="0" applyAlignment="0" applyProtection="0"/>
    <xf numFmtId="0" fontId="13" fillId="27" borderId="8" applyNumberFormat="0" applyAlignment="0" applyProtection="0"/>
    <xf numFmtId="0" fontId="11" fillId="0" borderId="6" applyNumberFormat="0" applyFill="0" applyAlignment="0" applyProtection="0"/>
    <xf numFmtId="0" fontId="17" fillId="28" borderId="0" applyNumberFormat="0" applyBorder="0" applyAlignment="0" applyProtection="0"/>
    <xf numFmtId="0" fontId="28" fillId="0" borderId="0"/>
    <xf numFmtId="0" fontId="49" fillId="0" borderId="0"/>
    <xf numFmtId="0" fontId="50" fillId="0" borderId="0"/>
    <xf numFmtId="0" fontId="50" fillId="0" borderId="0"/>
    <xf numFmtId="0" fontId="1" fillId="0" borderId="0"/>
    <xf numFmtId="0" fontId="28" fillId="0" borderId="0"/>
    <xf numFmtId="0" fontId="28" fillId="0" borderId="0"/>
    <xf numFmtId="0" fontId="1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5" fillId="0" borderId="0"/>
    <xf numFmtId="0" fontId="15" fillId="0" borderId="0"/>
    <xf numFmtId="0" fontId="2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8" fillId="26" borderId="7" applyNumberFormat="0" applyFont="0" applyAlignment="0" applyProtection="0"/>
    <xf numFmtId="0" fontId="13" fillId="27" borderId="8" applyNumberFormat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5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0" fillId="0" borderId="0" applyNumberFormat="0" applyFill="0" applyBorder="0" applyAlignment="0" applyProtection="0"/>
    <xf numFmtId="0" fontId="28" fillId="0" borderId="0"/>
    <xf numFmtId="0" fontId="51" fillId="0" borderId="0"/>
    <xf numFmtId="0" fontId="28" fillId="0" borderId="0"/>
    <xf numFmtId="0" fontId="28" fillId="0" borderId="0"/>
    <xf numFmtId="0" fontId="28" fillId="0" borderId="0"/>
    <xf numFmtId="0" fontId="54" fillId="0" borderId="0"/>
    <xf numFmtId="0" fontId="55" fillId="0" borderId="0"/>
  </cellStyleXfs>
  <cellXfs count="1778">
    <xf numFmtId="0" fontId="0" fillId="0" borderId="0" xfId="0"/>
    <xf numFmtId="0" fontId="22" fillId="0" borderId="0" xfId="119" applyFont="1" applyBorder="1" applyAlignment="1">
      <alignment horizontal="center"/>
    </xf>
    <xf numFmtId="0" fontId="22" fillId="0" borderId="0" xfId="109" applyFont="1"/>
    <xf numFmtId="3" fontId="22" fillId="0" borderId="0" xfId="109" applyNumberFormat="1" applyFont="1"/>
    <xf numFmtId="3" fontId="22" fillId="0" borderId="0" xfId="109" applyNumberFormat="1" applyFont="1" applyFill="1"/>
    <xf numFmtId="0" fontId="22" fillId="0" borderId="0" xfId="109" applyFont="1" applyFill="1"/>
    <xf numFmtId="0" fontId="25" fillId="0" borderId="0" xfId="116" applyFont="1" applyFill="1" applyAlignment="1">
      <alignment horizontal="center" vertical="center" wrapText="1"/>
    </xf>
    <xf numFmtId="3" fontId="25" fillId="0" borderId="0" xfId="116" applyNumberFormat="1" applyFont="1" applyFill="1" applyAlignment="1">
      <alignment horizontal="center" vertical="center" wrapText="1"/>
    </xf>
    <xf numFmtId="0" fontId="26" fillId="0" borderId="0" xfId="109" applyFont="1" applyFill="1" applyBorder="1"/>
    <xf numFmtId="0" fontId="26" fillId="0" borderId="0" xfId="109" applyFont="1"/>
    <xf numFmtId="0" fontId="28" fillId="0" borderId="0" xfId="109" applyFont="1"/>
    <xf numFmtId="0" fontId="28" fillId="0" borderId="0" xfId="119" applyFont="1"/>
    <xf numFmtId="0" fontId="28" fillId="0" borderId="0" xfId="119" applyFont="1" applyAlignment="1">
      <alignment horizontal="center" vertical="center"/>
    </xf>
    <xf numFmtId="0" fontId="22" fillId="0" borderId="0" xfId="119" applyFont="1" applyBorder="1"/>
    <xf numFmtId="0" fontId="22" fillId="0" borderId="0" xfId="119" applyFont="1"/>
    <xf numFmtId="0" fontId="22" fillId="29" borderId="0" xfId="119" applyFont="1" applyFill="1" applyBorder="1"/>
    <xf numFmtId="0" fontId="22" fillId="29" borderId="0" xfId="119" applyFont="1" applyFill="1"/>
    <xf numFmtId="0" fontId="28" fillId="0" borderId="0" xfId="119" applyFont="1" applyBorder="1"/>
    <xf numFmtId="0" fontId="28" fillId="0" borderId="0" xfId="119" applyFont="1" applyAlignment="1">
      <alignment wrapText="1"/>
    </xf>
    <xf numFmtId="0" fontId="29" fillId="0" borderId="0" xfId="119" applyFont="1" applyBorder="1"/>
    <xf numFmtId="0" fontId="29" fillId="29" borderId="0" xfId="119" applyFont="1" applyFill="1" applyBorder="1"/>
    <xf numFmtId="0" fontId="30" fillId="29" borderId="0" xfId="119" applyFont="1" applyFill="1" applyBorder="1"/>
    <xf numFmtId="0" fontId="31" fillId="29" borderId="0" xfId="119" applyFont="1" applyFill="1" applyBorder="1"/>
    <xf numFmtId="0" fontId="32" fillId="29" borderId="0" xfId="119" applyFont="1" applyFill="1" applyBorder="1"/>
    <xf numFmtId="3" fontId="30" fillId="29" borderId="0" xfId="119" applyNumberFormat="1" applyFont="1" applyFill="1" applyBorder="1" applyAlignment="1">
      <alignment vertical="center"/>
    </xf>
    <xf numFmtId="0" fontId="30" fillId="29" borderId="0" xfId="119" applyFont="1" applyFill="1" applyBorder="1" applyAlignment="1">
      <alignment vertical="center"/>
    </xf>
    <xf numFmtId="0" fontId="29" fillId="29" borderId="0" xfId="119" applyFont="1" applyFill="1" applyBorder="1" applyAlignment="1">
      <alignment vertical="center" wrapText="1"/>
    </xf>
    <xf numFmtId="0" fontId="29" fillId="29" borderId="0" xfId="119" applyFont="1" applyFill="1" applyBorder="1" applyAlignment="1">
      <alignment vertical="center"/>
    </xf>
    <xf numFmtId="0" fontId="20" fillId="0" borderId="11" xfId="119" applyFont="1" applyBorder="1"/>
    <xf numFmtId="0" fontId="20" fillId="0" borderId="11" xfId="119" applyFont="1" applyFill="1" applyBorder="1"/>
    <xf numFmtId="0" fontId="20" fillId="0" borderId="0" xfId="119" applyFont="1" applyBorder="1"/>
    <xf numFmtId="0" fontId="20" fillId="0" borderId="0" xfId="119" applyFont="1" applyFill="1" applyBorder="1"/>
    <xf numFmtId="0" fontId="20" fillId="29" borderId="10" xfId="119" applyFont="1" applyFill="1" applyBorder="1"/>
    <xf numFmtId="0" fontId="30" fillId="0" borderId="0" xfId="119" applyFont="1" applyBorder="1"/>
    <xf numFmtId="0" fontId="20" fillId="0" borderId="10" xfId="119" applyFont="1" applyBorder="1"/>
    <xf numFmtId="0" fontId="20" fillId="0" borderId="12" xfId="119" applyFont="1" applyBorder="1"/>
    <xf numFmtId="0" fontId="20" fillId="0" borderId="13" xfId="119" applyFont="1" applyBorder="1"/>
    <xf numFmtId="0" fontId="28" fillId="0" borderId="0" xfId="119" applyFont="1" applyAlignment="1">
      <alignment horizontal="right"/>
    </xf>
    <xf numFmtId="3" fontId="28" fillId="0" borderId="0" xfId="119" applyNumberFormat="1" applyFont="1"/>
    <xf numFmtId="0" fontId="22" fillId="0" borderId="0" xfId="119" applyFont="1" applyAlignment="1">
      <alignment wrapText="1"/>
    </xf>
    <xf numFmtId="0" fontId="27" fillId="0" borderId="0" xfId="119" applyFont="1" applyAlignment="1">
      <alignment horizontal="center" vertical="center" wrapText="1"/>
    </xf>
    <xf numFmtId="0" fontId="28" fillId="29" borderId="0" xfId="119" applyFont="1" applyFill="1" applyBorder="1"/>
    <xf numFmtId="3" fontId="28" fillId="29" borderId="0" xfId="119" applyNumberFormat="1" applyFont="1" applyFill="1" applyBorder="1" applyAlignment="1">
      <alignment horizontal="right"/>
    </xf>
    <xf numFmtId="3" fontId="28" fillId="29" borderId="0" xfId="119" applyNumberFormat="1" applyFont="1" applyFill="1" applyBorder="1"/>
    <xf numFmtId="0" fontId="28" fillId="29" borderId="0" xfId="119" applyFont="1" applyFill="1"/>
    <xf numFmtId="3" fontId="28" fillId="0" borderId="0" xfId="119" applyNumberFormat="1" applyFont="1" applyBorder="1"/>
    <xf numFmtId="0" fontId="20" fillId="0" borderId="10" xfId="119" applyFont="1" applyFill="1" applyBorder="1"/>
    <xf numFmtId="0" fontId="20" fillId="0" borderId="12" xfId="119" applyFont="1" applyFill="1" applyBorder="1"/>
    <xf numFmtId="0" fontId="28" fillId="0" borderId="0" xfId="119" applyFont="1" applyFill="1" applyBorder="1"/>
    <xf numFmtId="3" fontId="28" fillId="0" borderId="0" xfId="119" applyNumberFormat="1" applyFont="1" applyFill="1" applyBorder="1"/>
    <xf numFmtId="0" fontId="28" fillId="0" borderId="0" xfId="119" applyFont="1" applyFill="1"/>
    <xf numFmtId="3" fontId="22" fillId="0" borderId="0" xfId="119" applyNumberFormat="1" applyFont="1" applyBorder="1"/>
    <xf numFmtId="3" fontId="28" fillId="0" borderId="0" xfId="109" applyNumberFormat="1" applyFont="1"/>
    <xf numFmtId="0" fontId="27" fillId="0" borderId="0" xfId="119" applyFont="1" applyAlignment="1">
      <alignment horizontal="center"/>
    </xf>
    <xf numFmtId="0" fontId="28" fillId="0" borderId="0" xfId="109" applyFont="1" applyAlignment="1">
      <alignment horizontal="right"/>
    </xf>
    <xf numFmtId="0" fontId="25" fillId="0" borderId="0" xfId="119" applyFont="1" applyFill="1" applyBorder="1" applyAlignment="1">
      <alignment horizontal="left" vertical="center" wrapText="1" indent="1"/>
    </xf>
    <xf numFmtId="3" fontId="25" fillId="0" borderId="0" xfId="119" applyNumberFormat="1" applyFont="1" applyFill="1" applyBorder="1"/>
    <xf numFmtId="0" fontId="25" fillId="0" borderId="0" xfId="119" applyFont="1" applyFill="1" applyBorder="1" applyAlignment="1">
      <alignment horizontal="left" vertical="center" wrapText="1" indent="2"/>
    </xf>
    <xf numFmtId="3" fontId="25" fillId="0" borderId="0" xfId="119" applyNumberFormat="1" applyFont="1" applyFill="1" applyBorder="1" applyAlignment="1">
      <alignment horizontal="right" wrapText="1"/>
    </xf>
    <xf numFmtId="0" fontId="26" fillId="0" borderId="0" xfId="119" applyFont="1" applyFill="1" applyBorder="1"/>
    <xf numFmtId="3" fontId="26" fillId="0" borderId="0" xfId="119" applyNumberFormat="1" applyFont="1" applyFill="1" applyBorder="1" applyAlignment="1">
      <alignment horizontal="right" wrapText="1"/>
    </xf>
    <xf numFmtId="0" fontId="26" fillId="0" borderId="0" xfId="119" applyFont="1" applyFill="1" applyBorder="1" applyAlignment="1">
      <alignment horizontal="left" vertical="center" wrapText="1" indent="2"/>
    </xf>
    <xf numFmtId="0" fontId="26" fillId="0" borderId="0" xfId="119" applyFont="1" applyFill="1" applyBorder="1" applyAlignment="1">
      <alignment horizontal="left" vertical="center" wrapText="1" indent="1"/>
    </xf>
    <xf numFmtId="0" fontId="28" fillId="0" borderId="0" xfId="116" applyFont="1" applyFill="1"/>
    <xf numFmtId="3" fontId="22" fillId="0" borderId="0" xfId="105" applyNumberFormat="1" applyFont="1" applyBorder="1" applyAlignment="1">
      <alignment horizontal="center"/>
    </xf>
    <xf numFmtId="3" fontId="28" fillId="0" borderId="0" xfId="105" applyNumberFormat="1" applyFont="1"/>
    <xf numFmtId="3" fontId="28" fillId="0" borderId="0" xfId="105" applyNumberFormat="1" applyFont="1" applyAlignment="1">
      <alignment horizontal="center"/>
    </xf>
    <xf numFmtId="0" fontId="28" fillId="0" borderId="0" xfId="105" applyFont="1"/>
    <xf numFmtId="3" fontId="22" fillId="0" borderId="0" xfId="105" applyNumberFormat="1" applyFont="1" applyBorder="1"/>
    <xf numFmtId="3" fontId="28" fillId="0" borderId="0" xfId="105" applyNumberFormat="1" applyFont="1" applyFill="1" applyBorder="1"/>
    <xf numFmtId="3" fontId="28" fillId="0" borderId="0" xfId="105" applyNumberFormat="1" applyFont="1" applyFill="1"/>
    <xf numFmtId="3" fontId="28" fillId="0" borderId="0" xfId="105" applyNumberFormat="1" applyFont="1" applyFill="1" applyAlignment="1">
      <alignment horizontal="center"/>
    </xf>
    <xf numFmtId="0" fontId="28" fillId="0" borderId="0" xfId="105" applyFont="1" applyFill="1"/>
    <xf numFmtId="167" fontId="28" fillId="0" borderId="0" xfId="109" applyNumberFormat="1" applyFont="1" applyFill="1" applyBorder="1" applyAlignment="1">
      <alignment horizontal="right" vertical="top" wrapText="1"/>
    </xf>
    <xf numFmtId="167" fontId="28" fillId="0" borderId="0" xfId="109" applyNumberFormat="1" applyFont="1" applyBorder="1" applyAlignment="1">
      <alignment horizontal="right" vertical="top" wrapText="1"/>
    </xf>
    <xf numFmtId="3" fontId="22" fillId="0" borderId="0" xfId="105" applyNumberFormat="1" applyFont="1"/>
    <xf numFmtId="3" fontId="22" fillId="0" borderId="0" xfId="105" applyNumberFormat="1" applyFont="1" applyAlignment="1">
      <alignment horizontal="center"/>
    </xf>
    <xf numFmtId="0" fontId="22" fillId="0" borderId="0" xfId="105" applyFont="1"/>
    <xf numFmtId="0" fontId="28" fillId="0" borderId="0" xfId="109" applyFont="1" applyAlignment="1">
      <alignment wrapText="1"/>
    </xf>
    <xf numFmtId="3" fontId="26" fillId="0" borderId="0" xfId="105" applyNumberFormat="1" applyFont="1" applyAlignment="1">
      <alignment wrapText="1"/>
    </xf>
    <xf numFmtId="0" fontId="28" fillId="0" borderId="11" xfId="119" applyFont="1" applyBorder="1"/>
    <xf numFmtId="0" fontId="28" fillId="0" borderId="14" xfId="119" applyFont="1" applyBorder="1"/>
    <xf numFmtId="0" fontId="28" fillId="0" borderId="15" xfId="119" applyFont="1" applyBorder="1"/>
    <xf numFmtId="0" fontId="0" fillId="0" borderId="0" xfId="119" applyFont="1"/>
    <xf numFmtId="0" fontId="25" fillId="0" borderId="16" xfId="118" applyFont="1" applyFill="1" applyBorder="1" applyAlignment="1">
      <alignment horizontal="left" vertical="center" wrapText="1"/>
    </xf>
    <xf numFmtId="0" fontId="26" fillId="0" borderId="16" xfId="118" applyFont="1" applyFill="1" applyBorder="1" applyAlignment="1">
      <alignment horizontal="left" vertical="center" wrapText="1"/>
    </xf>
    <xf numFmtId="3" fontId="26" fillId="0" borderId="17" xfId="105" applyNumberFormat="1" applyFont="1" applyFill="1" applyBorder="1" applyAlignment="1">
      <alignment wrapText="1"/>
    </xf>
    <xf numFmtId="3" fontId="25" fillId="0" borderId="18" xfId="105" applyNumberFormat="1" applyFont="1" applyBorder="1" applyAlignment="1">
      <alignment wrapText="1"/>
    </xf>
    <xf numFmtId="0" fontId="21" fillId="29" borderId="19" xfId="119" applyFont="1" applyFill="1" applyBorder="1"/>
    <xf numFmtId="0" fontId="20" fillId="0" borderId="19" xfId="119" applyFont="1" applyBorder="1" applyAlignment="1">
      <alignment horizontal="center"/>
    </xf>
    <xf numFmtId="0" fontId="26" fillId="0" borderId="20" xfId="119" applyFont="1" applyBorder="1" applyAlignment="1">
      <alignment horizontal="left" wrapText="1"/>
    </xf>
    <xf numFmtId="0" fontId="26" fillId="29" borderId="20" xfId="118" applyFont="1" applyFill="1" applyBorder="1" applyAlignment="1">
      <alignment wrapText="1"/>
    </xf>
    <xf numFmtId="0" fontId="25" fillId="0" borderId="20" xfId="119" applyFont="1" applyBorder="1" applyAlignment="1">
      <alignment horizontal="left" wrapText="1"/>
    </xf>
    <xf numFmtId="0" fontId="25" fillId="0" borderId="20" xfId="118" applyFont="1" applyBorder="1" applyAlignment="1">
      <alignment horizontal="left" wrapText="1"/>
    </xf>
    <xf numFmtId="0" fontId="25" fillId="29" borderId="20" xfId="119" applyFont="1" applyFill="1" applyBorder="1" applyAlignment="1">
      <alignment horizontal="left" wrapText="1"/>
    </xf>
    <xf numFmtId="0" fontId="25" fillId="29" borderId="20" xfId="119" applyFont="1" applyFill="1" applyBorder="1" applyAlignment="1">
      <alignment horizontal="left" vertical="top" wrapText="1"/>
    </xf>
    <xf numFmtId="0" fontId="20" fillId="0" borderId="20" xfId="119" applyFont="1" applyBorder="1" applyAlignment="1">
      <alignment horizontal="left" wrapText="1" indent="2"/>
    </xf>
    <xf numFmtId="3" fontId="20" fillId="0" borderId="19" xfId="119" applyNumberFormat="1" applyFont="1" applyBorder="1" applyAlignment="1">
      <alignment horizontal="right"/>
    </xf>
    <xf numFmtId="3" fontId="20" fillId="0" borderId="19" xfId="119" applyNumberFormat="1" applyFont="1" applyBorder="1"/>
    <xf numFmtId="3" fontId="20" fillId="0" borderId="19" xfId="119" applyNumberFormat="1" applyFont="1" applyFill="1" applyBorder="1"/>
    <xf numFmtId="3" fontId="21" fillId="0" borderId="19" xfId="119" applyNumberFormat="1" applyFont="1" applyBorder="1"/>
    <xf numFmtId="0" fontId="25" fillId="0" borderId="21" xfId="119" applyFont="1" applyFill="1" applyBorder="1" applyAlignment="1">
      <alignment horizontal="center" vertical="center" wrapText="1"/>
    </xf>
    <xf numFmtId="3" fontId="22" fillId="29" borderId="19" xfId="119" applyNumberFormat="1" applyFont="1" applyFill="1" applyBorder="1" applyAlignment="1">
      <alignment horizontal="right" wrapText="1"/>
    </xf>
    <xf numFmtId="3" fontId="28" fillId="29" borderId="19" xfId="119" applyNumberFormat="1" applyFont="1" applyFill="1" applyBorder="1" applyAlignment="1">
      <alignment horizontal="right" wrapText="1"/>
    </xf>
    <xf numFmtId="3" fontId="25" fillId="0" borderId="19" xfId="119" applyNumberFormat="1" applyFont="1" applyFill="1" applyBorder="1" applyAlignment="1">
      <alignment horizontal="right" wrapText="1"/>
    </xf>
    <xf numFmtId="3" fontId="26" fillId="0" borderId="19" xfId="119" applyNumberFormat="1" applyFont="1" applyFill="1" applyBorder="1" applyAlignment="1">
      <alignment horizontal="right" wrapText="1"/>
    </xf>
    <xf numFmtId="3" fontId="25" fillId="0" borderId="22" xfId="119" applyNumberFormat="1" applyFont="1" applyFill="1" applyBorder="1" applyAlignment="1">
      <alignment horizontal="right" wrapText="1"/>
    </xf>
    <xf numFmtId="3" fontId="25" fillId="0" borderId="23" xfId="105" applyNumberFormat="1" applyFont="1" applyBorder="1" applyAlignment="1">
      <alignment wrapText="1"/>
    </xf>
    <xf numFmtId="0" fontId="22" fillId="29" borderId="23" xfId="119" applyFont="1" applyFill="1" applyBorder="1" applyAlignment="1">
      <alignment wrapText="1"/>
    </xf>
    <xf numFmtId="0" fontId="28" fillId="29" borderId="16" xfId="119" applyFont="1" applyFill="1" applyBorder="1" applyAlignment="1">
      <alignment wrapText="1"/>
    </xf>
    <xf numFmtId="164" fontId="28" fillId="29" borderId="16" xfId="118" applyNumberFormat="1" applyFont="1" applyFill="1" applyBorder="1" applyAlignment="1">
      <alignment wrapText="1"/>
    </xf>
    <xf numFmtId="0" fontId="28" fillId="29" borderId="16" xfId="118" applyFont="1" applyFill="1" applyBorder="1" applyAlignment="1">
      <alignment wrapText="1"/>
    </xf>
    <xf numFmtId="0" fontId="22" fillId="29" borderId="16" xfId="119" applyFont="1" applyFill="1" applyBorder="1" applyAlignment="1">
      <alignment wrapText="1"/>
    </xf>
    <xf numFmtId="3" fontId="22" fillId="29" borderId="20" xfId="119" applyNumberFormat="1" applyFont="1" applyFill="1" applyBorder="1" applyAlignment="1">
      <alignment horizontal="right" wrapText="1"/>
    </xf>
    <xf numFmtId="3" fontId="28" fillId="29" borderId="20" xfId="119" applyNumberFormat="1" applyFont="1" applyFill="1" applyBorder="1" applyAlignment="1">
      <alignment horizontal="right" wrapText="1"/>
    </xf>
    <xf numFmtId="0" fontId="20" fillId="0" borderId="24" xfId="119" applyFont="1" applyBorder="1"/>
    <xf numFmtId="0" fontId="20" fillId="29" borderId="24" xfId="119" applyFont="1" applyFill="1" applyBorder="1"/>
    <xf numFmtId="0" fontId="20" fillId="0" borderId="24" xfId="119" applyFont="1" applyFill="1" applyBorder="1"/>
    <xf numFmtId="0" fontId="20" fillId="0" borderId="25" xfId="119" applyFont="1" applyBorder="1"/>
    <xf numFmtId="0" fontId="20" fillId="0" borderId="26" xfId="119" applyFont="1" applyBorder="1" applyAlignment="1">
      <alignment horizontal="center"/>
    </xf>
    <xf numFmtId="3" fontId="20" fillId="0" borderId="27" xfId="119" applyNumberFormat="1" applyFont="1" applyBorder="1" applyAlignment="1">
      <alignment horizontal="right"/>
    </xf>
    <xf numFmtId="0" fontId="20" fillId="0" borderId="14" xfId="119" applyFont="1" applyBorder="1"/>
    <xf numFmtId="0" fontId="20" fillId="0" borderId="28" xfId="119" applyFont="1" applyBorder="1" applyAlignment="1">
      <alignment horizontal="center"/>
    </xf>
    <xf numFmtId="0" fontId="20" fillId="29" borderId="12" xfId="119" applyFont="1" applyFill="1" applyBorder="1"/>
    <xf numFmtId="0" fontId="20" fillId="0" borderId="17" xfId="109" applyFont="1" applyBorder="1" applyAlignment="1">
      <alignment wrapText="1"/>
    </xf>
    <xf numFmtId="0" fontId="22" fillId="0" borderId="0" xfId="119" applyFont="1" applyFill="1" applyBorder="1"/>
    <xf numFmtId="0" fontId="22" fillId="0" borderId="0" xfId="116" applyFont="1" applyFill="1"/>
    <xf numFmtId="3" fontId="22" fillId="0" borderId="0" xfId="105" applyNumberFormat="1" applyFont="1" applyFill="1" applyBorder="1"/>
    <xf numFmtId="3" fontId="22" fillId="0" borderId="0" xfId="105" applyNumberFormat="1" applyFont="1" applyFill="1"/>
    <xf numFmtId="3" fontId="22" fillId="0" borderId="0" xfId="105" applyNumberFormat="1" applyFont="1" applyFill="1" applyAlignment="1">
      <alignment horizontal="center"/>
    </xf>
    <xf numFmtId="0" fontId="22" fillId="0" borderId="0" xfId="105" applyFont="1" applyFill="1"/>
    <xf numFmtId="167" fontId="22" fillId="0" borderId="0" xfId="109" applyNumberFormat="1" applyFont="1" applyBorder="1" applyAlignment="1">
      <alignment horizontal="right" vertical="top" wrapText="1"/>
    </xf>
    <xf numFmtId="0" fontId="0" fillId="0" borderId="0" xfId="0" applyFont="1"/>
    <xf numFmtId="3" fontId="21" fillId="29" borderId="19" xfId="119" applyNumberFormat="1" applyFont="1" applyFill="1" applyBorder="1" applyAlignment="1">
      <alignment horizontal="right" wrapText="1"/>
    </xf>
    <xf numFmtId="3" fontId="20" fillId="29" borderId="19" xfId="110" applyNumberFormat="1" applyFont="1" applyFill="1" applyBorder="1"/>
    <xf numFmtId="0" fontId="20" fillId="0" borderId="20" xfId="110" applyFont="1" applyFill="1" applyBorder="1"/>
    <xf numFmtId="0" fontId="20" fillId="0" borderId="19" xfId="0" applyFont="1" applyBorder="1"/>
    <xf numFmtId="0" fontId="20" fillId="0" borderId="19" xfId="110" applyFont="1" applyFill="1" applyBorder="1"/>
    <xf numFmtId="0" fontId="21" fillId="0" borderId="19" xfId="110" applyFont="1" applyFill="1" applyBorder="1"/>
    <xf numFmtId="0" fontId="20" fillId="0" borderId="0" xfId="0" applyFont="1"/>
    <xf numFmtId="0" fontId="21" fillId="0" borderId="20" xfId="110" applyFont="1" applyFill="1" applyBorder="1"/>
    <xf numFmtId="3" fontId="21" fillId="0" borderId="19" xfId="110" applyNumberFormat="1" applyFont="1" applyFill="1" applyBorder="1"/>
    <xf numFmtId="3" fontId="21" fillId="29" borderId="19" xfId="110" applyNumberFormat="1" applyFont="1" applyFill="1" applyBorder="1"/>
    <xf numFmtId="4" fontId="21" fillId="0" borderId="19" xfId="110" applyNumberFormat="1" applyFont="1" applyFill="1" applyBorder="1"/>
    <xf numFmtId="4" fontId="20" fillId="0" borderId="19" xfId="110" applyNumberFormat="1" applyFont="1" applyFill="1" applyBorder="1"/>
    <xf numFmtId="0" fontId="20" fillId="0" borderId="20" xfId="112" applyFont="1" applyFill="1" applyBorder="1"/>
    <xf numFmtId="3" fontId="20" fillId="0" borderId="19" xfId="110" applyNumberFormat="1" applyFont="1" applyFill="1" applyBorder="1"/>
    <xf numFmtId="165" fontId="20" fillId="29" borderId="19" xfId="110" applyNumberFormat="1" applyFont="1" applyFill="1" applyBorder="1"/>
    <xf numFmtId="0" fontId="20" fillId="0" borderId="20" xfId="0" applyFont="1" applyBorder="1"/>
    <xf numFmtId="2" fontId="20" fillId="0" borderId="19" xfId="110" applyNumberFormat="1" applyFont="1" applyFill="1" applyBorder="1"/>
    <xf numFmtId="0" fontId="20" fillId="0" borderId="19" xfId="110" applyFont="1" applyBorder="1"/>
    <xf numFmtId="0" fontId="20" fillId="0" borderId="20" xfId="110" applyFont="1" applyFill="1" applyBorder="1" applyAlignment="1">
      <alignment wrapText="1"/>
    </xf>
    <xf numFmtId="0" fontId="23" fillId="0" borderId="19" xfId="110" applyFont="1" applyFill="1" applyBorder="1"/>
    <xf numFmtId="3" fontId="23" fillId="0" borderId="19" xfId="110" applyNumberFormat="1" applyFont="1" applyFill="1" applyBorder="1"/>
    <xf numFmtId="3" fontId="23" fillId="29" borderId="19" xfId="110" applyNumberFormat="1" applyFont="1" applyFill="1" applyBorder="1"/>
    <xf numFmtId="2" fontId="21" fillId="0" borderId="19" xfId="110" applyNumberFormat="1" applyFont="1" applyFill="1" applyBorder="1"/>
    <xf numFmtId="1" fontId="20" fillId="0" borderId="19" xfId="110" applyNumberFormat="1" applyFont="1" applyFill="1" applyBorder="1"/>
    <xf numFmtId="165" fontId="20" fillId="0" borderId="19" xfId="110" applyNumberFormat="1" applyFont="1" applyFill="1" applyBorder="1"/>
    <xf numFmtId="2" fontId="20" fillId="0" borderId="19" xfId="110" applyNumberFormat="1" applyFont="1" applyBorder="1"/>
    <xf numFmtId="1" fontId="21" fillId="0" borderId="19" xfId="110" applyNumberFormat="1" applyFont="1" applyFill="1" applyBorder="1"/>
    <xf numFmtId="4" fontId="20" fillId="29" borderId="19" xfId="110" applyNumberFormat="1" applyFont="1" applyFill="1" applyBorder="1"/>
    <xf numFmtId="2" fontId="20" fillId="0" borderId="22" xfId="110" applyNumberFormat="1" applyFont="1" applyFill="1" applyBorder="1"/>
    <xf numFmtId="0" fontId="20" fillId="0" borderId="22" xfId="110" applyFont="1" applyFill="1" applyBorder="1"/>
    <xf numFmtId="3" fontId="20" fillId="0" borderId="22" xfId="110" applyNumberFormat="1" applyFont="1" applyFill="1" applyBorder="1"/>
    <xf numFmtId="3" fontId="21" fillId="0" borderId="26" xfId="119" applyNumberFormat="1" applyFont="1" applyBorder="1"/>
    <xf numFmtId="3" fontId="21" fillId="0" borderId="28" xfId="119" applyNumberFormat="1" applyFont="1" applyBorder="1"/>
    <xf numFmtId="3" fontId="20" fillId="29" borderId="19" xfId="119" applyNumberFormat="1" applyFont="1" applyFill="1" applyBorder="1" applyAlignment="1">
      <alignment horizontal="right" wrapText="1"/>
    </xf>
    <xf numFmtId="4" fontId="20" fillId="29" borderId="19" xfId="119" applyNumberFormat="1" applyFont="1" applyFill="1" applyBorder="1" applyAlignment="1">
      <alignment horizontal="right" wrapText="1"/>
    </xf>
    <xf numFmtId="0" fontId="21" fillId="29" borderId="19" xfId="119" applyFont="1" applyFill="1" applyBorder="1" applyAlignment="1">
      <alignment vertical="center"/>
    </xf>
    <xf numFmtId="4" fontId="28" fillId="0" borderId="0" xfId="119" applyNumberFormat="1" applyFont="1" applyBorder="1"/>
    <xf numFmtId="0" fontId="20" fillId="0" borderId="16" xfId="109" applyFont="1" applyBorder="1" applyAlignment="1">
      <alignment wrapText="1"/>
    </xf>
    <xf numFmtId="0" fontId="21" fillId="0" borderId="16" xfId="109" applyFont="1" applyBorder="1" applyAlignment="1">
      <alignment wrapText="1"/>
    </xf>
    <xf numFmtId="0" fontId="21" fillId="0" borderId="18" xfId="109" applyFont="1" applyBorder="1" applyAlignment="1">
      <alignment wrapText="1"/>
    </xf>
    <xf numFmtId="3" fontId="26" fillId="0" borderId="19" xfId="119" applyNumberFormat="1" applyFont="1" applyBorder="1"/>
    <xf numFmtId="3" fontId="25" fillId="0" borderId="19" xfId="119" applyNumberFormat="1" applyFont="1" applyBorder="1"/>
    <xf numFmtId="3" fontId="25" fillId="0" borderId="19" xfId="119" applyNumberFormat="1" applyFont="1" applyBorder="1" applyAlignment="1">
      <alignment horizontal="right" wrapText="1"/>
    </xf>
    <xf numFmtId="3" fontId="25" fillId="29" borderId="19" xfId="119" applyNumberFormat="1" applyFont="1" applyFill="1" applyBorder="1" applyAlignment="1">
      <alignment horizontal="right" wrapText="1"/>
    </xf>
    <xf numFmtId="3" fontId="25" fillId="29" borderId="19" xfId="119" applyNumberFormat="1" applyFont="1" applyFill="1" applyBorder="1" applyAlignment="1">
      <alignment horizontal="right" vertical="center" wrapText="1"/>
    </xf>
    <xf numFmtId="4" fontId="28" fillId="29" borderId="22" xfId="119" applyNumberFormat="1" applyFont="1" applyFill="1" applyBorder="1" applyAlignment="1">
      <alignment horizontal="right" wrapText="1"/>
    </xf>
    <xf numFmtId="4" fontId="28" fillId="29" borderId="29" xfId="119" applyNumberFormat="1" applyFont="1" applyFill="1" applyBorder="1" applyAlignment="1">
      <alignment horizontal="right" wrapText="1"/>
    </xf>
    <xf numFmtId="3" fontId="21" fillId="29" borderId="20" xfId="119" applyNumberFormat="1" applyFont="1" applyFill="1" applyBorder="1" applyAlignment="1">
      <alignment horizontal="right" wrapText="1"/>
    </xf>
    <xf numFmtId="3" fontId="20" fillId="29" borderId="20" xfId="119" applyNumberFormat="1" applyFont="1" applyFill="1" applyBorder="1" applyAlignment="1">
      <alignment horizontal="right" wrapText="1"/>
    </xf>
    <xf numFmtId="4" fontId="20" fillId="29" borderId="20" xfId="119" applyNumberFormat="1" applyFont="1" applyFill="1" applyBorder="1" applyAlignment="1">
      <alignment horizontal="right" wrapText="1"/>
    </xf>
    <xf numFmtId="3" fontId="20" fillId="29" borderId="29" xfId="119" applyNumberFormat="1" applyFont="1" applyFill="1" applyBorder="1" applyAlignment="1">
      <alignment horizontal="right" wrapText="1"/>
    </xf>
    <xf numFmtId="3" fontId="21" fillId="29" borderId="30" xfId="119" applyNumberFormat="1" applyFont="1" applyFill="1" applyBorder="1" applyAlignment="1">
      <alignment horizontal="right" wrapText="1"/>
    </xf>
    <xf numFmtId="3" fontId="21" fillId="29" borderId="31" xfId="119" applyNumberFormat="1" applyFont="1" applyFill="1" applyBorder="1" applyAlignment="1">
      <alignment horizontal="right" wrapText="1"/>
    </xf>
    <xf numFmtId="3" fontId="20" fillId="0" borderId="20" xfId="119" applyNumberFormat="1" applyFont="1" applyBorder="1" applyAlignment="1">
      <alignment horizontal="right"/>
    </xf>
    <xf numFmtId="3" fontId="21" fillId="0" borderId="20" xfId="119" applyNumberFormat="1" applyFont="1" applyBorder="1"/>
    <xf numFmtId="3" fontId="20" fillId="0" borderId="20" xfId="119" applyNumberFormat="1" applyFont="1" applyBorder="1"/>
    <xf numFmtId="3" fontId="20" fillId="0" borderId="32" xfId="119" applyNumberFormat="1" applyFont="1" applyBorder="1" applyAlignment="1">
      <alignment horizontal="right"/>
    </xf>
    <xf numFmtId="3" fontId="21" fillId="0" borderId="32" xfId="119" applyNumberFormat="1" applyFont="1" applyBorder="1" applyAlignment="1">
      <alignment horizontal="right"/>
    </xf>
    <xf numFmtId="0" fontId="22" fillId="0" borderId="0" xfId="0" applyFont="1"/>
    <xf numFmtId="3" fontId="20" fillId="0" borderId="28" xfId="119" applyNumberFormat="1" applyFont="1" applyBorder="1" applyAlignment="1">
      <alignment horizontal="right"/>
    </xf>
    <xf numFmtId="2" fontId="28" fillId="0" borderId="0" xfId="119" applyNumberFormat="1" applyFont="1" applyBorder="1"/>
    <xf numFmtId="0" fontId="25" fillId="0" borderId="33" xfId="118" applyFont="1" applyFill="1" applyBorder="1" applyAlignment="1">
      <alignment horizontal="left" vertical="center" wrapText="1"/>
    </xf>
    <xf numFmtId="0" fontId="26" fillId="0" borderId="34" xfId="118" applyFont="1" applyFill="1" applyBorder="1" applyAlignment="1">
      <alignment horizontal="left" vertical="center" wrapText="1"/>
    </xf>
    <xf numFmtId="3" fontId="33" fillId="29" borderId="19" xfId="119" applyNumberFormat="1" applyFont="1" applyFill="1" applyBorder="1" applyAlignment="1">
      <alignment horizontal="right" wrapText="1"/>
    </xf>
    <xf numFmtId="3" fontId="21" fillId="29" borderId="35" xfId="119" applyNumberFormat="1" applyFont="1" applyFill="1" applyBorder="1" applyAlignment="1">
      <alignment horizontal="right" wrapText="1"/>
    </xf>
    <xf numFmtId="4" fontId="20" fillId="29" borderId="35" xfId="119" applyNumberFormat="1" applyFont="1" applyFill="1" applyBorder="1" applyAlignment="1">
      <alignment horizontal="right" wrapText="1"/>
    </xf>
    <xf numFmtId="3" fontId="20" fillId="0" borderId="32" xfId="119" applyNumberFormat="1" applyFont="1" applyBorder="1"/>
    <xf numFmtId="3" fontId="20" fillId="0" borderId="32" xfId="119" applyNumberFormat="1" applyFont="1" applyFill="1" applyBorder="1"/>
    <xf numFmtId="3" fontId="21" fillId="29" borderId="36" xfId="119" applyNumberFormat="1" applyFont="1" applyFill="1" applyBorder="1" applyAlignment="1">
      <alignment horizontal="right" wrapText="1"/>
    </xf>
    <xf numFmtId="0" fontId="20" fillId="29" borderId="35" xfId="119" applyFont="1" applyFill="1" applyBorder="1"/>
    <xf numFmtId="3" fontId="20" fillId="29" borderId="35" xfId="119" applyNumberFormat="1" applyFont="1" applyFill="1" applyBorder="1" applyAlignment="1">
      <alignment horizontal="right" wrapText="1"/>
    </xf>
    <xf numFmtId="0" fontId="20" fillId="29" borderId="35" xfId="119" applyFont="1" applyFill="1" applyBorder="1" applyAlignment="1">
      <alignment vertical="center"/>
    </xf>
    <xf numFmtId="0" fontId="21" fillId="29" borderId="35" xfId="119" applyFont="1" applyFill="1" applyBorder="1" applyAlignment="1">
      <alignment vertical="center"/>
    </xf>
    <xf numFmtId="0" fontId="21" fillId="0" borderId="35" xfId="119" applyFont="1" applyBorder="1"/>
    <xf numFmtId="0" fontId="21" fillId="29" borderId="20" xfId="119" applyFont="1" applyFill="1" applyBorder="1"/>
    <xf numFmtId="0" fontId="21" fillId="29" borderId="20" xfId="119" applyFont="1" applyFill="1" applyBorder="1" applyAlignment="1">
      <alignment vertical="center"/>
    </xf>
    <xf numFmtId="4" fontId="20" fillId="29" borderId="29" xfId="119" applyNumberFormat="1" applyFont="1" applyFill="1" applyBorder="1" applyAlignment="1">
      <alignment horizontal="right" wrapText="1"/>
    </xf>
    <xf numFmtId="0" fontId="20" fillId="0" borderId="37" xfId="119" applyFont="1" applyBorder="1" applyAlignment="1">
      <alignment wrapText="1"/>
    </xf>
    <xf numFmtId="0" fontId="21" fillId="0" borderId="37" xfId="119" applyFont="1" applyBorder="1" applyAlignment="1">
      <alignment wrapText="1"/>
    </xf>
    <xf numFmtId="3" fontId="21" fillId="0" borderId="38" xfId="119" applyNumberFormat="1" applyFont="1" applyBorder="1"/>
    <xf numFmtId="3" fontId="21" fillId="0" borderId="39" xfId="119" applyNumberFormat="1" applyFont="1" applyBorder="1"/>
    <xf numFmtId="3" fontId="21" fillId="0" borderId="40" xfId="119" applyNumberFormat="1" applyFont="1" applyBorder="1"/>
    <xf numFmtId="3" fontId="21" fillId="0" borderId="41" xfId="119" applyNumberFormat="1" applyFont="1" applyBorder="1"/>
    <xf numFmtId="3" fontId="21" fillId="0" borderId="42" xfId="119" applyNumberFormat="1" applyFont="1" applyBorder="1"/>
    <xf numFmtId="0" fontId="22" fillId="29" borderId="43" xfId="119" applyFont="1" applyFill="1" applyBorder="1" applyAlignment="1">
      <alignment horizontal="center" vertical="center" wrapText="1"/>
    </xf>
    <xf numFmtId="4" fontId="28" fillId="29" borderId="20" xfId="119" applyNumberFormat="1" applyFont="1" applyFill="1" applyBorder="1" applyAlignment="1">
      <alignment horizontal="right" wrapText="1"/>
    </xf>
    <xf numFmtId="0" fontId="21" fillId="0" borderId="44" xfId="109" applyFont="1" applyBorder="1" applyAlignment="1">
      <alignment wrapText="1"/>
    </xf>
    <xf numFmtId="0" fontId="20" fillId="0" borderId="23" xfId="109" applyFont="1" applyBorder="1" applyAlignment="1">
      <alignment wrapText="1"/>
    </xf>
    <xf numFmtId="0" fontId="20" fillId="0" borderId="44" xfId="109" applyFont="1" applyBorder="1" applyAlignment="1">
      <alignment wrapText="1"/>
    </xf>
    <xf numFmtId="0" fontId="25" fillId="0" borderId="45" xfId="119" applyFont="1" applyFill="1" applyBorder="1" applyAlignment="1">
      <alignment horizontal="center" vertical="center" wrapText="1"/>
    </xf>
    <xf numFmtId="0" fontId="20" fillId="29" borderId="23" xfId="119" applyFont="1" applyFill="1" applyBorder="1" applyAlignment="1">
      <alignment wrapText="1"/>
    </xf>
    <xf numFmtId="0" fontId="20" fillId="29" borderId="16" xfId="119" applyFont="1" applyFill="1" applyBorder="1" applyAlignment="1">
      <alignment wrapText="1"/>
    </xf>
    <xf numFmtId="0" fontId="20" fillId="29" borderId="16" xfId="118" applyFont="1" applyFill="1" applyBorder="1" applyAlignment="1">
      <alignment wrapText="1"/>
    </xf>
    <xf numFmtId="0" fontId="21" fillId="0" borderId="17" xfId="109" applyFont="1" applyBorder="1" applyAlignment="1">
      <alignment wrapText="1"/>
    </xf>
    <xf numFmtId="0" fontId="0" fillId="0" borderId="0" xfId="0" applyFill="1"/>
    <xf numFmtId="3" fontId="0" fillId="0" borderId="0" xfId="0" applyNumberFormat="1"/>
    <xf numFmtId="0" fontId="20" fillId="0" borderId="0" xfId="0" applyFont="1" applyFill="1"/>
    <xf numFmtId="3" fontId="22" fillId="29" borderId="31" xfId="119" applyNumberFormat="1" applyFont="1" applyFill="1" applyBorder="1" applyAlignment="1">
      <alignment horizontal="right" wrapText="1"/>
    </xf>
    <xf numFmtId="0" fontId="20" fillId="29" borderId="37" xfId="119" applyFont="1" applyFill="1" applyBorder="1" applyAlignment="1">
      <alignment wrapText="1"/>
    </xf>
    <xf numFmtId="0" fontId="20" fillId="0" borderId="37" xfId="119" applyFont="1" applyFill="1" applyBorder="1" applyAlignment="1">
      <alignment wrapText="1"/>
    </xf>
    <xf numFmtId="3" fontId="20" fillId="0" borderId="37" xfId="119" applyNumberFormat="1" applyFont="1" applyFill="1" applyBorder="1" applyAlignment="1">
      <alignment wrapText="1"/>
    </xf>
    <xf numFmtId="3" fontId="21" fillId="0" borderId="27" xfId="119" applyNumberFormat="1" applyFont="1" applyBorder="1"/>
    <xf numFmtId="3" fontId="28" fillId="0" borderId="0" xfId="109" applyNumberFormat="1" applyFont="1" applyAlignment="1">
      <alignment horizontal="right"/>
    </xf>
    <xf numFmtId="3" fontId="20" fillId="0" borderId="27" xfId="109" applyNumberFormat="1" applyFont="1" applyBorder="1" applyAlignment="1">
      <alignment horizontal="right"/>
    </xf>
    <xf numFmtId="3" fontId="21" fillId="0" borderId="19" xfId="78" applyNumberFormat="1" applyFont="1" applyBorder="1" applyAlignment="1">
      <alignment horizontal="right"/>
    </xf>
    <xf numFmtId="3" fontId="21" fillId="0" borderId="22" xfId="78" applyNumberFormat="1" applyFont="1" applyBorder="1" applyAlignment="1">
      <alignment horizontal="right"/>
    </xf>
    <xf numFmtId="3" fontId="20" fillId="0" borderId="19" xfId="78" applyNumberFormat="1" applyFont="1" applyBorder="1" applyAlignment="1">
      <alignment horizontal="right"/>
    </xf>
    <xf numFmtId="3" fontId="21" fillId="0" borderId="19" xfId="109" applyNumberFormat="1" applyFont="1" applyBorder="1" applyAlignment="1">
      <alignment horizontal="right"/>
    </xf>
    <xf numFmtId="3" fontId="20" fillId="0" borderId="19" xfId="109" applyNumberFormat="1" applyFont="1" applyBorder="1" applyAlignment="1">
      <alignment horizontal="right"/>
    </xf>
    <xf numFmtId="3" fontId="21" fillId="0" borderId="22" xfId="109" applyNumberFormat="1" applyFont="1" applyBorder="1" applyAlignment="1">
      <alignment horizontal="right"/>
    </xf>
    <xf numFmtId="3" fontId="20" fillId="0" borderId="30" xfId="78" applyNumberFormat="1" applyFont="1" applyBorder="1" applyAlignment="1">
      <alignment horizontal="right"/>
    </xf>
    <xf numFmtId="3" fontId="20" fillId="0" borderId="20" xfId="78" applyNumberFormat="1" applyFont="1" applyBorder="1" applyAlignment="1">
      <alignment horizontal="right"/>
    </xf>
    <xf numFmtId="3" fontId="21" fillId="0" borderId="20" xfId="78" applyNumberFormat="1" applyFont="1" applyBorder="1" applyAlignment="1">
      <alignment horizontal="right"/>
    </xf>
    <xf numFmtId="3" fontId="21" fillId="0" borderId="27" xfId="109" applyNumberFormat="1" applyFont="1" applyBorder="1" applyAlignment="1">
      <alignment horizontal="right"/>
    </xf>
    <xf numFmtId="3" fontId="21" fillId="0" borderId="29" xfId="78" applyNumberFormat="1" applyFont="1" applyBorder="1" applyAlignment="1">
      <alignment horizontal="right"/>
    </xf>
    <xf numFmtId="3" fontId="20" fillId="0" borderId="20" xfId="109" applyNumberFormat="1" applyFont="1" applyBorder="1" applyAlignment="1">
      <alignment horizontal="right"/>
    </xf>
    <xf numFmtId="3" fontId="21" fillId="0" borderId="20" xfId="109" applyNumberFormat="1" applyFont="1" applyBorder="1" applyAlignment="1">
      <alignment horizontal="right"/>
    </xf>
    <xf numFmtId="3" fontId="21" fillId="0" borderId="29" xfId="109" applyNumberFormat="1" applyFont="1" applyBorder="1" applyAlignment="1">
      <alignment horizontal="right"/>
    </xf>
    <xf numFmtId="3" fontId="21" fillId="0" borderId="47" xfId="109" applyNumberFormat="1" applyFont="1" applyBorder="1" applyAlignment="1">
      <alignment horizontal="right"/>
    </xf>
    <xf numFmtId="3" fontId="26" fillId="0" borderId="19" xfId="105" applyNumberFormat="1" applyFont="1" applyFill="1" applyBorder="1" applyAlignment="1">
      <alignment horizontal="right"/>
    </xf>
    <xf numFmtId="3" fontId="25" fillId="0" borderId="22" xfId="105" applyNumberFormat="1" applyFont="1" applyBorder="1" applyAlignment="1">
      <alignment horizontal="right"/>
    </xf>
    <xf numFmtId="3" fontId="26" fillId="0" borderId="0" xfId="105" applyNumberFormat="1" applyFont="1" applyAlignment="1">
      <alignment horizontal="right"/>
    </xf>
    <xf numFmtId="3" fontId="26" fillId="0" borderId="19" xfId="109" applyNumberFormat="1" applyFont="1" applyFill="1" applyBorder="1" applyAlignment="1">
      <alignment horizontal="right"/>
    </xf>
    <xf numFmtId="3" fontId="26" fillId="0" borderId="48" xfId="109" applyNumberFormat="1" applyFont="1" applyFill="1" applyBorder="1" applyAlignment="1">
      <alignment horizontal="right"/>
    </xf>
    <xf numFmtId="3" fontId="25" fillId="0" borderId="22" xfId="116" applyNumberFormat="1" applyFont="1" applyFill="1" applyBorder="1" applyAlignment="1">
      <alignment horizontal="right"/>
    </xf>
    <xf numFmtId="0" fontId="28" fillId="0" borderId="0" xfId="107" applyFont="1"/>
    <xf numFmtId="0" fontId="22" fillId="0" borderId="0" xfId="107" applyFont="1"/>
    <xf numFmtId="3" fontId="21" fillId="0" borderId="19" xfId="107" applyNumberFormat="1" applyFont="1" applyBorder="1"/>
    <xf numFmtId="3" fontId="20" fillId="0" borderId="19" xfId="107" applyNumberFormat="1" applyFont="1" applyBorder="1"/>
    <xf numFmtId="3" fontId="28" fillId="0" borderId="0" xfId="107" applyNumberFormat="1" applyFont="1"/>
    <xf numFmtId="3" fontId="21" fillId="0" borderId="27" xfId="107" applyNumberFormat="1" applyFont="1" applyBorder="1"/>
    <xf numFmtId="0" fontId="22" fillId="0" borderId="0" xfId="107" applyFont="1" applyAlignment="1">
      <alignment horizontal="center"/>
    </xf>
    <xf numFmtId="0" fontId="22" fillId="0" borderId="0" xfId="107" applyFont="1" applyAlignment="1">
      <alignment horizontal="center" wrapText="1"/>
    </xf>
    <xf numFmtId="0" fontId="22" fillId="0" borderId="49" xfId="107" applyFont="1" applyBorder="1" applyAlignment="1">
      <alignment horizontal="center" vertical="center"/>
    </xf>
    <xf numFmtId="0" fontId="22" fillId="0" borderId="50" xfId="107" applyFont="1" applyBorder="1" applyAlignment="1">
      <alignment horizontal="center" vertical="center" wrapText="1"/>
    </xf>
    <xf numFmtId="3" fontId="20" fillId="0" borderId="20" xfId="107" applyNumberFormat="1" applyFont="1" applyBorder="1"/>
    <xf numFmtId="3" fontId="20" fillId="0" borderId="27" xfId="107" applyNumberFormat="1" applyFont="1" applyBorder="1"/>
    <xf numFmtId="0" fontId="28" fillId="0" borderId="37" xfId="107" applyFont="1" applyBorder="1"/>
    <xf numFmtId="0" fontId="36" fillId="0" borderId="37" xfId="107" applyFont="1" applyBorder="1" applyAlignment="1">
      <alignment wrapText="1"/>
    </xf>
    <xf numFmtId="0" fontId="22" fillId="0" borderId="37" xfId="107" applyFont="1" applyBorder="1"/>
    <xf numFmtId="0" fontId="35" fillId="0" borderId="37" xfId="107" applyFont="1" applyBorder="1" applyAlignment="1">
      <alignment wrapText="1"/>
    </xf>
    <xf numFmtId="3" fontId="21" fillId="0" borderId="20" xfId="107" applyNumberFormat="1" applyFont="1" applyBorder="1"/>
    <xf numFmtId="0" fontId="22" fillId="0" borderId="51" xfId="107" applyFont="1" applyBorder="1"/>
    <xf numFmtId="0" fontId="36" fillId="0" borderId="51" xfId="107" applyFont="1" applyBorder="1" applyAlignment="1">
      <alignment wrapText="1"/>
    </xf>
    <xf numFmtId="0" fontId="28" fillId="0" borderId="52" xfId="107" applyFont="1" applyBorder="1"/>
    <xf numFmtId="0" fontId="36" fillId="0" borderId="52" xfId="107" applyFont="1" applyBorder="1" applyAlignment="1">
      <alignment wrapText="1"/>
    </xf>
    <xf numFmtId="0" fontId="22" fillId="0" borderId="52" xfId="107" applyFont="1" applyBorder="1"/>
    <xf numFmtId="0" fontId="35" fillId="0" borderId="52" xfId="107" applyFont="1" applyBorder="1" applyAlignment="1">
      <alignment wrapText="1"/>
    </xf>
    <xf numFmtId="0" fontId="28" fillId="0" borderId="51" xfId="107" applyFont="1" applyBorder="1"/>
    <xf numFmtId="0" fontId="22" fillId="0" borderId="52" xfId="107" applyFont="1" applyBorder="1" applyAlignment="1">
      <alignment wrapText="1"/>
    </xf>
    <xf numFmtId="0" fontId="36" fillId="0" borderId="53" xfId="107" applyFont="1" applyBorder="1" applyAlignment="1">
      <alignment wrapText="1"/>
    </xf>
    <xf numFmtId="0" fontId="28" fillId="0" borderId="51" xfId="107" applyFont="1" applyBorder="1" applyAlignment="1">
      <alignment wrapText="1"/>
    </xf>
    <xf numFmtId="0" fontId="22" fillId="0" borderId="54" xfId="107" applyFont="1" applyBorder="1"/>
    <xf numFmtId="0" fontId="35" fillId="0" borderId="54" xfId="107" applyFont="1" applyBorder="1" applyAlignment="1">
      <alignment wrapText="1"/>
    </xf>
    <xf numFmtId="0" fontId="28" fillId="0" borderId="0" xfId="107" applyFont="1" applyAlignment="1">
      <alignment wrapText="1"/>
    </xf>
    <xf numFmtId="3" fontId="21" fillId="0" borderId="0" xfId="107" applyNumberFormat="1" applyFont="1" applyAlignment="1">
      <alignment horizontal="center"/>
    </xf>
    <xf numFmtId="3" fontId="20" fillId="0" borderId="0" xfId="107" applyNumberFormat="1" applyFont="1"/>
    <xf numFmtId="0" fontId="20" fillId="0" borderId="55" xfId="109" applyFont="1" applyBorder="1" applyAlignment="1">
      <alignment wrapText="1"/>
    </xf>
    <xf numFmtId="3" fontId="20" fillId="0" borderId="28" xfId="109" applyNumberFormat="1" applyFont="1" applyBorder="1"/>
    <xf numFmtId="0" fontId="26" fillId="0" borderId="56" xfId="119" applyFont="1" applyBorder="1" applyAlignment="1">
      <alignment horizontal="left" wrapText="1"/>
    </xf>
    <xf numFmtId="3" fontId="26" fillId="0" borderId="57" xfId="119" applyNumberFormat="1" applyFont="1" applyBorder="1"/>
    <xf numFmtId="0" fontId="25" fillId="0" borderId="49" xfId="119" applyFont="1" applyBorder="1" applyAlignment="1">
      <alignment horizontal="center" vertical="center" wrapText="1"/>
    </xf>
    <xf numFmtId="3" fontId="22" fillId="29" borderId="30" xfId="119" applyNumberFormat="1" applyFont="1" applyFill="1" applyBorder="1" applyAlignment="1">
      <alignment horizontal="right" wrapText="1"/>
    </xf>
    <xf numFmtId="4" fontId="28" fillId="29" borderId="19" xfId="119" applyNumberFormat="1" applyFont="1" applyFill="1" applyBorder="1" applyAlignment="1">
      <alignment horizontal="right" wrapText="1"/>
    </xf>
    <xf numFmtId="0" fontId="25" fillId="0" borderId="23" xfId="119" applyFont="1" applyFill="1" applyBorder="1" applyAlignment="1">
      <alignment horizontal="left" vertical="center" wrapText="1" indent="1"/>
    </xf>
    <xf numFmtId="0" fontId="25" fillId="0" borderId="16" xfId="119" applyFont="1" applyFill="1" applyBorder="1" applyAlignment="1">
      <alignment horizontal="left" vertical="center" wrapText="1" indent="2"/>
    </xf>
    <xf numFmtId="0" fontId="26" fillId="0" borderId="16" xfId="119" applyFont="1" applyFill="1" applyBorder="1"/>
    <xf numFmtId="0" fontId="26" fillId="0" borderId="16" xfId="119" applyFont="1" applyFill="1" applyBorder="1" applyAlignment="1">
      <alignment horizontal="left" vertical="center" wrapText="1" indent="2"/>
    </xf>
    <xf numFmtId="0" fontId="26" fillId="0" borderId="44" xfId="119" applyFont="1" applyFill="1" applyBorder="1" applyAlignment="1">
      <alignment horizontal="left" vertical="center" wrapText="1" indent="2"/>
    </xf>
    <xf numFmtId="0" fontId="25" fillId="0" borderId="18" xfId="119" applyFont="1" applyFill="1" applyBorder="1" applyAlignment="1">
      <alignment horizontal="left" vertical="center" wrapText="1" indent="1"/>
    </xf>
    <xf numFmtId="3" fontId="25" fillId="0" borderId="30" xfId="119" applyNumberFormat="1" applyFont="1" applyFill="1" applyBorder="1" applyAlignment="1">
      <alignment horizontal="right" wrapText="1"/>
    </xf>
    <xf numFmtId="3" fontId="25" fillId="0" borderId="31" xfId="119" applyNumberFormat="1" applyFont="1" applyFill="1" applyBorder="1" applyAlignment="1">
      <alignment horizontal="right" wrapText="1"/>
    </xf>
    <xf numFmtId="3" fontId="25" fillId="0" borderId="20" xfId="119" applyNumberFormat="1" applyFont="1" applyFill="1" applyBorder="1" applyAlignment="1">
      <alignment horizontal="right" wrapText="1"/>
    </xf>
    <xf numFmtId="3" fontId="26" fillId="0" borderId="20" xfId="119" applyNumberFormat="1" applyFont="1" applyFill="1" applyBorder="1" applyAlignment="1">
      <alignment horizontal="right" wrapText="1"/>
    </xf>
    <xf numFmtId="0" fontId="26" fillId="0" borderId="58" xfId="119" applyFont="1" applyFill="1" applyBorder="1" applyAlignment="1">
      <alignment horizontal="left" vertical="center" wrapText="1"/>
    </xf>
    <xf numFmtId="0" fontId="25" fillId="0" borderId="16" xfId="119" applyFont="1" applyFill="1" applyBorder="1" applyAlignment="1">
      <alignment horizontal="left" vertical="center" wrapText="1" indent="1"/>
    </xf>
    <xf numFmtId="0" fontId="26" fillId="0" borderId="44" xfId="119" applyFont="1" applyFill="1" applyBorder="1" applyAlignment="1">
      <alignment horizontal="left" vertical="center" wrapText="1" indent="1"/>
    </xf>
    <xf numFmtId="0" fontId="26" fillId="0" borderId="16" xfId="119" applyFont="1" applyFill="1" applyBorder="1" applyAlignment="1">
      <alignment horizontal="left" vertical="center" wrapText="1" indent="1"/>
    </xf>
    <xf numFmtId="3" fontId="25" fillId="0" borderId="29" xfId="119" applyNumberFormat="1" applyFont="1" applyFill="1" applyBorder="1" applyAlignment="1">
      <alignment horizontal="right" wrapText="1"/>
    </xf>
    <xf numFmtId="0" fontId="25" fillId="0" borderId="58" xfId="116" applyFont="1" applyFill="1" applyBorder="1" applyAlignment="1">
      <alignment horizontal="left" vertical="center" wrapText="1"/>
    </xf>
    <xf numFmtId="0" fontId="25" fillId="0" borderId="59" xfId="116" applyFont="1" applyFill="1" applyBorder="1" applyAlignment="1">
      <alignment wrapText="1"/>
    </xf>
    <xf numFmtId="0" fontId="25" fillId="0" borderId="60" xfId="116" applyFont="1" applyFill="1" applyBorder="1" applyAlignment="1">
      <alignment horizontal="left" vertical="center" wrapText="1"/>
    </xf>
    <xf numFmtId="0" fontId="25" fillId="0" borderId="49" xfId="119" applyFont="1" applyFill="1" applyBorder="1" applyAlignment="1">
      <alignment horizontal="center" vertical="center" wrapText="1"/>
    </xf>
    <xf numFmtId="0" fontId="26" fillId="0" borderId="58" xfId="104" applyFont="1" applyFill="1" applyBorder="1" applyAlignment="1">
      <alignment wrapText="1"/>
    </xf>
    <xf numFmtId="0" fontId="26" fillId="0" borderId="58" xfId="109" applyFont="1" applyBorder="1" applyAlignment="1">
      <alignment horizontal="left" wrapText="1"/>
    </xf>
    <xf numFmtId="0" fontId="26" fillId="0" borderId="58" xfId="109" applyFont="1" applyFill="1" applyBorder="1" applyAlignment="1">
      <alignment horizontal="left" wrapText="1"/>
    </xf>
    <xf numFmtId="0" fontId="26" fillId="0" borderId="17" xfId="109" applyFont="1" applyFill="1" applyBorder="1" applyAlignment="1">
      <alignment horizontal="left" wrapText="1"/>
    </xf>
    <xf numFmtId="0" fontId="26" fillId="0" borderId="58" xfId="0" applyFont="1" applyFill="1" applyBorder="1" applyAlignment="1">
      <alignment wrapText="1"/>
    </xf>
    <xf numFmtId="3" fontId="25" fillId="0" borderId="59" xfId="105" applyNumberFormat="1" applyFont="1" applyBorder="1" applyAlignment="1">
      <alignment wrapText="1"/>
    </xf>
    <xf numFmtId="0" fontId="26" fillId="0" borderId="16" xfId="109" applyFont="1" applyBorder="1" applyAlignment="1">
      <alignment horizontal="left" wrapText="1"/>
    </xf>
    <xf numFmtId="0" fontId="26" fillId="0" borderId="17" xfId="109" applyFont="1" applyBorder="1" applyAlignment="1">
      <alignment horizontal="left" wrapText="1"/>
    </xf>
    <xf numFmtId="3" fontId="26" fillId="0" borderId="16" xfId="105" applyNumberFormat="1" applyFont="1" applyFill="1" applyBorder="1" applyAlignment="1">
      <alignment wrapText="1"/>
    </xf>
    <xf numFmtId="3" fontId="25" fillId="0" borderId="16" xfId="105" applyNumberFormat="1" applyFont="1" applyBorder="1" applyAlignment="1">
      <alignment wrapText="1"/>
    </xf>
    <xf numFmtId="3" fontId="25" fillId="0" borderId="19" xfId="105" applyNumberFormat="1" applyFont="1" applyBorder="1" applyAlignment="1">
      <alignment horizontal="right"/>
    </xf>
    <xf numFmtId="3" fontId="26" fillId="0" borderId="44" xfId="105" applyNumberFormat="1" applyFont="1" applyFill="1" applyBorder="1" applyAlignment="1">
      <alignment wrapText="1"/>
    </xf>
    <xf numFmtId="3" fontId="25" fillId="0" borderId="17" xfId="105" applyNumberFormat="1" applyFont="1" applyBorder="1" applyAlignment="1">
      <alignment wrapText="1"/>
    </xf>
    <xf numFmtId="3" fontId="20" fillId="0" borderId="61" xfId="109" applyNumberFormat="1" applyFont="1" applyBorder="1" applyAlignment="1">
      <alignment horizontal="right"/>
    </xf>
    <xf numFmtId="3" fontId="20" fillId="0" borderId="19" xfId="78" applyNumberFormat="1" applyFont="1" applyBorder="1" applyAlignment="1">
      <alignment horizontal="right" wrapText="1"/>
    </xf>
    <xf numFmtId="0" fontId="0" fillId="0" borderId="37" xfId="107" applyFont="1" applyBorder="1"/>
    <xf numFmtId="0" fontId="26" fillId="0" borderId="0" xfId="119" applyFont="1"/>
    <xf numFmtId="0" fontId="20" fillId="0" borderId="62" xfId="119" applyFont="1" applyBorder="1" applyAlignment="1">
      <alignment wrapText="1"/>
    </xf>
    <xf numFmtId="0" fontId="25" fillId="0" borderId="48" xfId="119" applyFont="1" applyBorder="1" applyAlignment="1">
      <alignment wrapText="1"/>
    </xf>
    <xf numFmtId="0" fontId="25" fillId="0" borderId="17" xfId="118" applyFont="1" applyFill="1" applyBorder="1" applyAlignment="1">
      <alignment horizontal="left" vertical="center" wrapText="1"/>
    </xf>
    <xf numFmtId="0" fontId="26" fillId="0" borderId="0" xfId="116" applyFont="1" applyFill="1" applyAlignment="1">
      <alignment wrapText="1"/>
    </xf>
    <xf numFmtId="0" fontId="26" fillId="0" borderId="58" xfId="116" applyFont="1" applyBorder="1" applyAlignment="1">
      <alignment wrapText="1"/>
    </xf>
    <xf numFmtId="0" fontId="26" fillId="0" borderId="58" xfId="116" applyFont="1" applyFill="1" applyBorder="1" applyAlignment="1">
      <alignment wrapText="1"/>
    </xf>
    <xf numFmtId="0" fontId="26" fillId="0" borderId="58" xfId="109" applyFont="1" applyFill="1" applyBorder="1" applyAlignment="1">
      <alignment wrapText="1"/>
    </xf>
    <xf numFmtId="0" fontId="26" fillId="0" borderId="59" xfId="116" applyFont="1" applyFill="1" applyBorder="1" applyAlignment="1">
      <alignment wrapText="1"/>
    </xf>
    <xf numFmtId="0" fontId="26" fillId="0" borderId="48" xfId="116" applyFont="1" applyFill="1" applyBorder="1" applyAlignment="1">
      <alignment wrapText="1"/>
    </xf>
    <xf numFmtId="0" fontId="26" fillId="0" borderId="16" xfId="116" applyFont="1" applyBorder="1" applyAlignment="1">
      <alignment wrapText="1"/>
    </xf>
    <xf numFmtId="0" fontId="26" fillId="0" borderId="44" xfId="116" applyFont="1" applyFill="1" applyBorder="1" applyAlignment="1">
      <alignment wrapText="1"/>
    </xf>
    <xf numFmtId="0" fontId="26" fillId="0" borderId="44" xfId="109" applyFont="1" applyFill="1" applyBorder="1" applyAlignment="1">
      <alignment wrapText="1"/>
    </xf>
    <xf numFmtId="0" fontId="26" fillId="0" borderId="17" xfId="109" applyFont="1" applyFill="1" applyBorder="1" applyAlignment="1">
      <alignment wrapText="1"/>
    </xf>
    <xf numFmtId="0" fontId="26" fillId="0" borderId="15" xfId="116" applyFont="1" applyFill="1" applyBorder="1" applyAlignment="1">
      <alignment wrapText="1"/>
    </xf>
    <xf numFmtId="3" fontId="26" fillId="0" borderId="0" xfId="116" applyNumberFormat="1" applyFont="1" applyFill="1" applyAlignment="1">
      <alignment horizontal="right"/>
    </xf>
    <xf numFmtId="3" fontId="37" fillId="0" borderId="0" xfId="116" applyNumberFormat="1" applyFont="1" applyFill="1" applyAlignment="1">
      <alignment horizontal="right"/>
    </xf>
    <xf numFmtId="0" fontId="26" fillId="0" borderId="58" xfId="0" applyFont="1" applyBorder="1"/>
    <xf numFmtId="0" fontId="26" fillId="0" borderId="63" xfId="119" applyFont="1" applyFill="1" applyBorder="1" applyAlignment="1">
      <alignment horizontal="left" vertical="center" wrapText="1"/>
    </xf>
    <xf numFmtId="3" fontId="25" fillId="0" borderId="0" xfId="119" applyNumberFormat="1" applyFont="1" applyFill="1" applyBorder="1" applyAlignment="1">
      <alignment horizontal="right"/>
    </xf>
    <xf numFmtId="3" fontId="26" fillId="0" borderId="28" xfId="119" applyNumberFormat="1" applyFont="1" applyBorder="1"/>
    <xf numFmtId="0" fontId="25" fillId="0" borderId="28" xfId="119" applyFont="1" applyBorder="1"/>
    <xf numFmtId="0" fontId="26" fillId="0" borderId="28" xfId="119" applyFont="1" applyBorder="1"/>
    <xf numFmtId="4" fontId="20" fillId="29" borderId="64" xfId="119" applyNumberFormat="1" applyFont="1" applyFill="1" applyBorder="1" applyAlignment="1">
      <alignment horizontal="right" wrapText="1"/>
    </xf>
    <xf numFmtId="0" fontId="20" fillId="0" borderId="28" xfId="119" applyFont="1" applyBorder="1"/>
    <xf numFmtId="0" fontId="20" fillId="0" borderId="28" xfId="119" applyFont="1" applyFill="1" applyBorder="1"/>
    <xf numFmtId="3" fontId="20" fillId="0" borderId="28" xfId="119" applyNumberFormat="1" applyFont="1" applyBorder="1"/>
    <xf numFmtId="3" fontId="20" fillId="0" borderId="31" xfId="119" applyNumberFormat="1" applyFont="1" applyBorder="1" applyAlignment="1">
      <alignment horizontal="right"/>
    </xf>
    <xf numFmtId="3" fontId="20" fillId="0" borderId="28" xfId="119" applyNumberFormat="1" applyFont="1" applyFill="1" applyBorder="1"/>
    <xf numFmtId="3" fontId="26" fillId="0" borderId="28" xfId="105" applyNumberFormat="1" applyFont="1" applyFill="1" applyBorder="1" applyAlignment="1">
      <alignment horizontal="right"/>
    </xf>
    <xf numFmtId="0" fontId="26" fillId="0" borderId="17" xfId="116" applyFont="1" applyBorder="1" applyAlignment="1">
      <alignment wrapText="1"/>
    </xf>
    <xf numFmtId="3" fontId="25" fillId="0" borderId="65" xfId="105" applyNumberFormat="1" applyFont="1" applyBorder="1" applyAlignment="1">
      <alignment horizontal="right"/>
    </xf>
    <xf numFmtId="0" fontId="20" fillId="0" borderId="66" xfId="109" applyFont="1" applyBorder="1" applyAlignment="1">
      <alignment wrapText="1"/>
    </xf>
    <xf numFmtId="0" fontId="20" fillId="0" borderId="0" xfId="110" applyFont="1" applyBorder="1"/>
    <xf numFmtId="0" fontId="20" fillId="0" borderId="0" xfId="110" applyNumberFormat="1" applyFont="1" applyBorder="1"/>
    <xf numFmtId="2" fontId="20" fillId="0" borderId="0" xfId="110" applyNumberFormat="1" applyFont="1" applyBorder="1"/>
    <xf numFmtId="0" fontId="20" fillId="0" borderId="0" xfId="110" applyFont="1" applyFill="1" applyBorder="1"/>
    <xf numFmtId="0" fontId="21" fillId="0" borderId="67" xfId="110" applyFont="1" applyFill="1" applyBorder="1"/>
    <xf numFmtId="2" fontId="21" fillId="0" borderId="67" xfId="110" applyNumberFormat="1" applyFont="1" applyFill="1" applyBorder="1"/>
    <xf numFmtId="3" fontId="21" fillId="0" borderId="67" xfId="110" applyNumberFormat="1" applyFont="1" applyFill="1" applyBorder="1"/>
    <xf numFmtId="0" fontId="25" fillId="0" borderId="49" xfId="109" applyFont="1" applyFill="1" applyBorder="1" applyAlignment="1">
      <alignment horizontal="center" vertical="center" wrapText="1"/>
    </xf>
    <xf numFmtId="3" fontId="22" fillId="0" borderId="0" xfId="0" applyNumberFormat="1" applyFont="1"/>
    <xf numFmtId="3" fontId="20" fillId="0" borderId="30" xfId="119" applyNumberFormat="1" applyFont="1" applyBorder="1" applyAlignment="1">
      <alignment horizontal="right"/>
    </xf>
    <xf numFmtId="3" fontId="20" fillId="0" borderId="65" xfId="119" applyNumberFormat="1" applyFont="1" applyBorder="1" applyAlignment="1">
      <alignment horizontal="right"/>
    </xf>
    <xf numFmtId="3" fontId="20" fillId="0" borderId="30" xfId="119" applyNumberFormat="1" applyFont="1" applyBorder="1"/>
    <xf numFmtId="3" fontId="20" fillId="0" borderId="31" xfId="119" applyNumberFormat="1" applyFont="1" applyBorder="1"/>
    <xf numFmtId="3" fontId="20" fillId="0" borderId="65" xfId="119" applyNumberFormat="1" applyFont="1" applyBorder="1"/>
    <xf numFmtId="0" fontId="20" fillId="29" borderId="65" xfId="119" applyFont="1" applyFill="1" applyBorder="1"/>
    <xf numFmtId="3" fontId="21" fillId="0" borderId="68" xfId="119" applyNumberFormat="1" applyFont="1" applyBorder="1"/>
    <xf numFmtId="0" fontId="25" fillId="0" borderId="70" xfId="109" applyFont="1" applyFill="1" applyBorder="1" applyAlignment="1">
      <alignment horizontal="left" vertical="center" wrapText="1"/>
    </xf>
    <xf numFmtId="0" fontId="26" fillId="0" borderId="16" xfId="109" applyFont="1" applyFill="1" applyBorder="1" applyAlignment="1">
      <alignment horizontal="left" vertical="center" wrapText="1"/>
    </xf>
    <xf numFmtId="0" fontId="26" fillId="0" borderId="16" xfId="109" applyFont="1" applyBorder="1" applyAlignment="1">
      <alignment wrapText="1"/>
    </xf>
    <xf numFmtId="3" fontId="26" fillId="0" borderId="20" xfId="105" applyNumberFormat="1" applyFont="1" applyFill="1" applyBorder="1" applyAlignment="1">
      <alignment horizontal="right"/>
    </xf>
    <xf numFmtId="3" fontId="25" fillId="0" borderId="70" xfId="105" applyNumberFormat="1" applyFont="1" applyBorder="1" applyAlignment="1">
      <alignment wrapText="1"/>
    </xf>
    <xf numFmtId="0" fontId="21" fillId="0" borderId="19" xfId="110" applyFont="1" applyBorder="1"/>
    <xf numFmtId="165" fontId="21" fillId="29" borderId="19" xfId="110" applyNumberFormat="1" applyFont="1" applyFill="1" applyBorder="1"/>
    <xf numFmtId="0" fontId="21" fillId="0" borderId="20" xfId="112" applyFont="1" applyFill="1" applyBorder="1"/>
    <xf numFmtId="0" fontId="21" fillId="0" borderId="20" xfId="0" applyFont="1" applyBorder="1"/>
    <xf numFmtId="0" fontId="23" fillId="0" borderId="20" xfId="110" applyFont="1" applyFill="1" applyBorder="1"/>
    <xf numFmtId="3" fontId="21" fillId="0" borderId="20" xfId="110" applyNumberFormat="1" applyFont="1" applyFill="1" applyBorder="1"/>
    <xf numFmtId="3" fontId="20" fillId="0" borderId="20" xfId="110" applyNumberFormat="1" applyFont="1" applyFill="1" applyBorder="1"/>
    <xf numFmtId="0" fontId="21" fillId="0" borderId="29" xfId="110" applyFont="1" applyFill="1" applyBorder="1"/>
    <xf numFmtId="0" fontId="20" fillId="0" borderId="22" xfId="110" applyFont="1" applyBorder="1"/>
    <xf numFmtId="3" fontId="21" fillId="0" borderId="47" xfId="110" applyNumberFormat="1" applyFont="1" applyBorder="1"/>
    <xf numFmtId="0" fontId="28" fillId="29" borderId="18" xfId="118" applyFont="1" applyFill="1" applyBorder="1" applyAlignment="1">
      <alignment wrapText="1"/>
    </xf>
    <xf numFmtId="0" fontId="21" fillId="29" borderId="71" xfId="119" applyFont="1" applyFill="1" applyBorder="1" applyAlignment="1">
      <alignment vertical="center"/>
    </xf>
    <xf numFmtId="0" fontId="21" fillId="0" borderId="45" xfId="109" applyFont="1" applyBorder="1" applyAlignment="1">
      <alignment horizontal="center" vertical="center" wrapText="1"/>
    </xf>
    <xf numFmtId="3" fontId="20" fillId="0" borderId="26" xfId="119" applyNumberFormat="1" applyFont="1" applyBorder="1" applyAlignment="1">
      <alignment horizontal="right"/>
    </xf>
    <xf numFmtId="3" fontId="20" fillId="0" borderId="57" xfId="119" applyNumberFormat="1" applyFont="1" applyBorder="1" applyAlignment="1">
      <alignment horizontal="right"/>
    </xf>
    <xf numFmtId="3" fontId="21" fillId="0" borderId="72" xfId="119" applyNumberFormat="1" applyFont="1" applyBorder="1"/>
    <xf numFmtId="3" fontId="20" fillId="0" borderId="0" xfId="119" applyNumberFormat="1" applyFont="1" applyBorder="1" applyAlignment="1">
      <alignment horizontal="right"/>
    </xf>
    <xf numFmtId="3" fontId="20" fillId="0" borderId="73" xfId="119" applyNumberFormat="1" applyFont="1" applyBorder="1" applyAlignment="1">
      <alignment horizontal="right"/>
    </xf>
    <xf numFmtId="3" fontId="26" fillId="0" borderId="74" xfId="105" applyNumberFormat="1" applyFont="1" applyFill="1" applyBorder="1" applyAlignment="1">
      <alignment wrapText="1"/>
    </xf>
    <xf numFmtId="3" fontId="25" fillId="0" borderId="72" xfId="105" applyNumberFormat="1" applyFont="1" applyBorder="1" applyAlignment="1">
      <alignment horizontal="right"/>
    </xf>
    <xf numFmtId="3" fontId="25" fillId="0" borderId="19" xfId="105" applyNumberFormat="1" applyFont="1" applyFill="1" applyBorder="1" applyAlignment="1">
      <alignment horizontal="right"/>
    </xf>
    <xf numFmtId="0" fontId="20" fillId="0" borderId="75" xfId="109" applyFont="1" applyBorder="1" applyAlignment="1">
      <alignment wrapText="1"/>
    </xf>
    <xf numFmtId="0" fontId="20" fillId="0" borderId="76" xfId="109" applyFont="1" applyBorder="1" applyAlignment="1">
      <alignment wrapText="1"/>
    </xf>
    <xf numFmtId="164" fontId="20" fillId="0" borderId="76" xfId="109" applyNumberFormat="1" applyFont="1" applyBorder="1" applyAlignment="1">
      <alignment wrapText="1"/>
    </xf>
    <xf numFmtId="0" fontId="21" fillId="0" borderId="11" xfId="109" applyFont="1" applyBorder="1" applyAlignment="1">
      <alignment wrapText="1"/>
    </xf>
    <xf numFmtId="0" fontId="21" fillId="0" borderId="76" xfId="109" applyFont="1" applyBorder="1" applyAlignment="1">
      <alignment wrapText="1"/>
    </xf>
    <xf numFmtId="0" fontId="21" fillId="0" borderId="77" xfId="109" applyFont="1" applyBorder="1" applyAlignment="1">
      <alignment wrapText="1"/>
    </xf>
    <xf numFmtId="0" fontId="20" fillId="0" borderId="76" xfId="109" applyFont="1" applyFill="1" applyBorder="1" applyAlignment="1">
      <alignment wrapText="1"/>
    </xf>
    <xf numFmtId="0" fontId="20" fillId="0" borderId="78" xfId="109" applyFont="1" applyBorder="1" applyAlignment="1">
      <alignment wrapText="1"/>
    </xf>
    <xf numFmtId="3" fontId="28" fillId="29" borderId="22" xfId="119" applyNumberFormat="1" applyFont="1" applyFill="1" applyBorder="1" applyAlignment="1">
      <alignment horizontal="right" wrapText="1"/>
    </xf>
    <xf numFmtId="3" fontId="33" fillId="29" borderId="0" xfId="119" applyNumberFormat="1" applyFont="1" applyFill="1" applyBorder="1"/>
    <xf numFmtId="0" fontId="39" fillId="29" borderId="0" xfId="119" applyFont="1" applyFill="1" applyBorder="1"/>
    <xf numFmtId="3" fontId="22" fillId="29" borderId="0" xfId="119" applyNumberFormat="1" applyFont="1" applyFill="1" applyBorder="1"/>
    <xf numFmtId="3" fontId="22" fillId="29" borderId="0" xfId="119" applyNumberFormat="1" applyFont="1" applyFill="1" applyBorder="1" applyAlignment="1">
      <alignment vertical="center"/>
    </xf>
    <xf numFmtId="0" fontId="28" fillId="29" borderId="0" xfId="119" applyFont="1" applyFill="1" applyBorder="1" applyAlignment="1">
      <alignment vertical="center" wrapText="1"/>
    </xf>
    <xf numFmtId="0" fontId="28" fillId="29" borderId="0" xfId="119" applyFont="1" applyFill="1" applyBorder="1" applyAlignment="1">
      <alignment vertical="center"/>
    </xf>
    <xf numFmtId="3" fontId="28" fillId="29" borderId="0" xfId="119" applyNumberFormat="1" applyFont="1" applyFill="1" applyBorder="1" applyAlignment="1">
      <alignment vertical="center"/>
    </xf>
    <xf numFmtId="0" fontId="22" fillId="29" borderId="0" xfId="119" applyFont="1" applyFill="1" applyBorder="1" applyAlignment="1">
      <alignment vertical="center"/>
    </xf>
    <xf numFmtId="3" fontId="22" fillId="29" borderId="0" xfId="119" applyNumberFormat="1" applyFont="1" applyFill="1" applyBorder="1" applyAlignment="1">
      <alignment horizontal="right" wrapText="1"/>
    </xf>
    <xf numFmtId="0" fontId="26" fillId="0" borderId="58" xfId="119" applyFont="1" applyFill="1" applyBorder="1" applyAlignment="1">
      <alignment wrapText="1"/>
    </xf>
    <xf numFmtId="3" fontId="26" fillId="30" borderId="58" xfId="98" applyNumberFormat="1" applyFont="1" applyFill="1" applyBorder="1" applyAlignment="1">
      <alignment wrapText="1"/>
    </xf>
    <xf numFmtId="3" fontId="26" fillId="0" borderId="58" xfId="98" applyNumberFormat="1" applyFont="1" applyBorder="1" applyAlignment="1">
      <alignment wrapText="1"/>
    </xf>
    <xf numFmtId="0" fontId="26" fillId="0" borderId="16" xfId="116" applyFont="1" applyFill="1" applyBorder="1" applyAlignment="1">
      <alignment wrapText="1"/>
    </xf>
    <xf numFmtId="0" fontId="26" fillId="30" borderId="58" xfId="0" applyFont="1" applyFill="1" applyBorder="1" applyAlignment="1">
      <alignment wrapText="1"/>
    </xf>
    <xf numFmtId="0" fontId="26" fillId="0" borderId="17" xfId="109" applyFont="1" applyFill="1" applyBorder="1" applyAlignment="1">
      <alignment horizontal="left" vertical="center" wrapText="1"/>
    </xf>
    <xf numFmtId="0" fontId="26" fillId="0" borderId="34" xfId="106" applyFont="1" applyFill="1" applyBorder="1" applyAlignment="1">
      <alignment horizontal="left" vertical="center" wrapText="1"/>
    </xf>
    <xf numFmtId="3" fontId="26" fillId="0" borderId="58" xfId="98" applyNumberFormat="1" applyFont="1" applyFill="1" applyBorder="1" applyAlignment="1">
      <alignment wrapText="1"/>
    </xf>
    <xf numFmtId="0" fontId="26" fillId="0" borderId="58" xfId="0" applyFont="1" applyFill="1" applyBorder="1"/>
    <xf numFmtId="0" fontId="25" fillId="0" borderId="17" xfId="109" applyFont="1" applyBorder="1" applyAlignment="1">
      <alignment wrapText="1"/>
    </xf>
    <xf numFmtId="0" fontId="25" fillId="0" borderId="16" xfId="109" applyFont="1" applyFill="1" applyBorder="1" applyAlignment="1">
      <alignment wrapText="1"/>
    </xf>
    <xf numFmtId="0" fontId="25" fillId="0" borderId="16" xfId="109" applyFont="1" applyBorder="1" applyAlignment="1">
      <alignment wrapText="1"/>
    </xf>
    <xf numFmtId="3" fontId="25" fillId="0" borderId="79" xfId="105" applyNumberFormat="1" applyFont="1" applyBorder="1" applyAlignment="1">
      <alignment horizontal="right"/>
    </xf>
    <xf numFmtId="3" fontId="26" fillId="0" borderId="27" xfId="119" applyNumberFormat="1" applyFont="1" applyBorder="1"/>
    <xf numFmtId="3" fontId="25" fillId="0" borderId="27" xfId="119" applyNumberFormat="1" applyFont="1" applyBorder="1"/>
    <xf numFmtId="3" fontId="26" fillId="0" borderId="22" xfId="119" applyNumberFormat="1" applyFont="1" applyBorder="1"/>
    <xf numFmtId="0" fontId="22" fillId="29" borderId="45" xfId="119" applyFont="1" applyFill="1" applyBorder="1" applyAlignment="1">
      <alignment horizontal="center" vertical="center" wrapText="1"/>
    </xf>
    <xf numFmtId="0" fontId="20" fillId="29" borderId="80" xfId="119" applyFont="1" applyFill="1" applyBorder="1"/>
    <xf numFmtId="0" fontId="22" fillId="29" borderId="81" xfId="118" applyFont="1" applyFill="1" applyBorder="1" applyAlignment="1">
      <alignment wrapText="1"/>
    </xf>
    <xf numFmtId="0" fontId="28" fillId="29" borderId="37" xfId="118" applyFont="1" applyFill="1" applyBorder="1" applyAlignment="1">
      <alignment wrapText="1"/>
    </xf>
    <xf numFmtId="0" fontId="22" fillId="29" borderId="37" xfId="118" applyFont="1" applyFill="1" applyBorder="1" applyAlignment="1">
      <alignment wrapText="1"/>
    </xf>
    <xf numFmtId="0" fontId="22" fillId="29" borderId="37" xfId="119" applyFont="1" applyFill="1" applyBorder="1" applyAlignment="1">
      <alignment wrapText="1"/>
    </xf>
    <xf numFmtId="0" fontId="28" fillId="29" borderId="52" xfId="119" applyFont="1" applyFill="1" applyBorder="1" applyAlignment="1">
      <alignment wrapText="1"/>
    </xf>
    <xf numFmtId="0" fontId="28" fillId="29" borderId="37" xfId="119" applyFont="1" applyFill="1" applyBorder="1" applyAlignment="1">
      <alignment wrapText="1"/>
    </xf>
    <xf numFmtId="164" fontId="28" fillId="29" borderId="37" xfId="119" applyNumberFormat="1" applyFont="1" applyFill="1" applyBorder="1" applyAlignment="1">
      <alignment wrapText="1"/>
    </xf>
    <xf numFmtId="164" fontId="28" fillId="29" borderId="52" xfId="119" applyNumberFormat="1" applyFont="1" applyFill="1" applyBorder="1" applyAlignment="1">
      <alignment wrapText="1"/>
    </xf>
    <xf numFmtId="0" fontId="28" fillId="29" borderId="37" xfId="118" applyFont="1" applyFill="1" applyBorder="1" applyAlignment="1">
      <alignment horizontal="left" wrapText="1"/>
    </xf>
    <xf numFmtId="0" fontId="22" fillId="0" borderId="37" xfId="119" applyFont="1" applyBorder="1"/>
    <xf numFmtId="0" fontId="28" fillId="0" borderId="37" xfId="119" applyFont="1" applyBorder="1"/>
    <xf numFmtId="0" fontId="28" fillId="0" borderId="82" xfId="119" applyFont="1" applyBorder="1"/>
    <xf numFmtId="3" fontId="22" fillId="29" borderId="27" xfId="119" applyNumberFormat="1" applyFont="1" applyFill="1" applyBorder="1" applyAlignment="1">
      <alignment horizontal="right" wrapText="1"/>
    </xf>
    <xf numFmtId="3" fontId="28" fillId="29" borderId="27" xfId="119" applyNumberFormat="1" applyFont="1" applyFill="1" applyBorder="1" applyAlignment="1">
      <alignment horizontal="right" wrapText="1"/>
    </xf>
    <xf numFmtId="3" fontId="28" fillId="29" borderId="47" xfId="119" applyNumberFormat="1" applyFont="1" applyFill="1" applyBorder="1" applyAlignment="1">
      <alignment horizontal="right" wrapText="1"/>
    </xf>
    <xf numFmtId="3" fontId="33" fillId="29" borderId="27" xfId="119" applyNumberFormat="1" applyFont="1" applyFill="1" applyBorder="1" applyAlignment="1">
      <alignment horizontal="right" wrapText="1"/>
    </xf>
    <xf numFmtId="3" fontId="26" fillId="0" borderId="83" xfId="119" applyNumberFormat="1" applyFont="1" applyBorder="1"/>
    <xf numFmtId="3" fontId="21" fillId="29" borderId="27" xfId="110" applyNumberFormat="1" applyFont="1" applyFill="1" applyBorder="1" applyAlignment="1">
      <alignment horizontal="right"/>
    </xf>
    <xf numFmtId="3" fontId="21" fillId="0" borderId="27" xfId="0" applyNumberFormat="1" applyFont="1" applyBorder="1" applyAlignment="1">
      <alignment horizontal="right"/>
    </xf>
    <xf numFmtId="3" fontId="20" fillId="0" borderId="27" xfId="110" applyNumberFormat="1" applyFont="1" applyBorder="1"/>
    <xf numFmtId="3" fontId="21" fillId="29" borderId="27" xfId="110" applyNumberFormat="1" applyFont="1" applyFill="1" applyBorder="1"/>
    <xf numFmtId="166" fontId="20" fillId="0" borderId="19" xfId="110" applyNumberFormat="1" applyFont="1" applyFill="1" applyBorder="1"/>
    <xf numFmtId="0" fontId="0" fillId="0" borderId="20" xfId="0" applyFont="1" applyBorder="1"/>
    <xf numFmtId="3" fontId="21" fillId="0" borderId="29" xfId="119" applyNumberFormat="1" applyFont="1" applyBorder="1"/>
    <xf numFmtId="3" fontId="21" fillId="0" borderId="22" xfId="119" applyNumberFormat="1" applyFont="1" applyBorder="1"/>
    <xf numFmtId="3" fontId="22" fillId="29" borderId="61" xfId="119" applyNumberFormat="1" applyFont="1" applyFill="1" applyBorder="1" applyAlignment="1">
      <alignment horizontal="right" wrapText="1"/>
    </xf>
    <xf numFmtId="3" fontId="33" fillId="29" borderId="27" xfId="119" applyNumberFormat="1" applyFont="1" applyFill="1" applyBorder="1"/>
    <xf numFmtId="3" fontId="28" fillId="29" borderId="27" xfId="119" applyNumberFormat="1" applyFont="1" applyFill="1" applyBorder="1"/>
    <xf numFmtId="3" fontId="22" fillId="29" borderId="47" xfId="119" applyNumberFormat="1" applyFont="1" applyFill="1" applyBorder="1"/>
    <xf numFmtId="3" fontId="28" fillId="29" borderId="58" xfId="119" applyNumberFormat="1" applyFont="1" applyFill="1" applyBorder="1" applyAlignment="1">
      <alignment horizontal="right" wrapText="1"/>
    </xf>
    <xf numFmtId="3" fontId="22" fillId="29" borderId="27" xfId="119" applyNumberFormat="1" applyFont="1" applyFill="1" applyBorder="1"/>
    <xf numFmtId="4" fontId="28" fillId="29" borderId="47" xfId="119" applyNumberFormat="1" applyFont="1" applyFill="1" applyBorder="1" applyAlignment="1">
      <alignment horizontal="right" wrapText="1"/>
    </xf>
    <xf numFmtId="3" fontId="20" fillId="0" borderId="85" xfId="119" applyNumberFormat="1" applyFont="1" applyBorder="1" applyAlignment="1">
      <alignment horizontal="right"/>
    </xf>
    <xf numFmtId="3" fontId="21" fillId="0" borderId="79" xfId="119" applyNumberFormat="1" applyFont="1" applyBorder="1"/>
    <xf numFmtId="0" fontId="21" fillId="0" borderId="86" xfId="119" applyFont="1" applyBorder="1"/>
    <xf numFmtId="3" fontId="21" fillId="0" borderId="88" xfId="119" applyNumberFormat="1" applyFont="1" applyBorder="1"/>
    <xf numFmtId="0" fontId="26" fillId="0" borderId="63" xfId="109" applyFont="1" applyFill="1" applyBorder="1" applyAlignment="1">
      <alignment horizontal="left" wrapText="1"/>
    </xf>
    <xf numFmtId="3" fontId="26" fillId="30" borderId="63" xfId="98" applyNumberFormat="1" applyFont="1" applyFill="1" applyBorder="1" applyAlignment="1">
      <alignment wrapText="1"/>
    </xf>
    <xf numFmtId="0" fontId="26" fillId="0" borderId="33" xfId="109" applyFont="1" applyFill="1" applyBorder="1" applyAlignment="1">
      <alignment horizontal="left" wrapText="1"/>
    </xf>
    <xf numFmtId="0" fontId="26" fillId="0" borderId="17" xfId="106" applyFont="1" applyFill="1" applyBorder="1" applyAlignment="1">
      <alignment horizontal="left" vertical="center" wrapText="1"/>
    </xf>
    <xf numFmtId="0" fontId="26" fillId="0" borderId="60" xfId="106" applyFont="1" applyFill="1" applyBorder="1" applyAlignment="1">
      <alignment horizontal="left" vertical="center" wrapText="1"/>
    </xf>
    <xf numFmtId="3" fontId="20" fillId="0" borderId="27" xfId="119" applyNumberFormat="1" applyFont="1" applyBorder="1"/>
    <xf numFmtId="0" fontId="0" fillId="0" borderId="37" xfId="119" applyFont="1" applyBorder="1"/>
    <xf numFmtId="3" fontId="28" fillId="29" borderId="47" xfId="119" applyNumberFormat="1" applyFont="1" applyFill="1" applyBorder="1"/>
    <xf numFmtId="0" fontId="20" fillId="0" borderId="29" xfId="0" applyFont="1" applyBorder="1" applyAlignment="1">
      <alignment wrapText="1"/>
    </xf>
    <xf numFmtId="3" fontId="20" fillId="29" borderId="22" xfId="110" applyNumberFormat="1" applyFont="1" applyFill="1" applyBorder="1"/>
    <xf numFmtId="3" fontId="20" fillId="0" borderId="47" xfId="110" applyNumberFormat="1" applyFont="1" applyBorder="1"/>
    <xf numFmtId="0" fontId="20" fillId="0" borderId="58" xfId="110" applyFont="1" applyFill="1" applyBorder="1" applyAlignment="1">
      <alignment horizontal="center"/>
    </xf>
    <xf numFmtId="0" fontId="21" fillId="0" borderId="58" xfId="110" applyFont="1" applyFill="1" applyBorder="1" applyAlignment="1">
      <alignment horizontal="center"/>
    </xf>
    <xf numFmtId="0" fontId="20" fillId="0" borderId="63" xfId="110" applyFont="1" applyFill="1" applyBorder="1" applyAlignment="1">
      <alignment horizontal="center"/>
    </xf>
    <xf numFmtId="0" fontId="21" fillId="0" borderId="58" xfId="110" applyFont="1" applyBorder="1"/>
    <xf numFmtId="0" fontId="20" fillId="0" borderId="58" xfId="110" applyFont="1" applyBorder="1"/>
    <xf numFmtId="0" fontId="21" fillId="0" borderId="58" xfId="110" applyFont="1" applyFill="1" applyBorder="1" applyAlignment="1">
      <alignment horizontal="center" wrapText="1"/>
    </xf>
    <xf numFmtId="0" fontId="20" fillId="0" borderId="59" xfId="110" applyFont="1" applyBorder="1"/>
    <xf numFmtId="3" fontId="20" fillId="0" borderId="89" xfId="119" applyNumberFormat="1" applyFont="1" applyBorder="1" applyAlignment="1">
      <alignment horizontal="right"/>
    </xf>
    <xf numFmtId="3" fontId="20" fillId="0" borderId="90" xfId="119" applyNumberFormat="1" applyFont="1" applyBorder="1" applyAlignment="1">
      <alignment horizontal="right"/>
    </xf>
    <xf numFmtId="3" fontId="20" fillId="0" borderId="91" xfId="119" applyNumberFormat="1" applyFont="1" applyBorder="1"/>
    <xf numFmtId="3" fontId="20" fillId="0" borderId="92" xfId="119" applyNumberFormat="1" applyFont="1" applyBorder="1"/>
    <xf numFmtId="3" fontId="20" fillId="0" borderId="15" xfId="119" applyNumberFormat="1" applyFont="1" applyBorder="1"/>
    <xf numFmtId="3" fontId="20" fillId="0" borderId="93" xfId="119" applyNumberFormat="1" applyFont="1" applyBorder="1" applyAlignment="1">
      <alignment horizontal="right"/>
    </xf>
    <xf numFmtId="3" fontId="20" fillId="0" borderId="94" xfId="119" applyNumberFormat="1" applyFont="1" applyBorder="1" applyAlignment="1">
      <alignment horizontal="right"/>
    </xf>
    <xf numFmtId="0" fontId="20" fillId="0" borderId="86" xfId="119" applyFont="1" applyBorder="1" applyAlignment="1">
      <alignment wrapText="1"/>
    </xf>
    <xf numFmtId="3" fontId="20" fillId="0" borderId="46" xfId="119" applyNumberFormat="1" applyFont="1" applyBorder="1" applyAlignment="1">
      <alignment horizontal="right"/>
    </xf>
    <xf numFmtId="0" fontId="20" fillId="0" borderId="96" xfId="109" applyFont="1" applyBorder="1" applyAlignment="1">
      <alignment horizontal="right"/>
    </xf>
    <xf numFmtId="0" fontId="20" fillId="0" borderId="97" xfId="109" applyFont="1" applyBorder="1" applyAlignment="1">
      <alignment horizontal="right"/>
    </xf>
    <xf numFmtId="0" fontId="20" fillId="0" borderId="98" xfId="109" applyFont="1" applyBorder="1" applyAlignment="1">
      <alignment horizontal="right"/>
    </xf>
    <xf numFmtId="0" fontId="21" fillId="0" borderId="82" xfId="119" applyFont="1" applyBorder="1" applyAlignment="1">
      <alignment wrapText="1"/>
    </xf>
    <xf numFmtId="3" fontId="21" fillId="0" borderId="99" xfId="119" applyNumberFormat="1" applyFont="1" applyBorder="1"/>
    <xf numFmtId="3" fontId="21" fillId="0" borderId="100" xfId="119" applyNumberFormat="1" applyFont="1" applyBorder="1"/>
    <xf numFmtId="3" fontId="21" fillId="0" borderId="101" xfId="119" applyNumberFormat="1" applyFont="1" applyBorder="1"/>
    <xf numFmtId="0" fontId="25" fillId="0" borderId="45" xfId="109" applyFont="1" applyFill="1" applyBorder="1" applyAlignment="1">
      <alignment horizontal="center" vertical="center" wrapText="1"/>
    </xf>
    <xf numFmtId="0" fontId="25" fillId="0" borderId="102" xfId="119" applyFont="1" applyBorder="1" applyAlignment="1">
      <alignment horizontal="center" vertical="center" wrapText="1"/>
    </xf>
    <xf numFmtId="3" fontId="20" fillId="0" borderId="38" xfId="119" applyNumberFormat="1" applyFont="1" applyBorder="1" applyAlignment="1">
      <alignment horizontal="right"/>
    </xf>
    <xf numFmtId="0" fontId="26" fillId="0" borderId="0" xfId="0" applyFont="1"/>
    <xf numFmtId="0" fontId="26" fillId="0" borderId="0" xfId="0" applyFont="1" applyAlignment="1">
      <alignment wrapText="1"/>
    </xf>
    <xf numFmtId="0" fontId="26" fillId="0" borderId="0" xfId="0" applyFont="1" applyFill="1" applyAlignment="1">
      <alignment wrapText="1"/>
    </xf>
    <xf numFmtId="0" fontId="26" fillId="0" borderId="0" xfId="0" applyFont="1" applyFill="1"/>
    <xf numFmtId="0" fontId="28" fillId="0" borderId="0" xfId="0" applyFont="1"/>
    <xf numFmtId="0" fontId="26" fillId="0" borderId="0" xfId="0" applyFont="1" applyFill="1" applyAlignment="1">
      <alignment horizontal="left" wrapText="1"/>
    </xf>
    <xf numFmtId="0" fontId="26" fillId="0" borderId="0" xfId="0" applyFont="1" applyFill="1" applyAlignment="1">
      <alignment horizontal="right"/>
    </xf>
    <xf numFmtId="0" fontId="26" fillId="0" borderId="13" xfId="0" applyFont="1" applyFill="1" applyBorder="1" applyAlignment="1">
      <alignment horizontal="center" wrapText="1"/>
    </xf>
    <xf numFmtId="3" fontId="25" fillId="0" borderId="13" xfId="0" applyNumberFormat="1" applyFont="1" applyFill="1" applyBorder="1" applyAlignment="1">
      <alignment horizontal="left" wrapText="1"/>
    </xf>
    <xf numFmtId="3" fontId="25" fillId="0" borderId="13" xfId="0" applyNumberFormat="1" applyFont="1" applyFill="1" applyBorder="1" applyAlignment="1">
      <alignment horizontal="right" wrapText="1"/>
    </xf>
    <xf numFmtId="3" fontId="25" fillId="0" borderId="10" xfId="0" applyNumberFormat="1" applyFont="1" applyFill="1" applyBorder="1" applyAlignment="1">
      <alignment horizontal="left" wrapText="1"/>
    </xf>
    <xf numFmtId="3" fontId="25" fillId="0" borderId="10" xfId="0" applyNumberFormat="1" applyFont="1" applyFill="1" applyBorder="1" applyAlignment="1">
      <alignment horizontal="right" wrapText="1"/>
    </xf>
    <xf numFmtId="0" fontId="26" fillId="0" borderId="103" xfId="0" applyFont="1" applyFill="1" applyBorder="1" applyAlignment="1">
      <alignment wrapText="1"/>
    </xf>
    <xf numFmtId="3" fontId="26" fillId="0" borderId="103" xfId="0" applyNumberFormat="1" applyFont="1" applyFill="1" applyBorder="1"/>
    <xf numFmtId="3" fontId="26" fillId="0" borderId="10" xfId="0" applyNumberFormat="1" applyFont="1" applyFill="1" applyBorder="1"/>
    <xf numFmtId="3" fontId="28" fillId="0" borderId="0" xfId="0" applyNumberFormat="1" applyFont="1"/>
    <xf numFmtId="0" fontId="26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wrapText="1"/>
    </xf>
    <xf numFmtId="0" fontId="41" fillId="0" borderId="26" xfId="119" applyFont="1" applyFill="1" applyBorder="1"/>
    <xf numFmtId="3" fontId="20" fillId="0" borderId="0" xfId="0" applyNumberFormat="1" applyFont="1"/>
    <xf numFmtId="0" fontId="43" fillId="0" borderId="10" xfId="0" applyFont="1" applyFill="1" applyBorder="1" applyAlignment="1">
      <alignment wrapText="1"/>
    </xf>
    <xf numFmtId="0" fontId="26" fillId="30" borderId="103" xfId="0" applyFont="1" applyFill="1" applyBorder="1" applyAlignment="1">
      <alignment wrapText="1"/>
    </xf>
    <xf numFmtId="3" fontId="26" fillId="30" borderId="10" xfId="0" applyNumberFormat="1" applyFont="1" applyFill="1" applyBorder="1"/>
    <xf numFmtId="0" fontId="26" fillId="30" borderId="10" xfId="0" applyFont="1" applyFill="1" applyBorder="1" applyAlignment="1">
      <alignment wrapText="1"/>
    </xf>
    <xf numFmtId="0" fontId="42" fillId="30" borderId="10" xfId="0" applyFont="1" applyFill="1" applyBorder="1" applyAlignment="1">
      <alignment wrapText="1"/>
    </xf>
    <xf numFmtId="3" fontId="42" fillId="30" borderId="10" xfId="0" applyNumberFormat="1" applyFont="1" applyFill="1" applyBorder="1"/>
    <xf numFmtId="0" fontId="33" fillId="0" borderId="0" xfId="0" applyFont="1"/>
    <xf numFmtId="0" fontId="25" fillId="0" borderId="10" xfId="0" applyFont="1" applyFill="1" applyBorder="1" applyAlignment="1">
      <alignment wrapText="1"/>
    </xf>
    <xf numFmtId="3" fontId="25" fillId="0" borderId="10" xfId="0" applyNumberFormat="1" applyFont="1" applyFill="1" applyBorder="1"/>
    <xf numFmtId="3" fontId="28" fillId="0" borderId="0" xfId="0" applyNumberFormat="1" applyFont="1" applyFill="1"/>
    <xf numFmtId="0" fontId="28" fillId="0" borderId="0" xfId="0" applyFont="1" applyFill="1"/>
    <xf numFmtId="3" fontId="42" fillId="0" borderId="10" xfId="0" applyNumberFormat="1" applyFont="1" applyFill="1" applyBorder="1"/>
    <xf numFmtId="3" fontId="0" fillId="0" borderId="15" xfId="0" applyNumberFormat="1" applyFont="1" applyFill="1" applyBorder="1"/>
    <xf numFmtId="0" fontId="25" fillId="0" borderId="13" xfId="0" applyFont="1" applyFill="1" applyBorder="1" applyAlignment="1">
      <alignment wrapText="1"/>
    </xf>
    <xf numFmtId="3" fontId="25" fillId="0" borderId="13" xfId="0" applyNumberFormat="1" applyFont="1" applyFill="1" applyBorder="1"/>
    <xf numFmtId="0" fontId="28" fillId="0" borderId="0" xfId="0" applyFont="1" applyAlignment="1">
      <alignment wrapText="1"/>
    </xf>
    <xf numFmtId="0" fontId="21" fillId="0" borderId="0" xfId="107" applyFont="1" applyBorder="1" applyAlignment="1">
      <alignment horizontal="center" wrapText="1"/>
    </xf>
    <xf numFmtId="0" fontId="28" fillId="30" borderId="0" xfId="107" applyFont="1" applyFill="1"/>
    <xf numFmtId="0" fontId="45" fillId="0" borderId="0" xfId="107" applyFont="1"/>
    <xf numFmtId="0" fontId="45" fillId="0" borderId="0" xfId="99" applyFont="1"/>
    <xf numFmtId="0" fontId="22" fillId="30" borderId="0" xfId="107" applyFont="1" applyFill="1"/>
    <xf numFmtId="0" fontId="28" fillId="0" borderId="0" xfId="99" applyFont="1"/>
    <xf numFmtId="0" fontId="28" fillId="31" borderId="0" xfId="99" applyFont="1" applyFill="1"/>
    <xf numFmtId="3" fontId="22" fillId="0" borderId="0" xfId="107" applyNumberFormat="1" applyFont="1"/>
    <xf numFmtId="0" fontId="25" fillId="0" borderId="0" xfId="107" applyFont="1"/>
    <xf numFmtId="0" fontId="26" fillId="0" borderId="0" xfId="107" applyFont="1"/>
    <xf numFmtId="3" fontId="26" fillId="0" borderId="0" xfId="107" applyNumberFormat="1" applyFont="1"/>
    <xf numFmtId="0" fontId="26" fillId="30" borderId="0" xfId="107" applyFont="1" applyFill="1"/>
    <xf numFmtId="3" fontId="26" fillId="30" borderId="0" xfId="107" applyNumberFormat="1" applyFont="1" applyFill="1"/>
    <xf numFmtId="3" fontId="37" fillId="0" borderId="0" xfId="107" applyNumberFormat="1" applyFont="1"/>
    <xf numFmtId="0" fontId="21" fillId="0" borderId="21" xfId="109" applyFont="1" applyBorder="1" applyAlignment="1">
      <alignment wrapText="1"/>
    </xf>
    <xf numFmtId="3" fontId="21" fillId="0" borderId="40" xfId="119" applyNumberFormat="1" applyFont="1" applyBorder="1" applyAlignment="1">
      <alignment horizontal="center" vertical="center" wrapText="1"/>
    </xf>
    <xf numFmtId="3" fontId="44" fillId="0" borderId="40" xfId="119" applyNumberFormat="1" applyFont="1" applyBorder="1" applyAlignment="1">
      <alignment horizontal="center" vertical="center" wrapText="1"/>
    </xf>
    <xf numFmtId="3" fontId="44" fillId="0" borderId="104" xfId="119" applyNumberFormat="1" applyFont="1" applyBorder="1" applyAlignment="1">
      <alignment horizontal="center" vertical="center" wrapText="1"/>
    </xf>
    <xf numFmtId="0" fontId="21" fillId="0" borderId="39" xfId="109" applyFont="1" applyBorder="1" applyAlignment="1">
      <alignment wrapText="1"/>
    </xf>
    <xf numFmtId="3" fontId="20" fillId="0" borderId="105" xfId="109" applyNumberFormat="1" applyFont="1" applyBorder="1"/>
    <xf numFmtId="3" fontId="20" fillId="0" borderId="106" xfId="109" applyNumberFormat="1" applyFont="1" applyBorder="1"/>
    <xf numFmtId="0" fontId="20" fillId="0" borderId="107" xfId="109" applyFont="1" applyBorder="1" applyAlignment="1">
      <alignment wrapText="1"/>
    </xf>
    <xf numFmtId="3" fontId="20" fillId="0" borderId="103" xfId="109" applyNumberFormat="1" applyFont="1" applyBorder="1"/>
    <xf numFmtId="0" fontId="20" fillId="29" borderId="108" xfId="119" applyFont="1" applyFill="1" applyBorder="1" applyAlignment="1">
      <alignment wrapText="1"/>
    </xf>
    <xf numFmtId="0" fontId="20" fillId="0" borderId="24" xfId="109" applyFont="1" applyBorder="1" applyAlignment="1">
      <alignment wrapText="1"/>
    </xf>
    <xf numFmtId="3" fontId="20" fillId="0" borderId="10" xfId="109" applyNumberFormat="1" applyFont="1" applyBorder="1"/>
    <xf numFmtId="3" fontId="20" fillId="0" borderId="105" xfId="109" applyNumberFormat="1" applyFont="1" applyBorder="1" applyAlignment="1">
      <alignment wrapText="1"/>
    </xf>
    <xf numFmtId="0" fontId="20" fillId="0" borderId="109" xfId="109" applyFont="1" applyBorder="1" applyAlignment="1">
      <alignment wrapText="1"/>
    </xf>
    <xf numFmtId="0" fontId="20" fillId="0" borderId="108" xfId="109" applyFont="1" applyBorder="1" applyAlignment="1">
      <alignment wrapText="1"/>
    </xf>
    <xf numFmtId="3" fontId="20" fillId="0" borderId="12" xfId="109" applyNumberFormat="1" applyFont="1" applyBorder="1"/>
    <xf numFmtId="0" fontId="20" fillId="29" borderId="108" xfId="118" applyFont="1" applyFill="1" applyBorder="1" applyAlignment="1">
      <alignment wrapText="1"/>
    </xf>
    <xf numFmtId="164" fontId="20" fillId="0" borderId="24" xfId="109" applyNumberFormat="1" applyFont="1" applyBorder="1" applyAlignment="1">
      <alignment wrapText="1"/>
    </xf>
    <xf numFmtId="3" fontId="20" fillId="0" borderId="15" xfId="109" applyNumberFormat="1" applyFont="1" applyBorder="1"/>
    <xf numFmtId="0" fontId="21" fillId="0" borderId="108" xfId="109" applyFont="1" applyBorder="1" applyAlignment="1">
      <alignment wrapText="1"/>
    </xf>
    <xf numFmtId="3" fontId="21" fillId="0" borderId="12" xfId="109" applyNumberFormat="1" applyFont="1" applyBorder="1"/>
    <xf numFmtId="3" fontId="21" fillId="0" borderId="110" xfId="109" applyNumberFormat="1" applyFont="1" applyBorder="1"/>
    <xf numFmtId="0" fontId="21" fillId="0" borderId="25" xfId="109" applyFont="1" applyBorder="1" applyAlignment="1">
      <alignment wrapText="1"/>
    </xf>
    <xf numFmtId="3" fontId="21" fillId="0" borderId="27" xfId="109" applyNumberFormat="1" applyFont="1" applyBorder="1"/>
    <xf numFmtId="0" fontId="21" fillId="0" borderId="24" xfId="109" applyFont="1" applyBorder="1" applyAlignment="1">
      <alignment wrapText="1"/>
    </xf>
    <xf numFmtId="3" fontId="21" fillId="0" borderId="105" xfId="109" applyNumberFormat="1" applyFont="1" applyBorder="1"/>
    <xf numFmtId="3" fontId="21" fillId="0" borderId="106" xfId="109" applyNumberFormat="1" applyFont="1" applyBorder="1"/>
    <xf numFmtId="0" fontId="21" fillId="0" borderId="109" xfId="109" applyFont="1" applyBorder="1" applyAlignment="1">
      <alignment wrapText="1"/>
    </xf>
    <xf numFmtId="3" fontId="21" fillId="0" borderId="10" xfId="109" applyNumberFormat="1" applyFont="1" applyBorder="1"/>
    <xf numFmtId="3" fontId="21" fillId="0" borderId="105" xfId="109" applyNumberFormat="1" applyFont="1" applyBorder="1" applyAlignment="1">
      <alignment wrapText="1"/>
    </xf>
    <xf numFmtId="3" fontId="21" fillId="0" borderId="106" xfId="109" applyNumberFormat="1" applyFont="1" applyBorder="1" applyAlignment="1">
      <alignment wrapText="1"/>
    </xf>
    <xf numFmtId="0" fontId="20" fillId="0" borderId="111" xfId="109" applyFont="1" applyBorder="1" applyAlignment="1">
      <alignment wrapText="1"/>
    </xf>
    <xf numFmtId="3" fontId="21" fillId="0" borderId="15" xfId="109" applyNumberFormat="1" applyFont="1" applyBorder="1"/>
    <xf numFmtId="3" fontId="20" fillId="0" borderId="112" xfId="109" applyNumberFormat="1" applyFont="1" applyBorder="1"/>
    <xf numFmtId="3" fontId="20" fillId="0" borderId="113" xfId="109" applyNumberFormat="1" applyFont="1" applyBorder="1"/>
    <xf numFmtId="164" fontId="20" fillId="0" borderId="108" xfId="109" applyNumberFormat="1" applyFont="1" applyBorder="1" applyAlignment="1">
      <alignment wrapText="1"/>
    </xf>
    <xf numFmtId="3" fontId="20" fillId="0" borderId="19" xfId="109" applyNumberFormat="1" applyFont="1" applyBorder="1" applyAlignment="1">
      <alignment wrapText="1"/>
    </xf>
    <xf numFmtId="3" fontId="20" fillId="0" borderId="114" xfId="109" applyNumberFormat="1" applyFont="1" applyBorder="1"/>
    <xf numFmtId="164" fontId="20" fillId="0" borderId="25" xfId="109" applyNumberFormat="1" applyFont="1" applyBorder="1" applyAlignment="1">
      <alignment wrapText="1"/>
    </xf>
    <xf numFmtId="3" fontId="20" fillId="0" borderId="14" xfId="109" applyNumberFormat="1" applyFont="1" applyBorder="1"/>
    <xf numFmtId="3" fontId="20" fillId="0" borderId="67" xfId="109" applyNumberFormat="1" applyFont="1" applyBorder="1" applyAlignment="1">
      <alignment wrapText="1"/>
    </xf>
    <xf numFmtId="3" fontId="20" fillId="0" borderId="94" xfId="109" applyNumberFormat="1" applyFont="1" applyBorder="1" applyAlignment="1">
      <alignment wrapText="1"/>
    </xf>
    <xf numFmtId="3" fontId="21" fillId="0" borderId="41" xfId="109" applyNumberFormat="1" applyFont="1" applyBorder="1"/>
    <xf numFmtId="3" fontId="21" fillId="0" borderId="104" xfId="109" applyNumberFormat="1" applyFont="1" applyBorder="1"/>
    <xf numFmtId="3" fontId="21" fillId="0" borderId="40" xfId="109" applyNumberFormat="1" applyFont="1" applyBorder="1"/>
    <xf numFmtId="0" fontId="21" fillId="0" borderId="21" xfId="109" applyFont="1" applyBorder="1" applyAlignment="1">
      <alignment horizontal="center" vertical="center" wrapText="1"/>
    </xf>
    <xf numFmtId="0" fontId="21" fillId="0" borderId="115" xfId="109" applyFont="1" applyBorder="1" applyAlignment="1">
      <alignment horizontal="center" vertical="center" wrapText="1"/>
    </xf>
    <xf numFmtId="0" fontId="20" fillId="29" borderId="109" xfId="119" applyFont="1" applyFill="1" applyBorder="1" applyAlignment="1">
      <alignment wrapText="1"/>
    </xf>
    <xf numFmtId="3" fontId="20" fillId="0" borderId="32" xfId="109" applyNumberFormat="1" applyFont="1" applyBorder="1"/>
    <xf numFmtId="0" fontId="20" fillId="0" borderId="30" xfId="109" applyFont="1" applyBorder="1" applyAlignment="1">
      <alignment wrapText="1"/>
    </xf>
    <xf numFmtId="3" fontId="20" fillId="0" borderId="31" xfId="109" applyNumberFormat="1" applyFont="1" applyBorder="1"/>
    <xf numFmtId="3" fontId="20" fillId="0" borderId="61" xfId="109" applyNumberFormat="1" applyFont="1" applyBorder="1"/>
    <xf numFmtId="0" fontId="20" fillId="0" borderId="20" xfId="109" applyFont="1" applyBorder="1" applyAlignment="1">
      <alignment wrapText="1"/>
    </xf>
    <xf numFmtId="3" fontId="20" fillId="0" borderId="19" xfId="109" applyNumberFormat="1" applyFont="1" applyBorder="1"/>
    <xf numFmtId="3" fontId="20" fillId="0" borderId="27" xfId="109" applyNumberFormat="1" applyFont="1" applyBorder="1"/>
    <xf numFmtId="3" fontId="20" fillId="0" borderId="28" xfId="109" applyNumberFormat="1" applyFont="1" applyBorder="1" applyAlignment="1">
      <alignment wrapText="1"/>
    </xf>
    <xf numFmtId="0" fontId="20" fillId="0" borderId="20" xfId="109" applyFont="1" applyFill="1" applyBorder="1" applyAlignment="1">
      <alignment wrapText="1"/>
    </xf>
    <xf numFmtId="3" fontId="20" fillId="0" borderId="19" xfId="109" applyNumberFormat="1" applyFont="1" applyFill="1" applyBorder="1"/>
    <xf numFmtId="3" fontId="20" fillId="0" borderId="116" xfId="109" applyNumberFormat="1" applyFont="1" applyBorder="1"/>
    <xf numFmtId="3" fontId="21" fillId="0" borderId="28" xfId="109" applyNumberFormat="1" applyFont="1" applyBorder="1"/>
    <xf numFmtId="0" fontId="21" fillId="0" borderId="20" xfId="109" applyFont="1" applyBorder="1" applyAlignment="1">
      <alignment wrapText="1"/>
    </xf>
    <xf numFmtId="3" fontId="21" fillId="0" borderId="19" xfId="109" applyNumberFormat="1" applyFont="1" applyBorder="1"/>
    <xf numFmtId="3" fontId="21" fillId="0" borderId="14" xfId="109" applyNumberFormat="1" applyFont="1" applyBorder="1"/>
    <xf numFmtId="3" fontId="20" fillId="0" borderId="13" xfId="109" applyNumberFormat="1" applyFont="1" applyBorder="1"/>
    <xf numFmtId="3" fontId="20" fillId="0" borderId="69" xfId="109" applyNumberFormat="1" applyFont="1" applyBorder="1"/>
    <xf numFmtId="0" fontId="20" fillId="0" borderId="29" xfId="109" applyFont="1" applyBorder="1" applyAlignment="1">
      <alignment wrapText="1"/>
    </xf>
    <xf numFmtId="3" fontId="20" fillId="0" borderId="22" xfId="109" applyNumberFormat="1" applyFont="1" applyBorder="1"/>
    <xf numFmtId="3" fontId="20" fillId="0" borderId="47" xfId="109" applyNumberFormat="1" applyFont="1" applyBorder="1"/>
    <xf numFmtId="3" fontId="21" fillId="0" borderId="68" xfId="109" applyNumberFormat="1" applyFont="1" applyBorder="1"/>
    <xf numFmtId="0" fontId="21" fillId="0" borderId="117" xfId="109" applyFont="1" applyBorder="1" applyAlignment="1">
      <alignment wrapText="1"/>
    </xf>
    <xf numFmtId="3" fontId="21" fillId="0" borderId="118" xfId="109" applyNumberFormat="1" applyFont="1" applyBorder="1"/>
    <xf numFmtId="3" fontId="21" fillId="0" borderId="119" xfId="109" applyNumberFormat="1" applyFont="1" applyBorder="1"/>
    <xf numFmtId="3" fontId="21" fillId="0" borderId="120" xfId="109" applyNumberFormat="1" applyFont="1" applyBorder="1"/>
    <xf numFmtId="3" fontId="20" fillId="0" borderId="83" xfId="109" applyNumberFormat="1" applyFont="1" applyBorder="1"/>
    <xf numFmtId="3" fontId="20" fillId="0" borderId="57" xfId="109" applyNumberFormat="1" applyFont="1" applyBorder="1"/>
    <xf numFmtId="3" fontId="20" fillId="0" borderId="110" xfId="109" applyNumberFormat="1" applyFont="1" applyBorder="1"/>
    <xf numFmtId="3" fontId="20" fillId="0" borderId="12" xfId="109" applyNumberFormat="1" applyFont="1" applyBorder="1" applyAlignment="1">
      <alignment wrapText="1"/>
    </xf>
    <xf numFmtId="3" fontId="20" fillId="0" borderId="110" xfId="109" applyNumberFormat="1" applyFont="1" applyBorder="1" applyAlignment="1">
      <alignment wrapText="1"/>
    </xf>
    <xf numFmtId="3" fontId="20" fillId="0" borderId="84" xfId="109" applyNumberFormat="1" applyFont="1" applyBorder="1"/>
    <xf numFmtId="0" fontId="21" fillId="0" borderId="111" xfId="109" applyFont="1" applyBorder="1" applyAlignment="1">
      <alignment wrapText="1"/>
    </xf>
    <xf numFmtId="3" fontId="21" fillId="0" borderId="121" xfId="109" applyNumberFormat="1" applyFont="1" applyBorder="1"/>
    <xf numFmtId="3" fontId="20" fillId="0" borderId="0" xfId="109" applyNumberFormat="1" applyFont="1"/>
    <xf numFmtId="0" fontId="28" fillId="0" borderId="0" xfId="113" applyFont="1"/>
    <xf numFmtId="0" fontId="26" fillId="0" borderId="0" xfId="113" applyFont="1"/>
    <xf numFmtId="0" fontId="25" fillId="0" borderId="0" xfId="113" applyFont="1" applyAlignment="1">
      <alignment horizontal="center" wrapText="1"/>
    </xf>
    <xf numFmtId="0" fontId="20" fillId="0" borderId="0" xfId="113" applyFont="1"/>
    <xf numFmtId="0" fontId="21" fillId="0" borderId="12" xfId="113" applyFont="1" applyBorder="1" applyAlignment="1">
      <alignment horizontal="center" vertical="center" wrapText="1"/>
    </xf>
    <xf numFmtId="0" fontId="22" fillId="0" borderId="10" xfId="119" applyFont="1" applyBorder="1" applyAlignment="1">
      <alignment horizontal="center" vertical="center" wrapText="1"/>
    </xf>
    <xf numFmtId="0" fontId="38" fillId="0" borderId="10" xfId="119" applyFont="1" applyBorder="1" applyAlignment="1">
      <alignment horizontal="center" vertical="center" wrapText="1"/>
    </xf>
    <xf numFmtId="0" fontId="38" fillId="0" borderId="12" xfId="119" applyFont="1" applyBorder="1" applyAlignment="1">
      <alignment horizontal="center" vertical="center" wrapText="1"/>
    </xf>
    <xf numFmtId="0" fontId="38" fillId="0" borderId="19" xfId="119" applyFont="1" applyBorder="1" applyAlignment="1">
      <alignment horizontal="center" vertical="center" wrapText="1"/>
    </xf>
    <xf numFmtId="0" fontId="21" fillId="0" borderId="76" xfId="113" applyFont="1" applyBorder="1" applyAlignment="1">
      <alignment horizontal="center" vertical="center" wrapText="1"/>
    </xf>
    <xf numFmtId="0" fontId="28" fillId="0" borderId="0" xfId="113" applyFont="1" applyAlignment="1">
      <alignment wrapText="1"/>
    </xf>
    <xf numFmtId="0" fontId="21" fillId="0" borderId="15" xfId="113" applyFont="1" applyBorder="1" applyAlignment="1">
      <alignment wrapText="1"/>
    </xf>
    <xf numFmtId="0" fontId="21" fillId="29" borderId="10" xfId="120" applyFont="1" applyFill="1" applyBorder="1" applyAlignment="1">
      <alignment horizontal="center" vertical="center" wrapText="1"/>
    </xf>
    <xf numFmtId="0" fontId="21" fillId="29" borderId="12" xfId="120" applyFont="1" applyFill="1" applyBorder="1" applyAlignment="1">
      <alignment horizontal="center" vertical="center" wrapText="1"/>
    </xf>
    <xf numFmtId="0" fontId="21" fillId="29" borderId="19" xfId="120" applyFont="1" applyFill="1" applyBorder="1" applyAlignment="1">
      <alignment horizontal="center" vertical="center" wrapText="1"/>
    </xf>
    <xf numFmtId="0" fontId="21" fillId="0" borderId="76" xfId="113" applyFont="1" applyBorder="1" applyAlignment="1">
      <alignment wrapText="1"/>
    </xf>
    <xf numFmtId="0" fontId="20" fillId="0" borderId="10" xfId="113" applyFont="1" applyBorder="1" applyAlignment="1">
      <alignment wrapText="1"/>
    </xf>
    <xf numFmtId="0" fontId="20" fillId="0" borderId="12" xfId="113" applyFont="1" applyBorder="1" applyAlignment="1">
      <alignment wrapText="1"/>
    </xf>
    <xf numFmtId="0" fontId="20" fillId="0" borderId="19" xfId="113" applyFont="1" applyBorder="1" applyAlignment="1">
      <alignment wrapText="1"/>
    </xf>
    <xf numFmtId="0" fontId="20" fillId="0" borderId="12" xfId="119" applyFont="1" applyBorder="1" applyAlignment="1">
      <alignment horizontal="left" vertical="center" wrapText="1"/>
    </xf>
    <xf numFmtId="3" fontId="20" fillId="0" borderId="10" xfId="113" applyNumberFormat="1" applyFont="1" applyBorder="1" applyAlignment="1">
      <alignment vertical="center"/>
    </xf>
    <xf numFmtId="3" fontId="20" fillId="29" borderId="10" xfId="120" applyNumberFormat="1" applyFont="1" applyFill="1" applyBorder="1" applyAlignment="1">
      <alignment horizontal="right" vertical="center" wrapText="1"/>
    </xf>
    <xf numFmtId="3" fontId="20" fillId="29" borderId="12" xfId="120" applyNumberFormat="1" applyFont="1" applyFill="1" applyBorder="1" applyAlignment="1">
      <alignment horizontal="right" vertical="center" wrapText="1"/>
    </xf>
    <xf numFmtId="3" fontId="20" fillId="29" borderId="19" xfId="120" applyNumberFormat="1" applyFont="1" applyFill="1" applyBorder="1" applyAlignment="1">
      <alignment horizontal="right" vertical="center" wrapText="1"/>
    </xf>
    <xf numFmtId="0" fontId="20" fillId="0" borderId="55" xfId="111" applyFont="1" applyBorder="1" applyAlignment="1">
      <alignment vertical="center" wrapText="1"/>
    </xf>
    <xf numFmtId="3" fontId="20" fillId="0" borderId="12" xfId="113" applyNumberFormat="1" applyFont="1" applyBorder="1" applyAlignment="1">
      <alignment vertical="center"/>
    </xf>
    <xf numFmtId="3" fontId="20" fillId="0" borderId="19" xfId="113" applyNumberFormat="1" applyFont="1" applyBorder="1" applyAlignment="1">
      <alignment vertical="center"/>
    </xf>
    <xf numFmtId="3" fontId="28" fillId="0" borderId="0" xfId="113" applyNumberFormat="1" applyFont="1" applyAlignment="1">
      <alignment vertical="center"/>
    </xf>
    <xf numFmtId="0" fontId="28" fillId="0" borderId="0" xfId="113" applyFont="1" applyAlignment="1">
      <alignment vertical="center"/>
    </xf>
    <xf numFmtId="0" fontId="20" fillId="0" borderId="12" xfId="111" applyFont="1" applyBorder="1" applyAlignment="1">
      <alignment wrapText="1"/>
    </xf>
    <xf numFmtId="0" fontId="20" fillId="0" borderId="105" xfId="109" applyFont="1" applyBorder="1"/>
    <xf numFmtId="0" fontId="20" fillId="0" borderId="76" xfId="111" applyFont="1" applyBorder="1" applyAlignment="1">
      <alignment wrapText="1"/>
    </xf>
    <xf numFmtId="3" fontId="20" fillId="0" borderId="10" xfId="113" applyNumberFormat="1" applyFont="1" applyBorder="1"/>
    <xf numFmtId="3" fontId="20" fillId="0" borderId="12" xfId="113" applyNumberFormat="1" applyFont="1" applyBorder="1"/>
    <xf numFmtId="3" fontId="20" fillId="0" borderId="19" xfId="113" applyNumberFormat="1" applyFont="1" applyBorder="1"/>
    <xf numFmtId="0" fontId="20" fillId="0" borderId="105" xfId="111" applyFont="1" applyBorder="1" applyAlignment="1">
      <alignment wrapText="1"/>
    </xf>
    <xf numFmtId="0" fontId="20" fillId="29" borderId="10" xfId="119" applyFont="1" applyFill="1" applyBorder="1" applyAlignment="1">
      <alignment wrapText="1"/>
    </xf>
    <xf numFmtId="3" fontId="20" fillId="29" borderId="10" xfId="120" applyNumberFormat="1" applyFont="1" applyFill="1" applyBorder="1" applyAlignment="1">
      <alignment horizontal="right" wrapText="1"/>
    </xf>
    <xf numFmtId="3" fontId="20" fillId="29" borderId="12" xfId="120" applyNumberFormat="1" applyFont="1" applyFill="1" applyBorder="1" applyAlignment="1">
      <alignment horizontal="right" wrapText="1"/>
    </xf>
    <xf numFmtId="0" fontId="20" fillId="0" borderId="55" xfId="111" applyFont="1" applyBorder="1" applyAlignment="1">
      <alignment wrapText="1"/>
    </xf>
    <xf numFmtId="0" fontId="20" fillId="0" borderId="12" xfId="119" applyFont="1" applyBorder="1" applyAlignment="1">
      <alignment horizontal="left" wrapText="1"/>
    </xf>
    <xf numFmtId="3" fontId="20" fillId="29" borderId="19" xfId="120" applyNumberFormat="1" applyFont="1" applyFill="1" applyBorder="1" applyAlignment="1">
      <alignment horizontal="right" wrapText="1"/>
    </xf>
    <xf numFmtId="0" fontId="20" fillId="29" borderId="12" xfId="119" applyFont="1" applyFill="1" applyBorder="1" applyAlignment="1">
      <alignment wrapText="1"/>
    </xf>
    <xf numFmtId="0" fontId="20" fillId="0" borderId="0" xfId="109" applyFont="1" applyBorder="1" applyAlignment="1">
      <alignment wrapText="1"/>
    </xf>
    <xf numFmtId="3" fontId="20" fillId="0" borderId="13" xfId="113" applyNumberFormat="1" applyFont="1" applyBorder="1"/>
    <xf numFmtId="3" fontId="20" fillId="0" borderId="67" xfId="113" applyNumberFormat="1" applyFont="1" applyBorder="1"/>
    <xf numFmtId="0" fontId="21" fillId="0" borderId="12" xfId="113" applyFont="1" applyBorder="1" applyAlignment="1">
      <alignment wrapText="1"/>
    </xf>
    <xf numFmtId="3" fontId="21" fillId="0" borderId="10" xfId="113" applyNumberFormat="1" applyFont="1" applyBorder="1"/>
    <xf numFmtId="3" fontId="21" fillId="0" borderId="12" xfId="113" applyNumberFormat="1" applyFont="1" applyBorder="1"/>
    <xf numFmtId="0" fontId="21" fillId="0" borderId="19" xfId="113" applyFont="1" applyBorder="1" applyAlignment="1">
      <alignment wrapText="1"/>
    </xf>
    <xf numFmtId="3" fontId="21" fillId="0" borderId="19" xfId="113" applyNumberFormat="1" applyFont="1" applyBorder="1"/>
    <xf numFmtId="0" fontId="22" fillId="0" borderId="0" xfId="113" applyFont="1"/>
    <xf numFmtId="3" fontId="20" fillId="0" borderId="28" xfId="113" applyNumberFormat="1" applyFont="1" applyBorder="1"/>
    <xf numFmtId="3" fontId="21" fillId="0" borderId="28" xfId="113" applyNumberFormat="1" applyFont="1" applyBorder="1"/>
    <xf numFmtId="0" fontId="21" fillId="0" borderId="105" xfId="113" applyFont="1" applyBorder="1" applyAlignment="1">
      <alignment wrapText="1"/>
    </xf>
    <xf numFmtId="0" fontId="21" fillId="0" borderId="0" xfId="113" applyFont="1" applyBorder="1"/>
    <xf numFmtId="0" fontId="21" fillId="0" borderId="28" xfId="113" applyFont="1" applyBorder="1"/>
    <xf numFmtId="0" fontId="21" fillId="0" borderId="19" xfId="113" applyFont="1" applyBorder="1"/>
    <xf numFmtId="0" fontId="20" fillId="0" borderId="19" xfId="113" applyFont="1" applyBorder="1"/>
    <xf numFmtId="0" fontId="20" fillId="0" borderId="19" xfId="111" applyFont="1" applyBorder="1" applyAlignment="1">
      <alignment wrapText="1"/>
    </xf>
    <xf numFmtId="3" fontId="28" fillId="0" borderId="0" xfId="113" applyNumberFormat="1" applyFont="1"/>
    <xf numFmtId="0" fontId="20" fillId="0" borderId="10" xfId="109" applyFont="1" applyBorder="1" applyAlignment="1">
      <alignment wrapText="1"/>
    </xf>
    <xf numFmtId="0" fontId="20" fillId="0" borderId="19" xfId="111" applyFont="1" applyFill="1" applyBorder="1" applyAlignment="1">
      <alignment wrapText="1"/>
    </xf>
    <xf numFmtId="0" fontId="20" fillId="0" borderId="105" xfId="113" applyFont="1" applyBorder="1" applyAlignment="1">
      <alignment wrapText="1"/>
    </xf>
    <xf numFmtId="0" fontId="20" fillId="0" borderId="19" xfId="109" applyFont="1" applyBorder="1" applyAlignment="1">
      <alignment wrapText="1"/>
    </xf>
    <xf numFmtId="3" fontId="22" fillId="0" borderId="0" xfId="113" applyNumberFormat="1" applyFont="1"/>
    <xf numFmtId="3" fontId="20" fillId="0" borderId="0" xfId="113" applyNumberFormat="1" applyFont="1"/>
    <xf numFmtId="0" fontId="21" fillId="0" borderId="10" xfId="113" applyFont="1" applyBorder="1" applyAlignment="1">
      <alignment horizontal="center" vertical="center" wrapText="1"/>
    </xf>
    <xf numFmtId="0" fontId="21" fillId="0" borderId="24" xfId="113" applyFont="1" applyBorder="1" applyAlignment="1">
      <alignment horizontal="center" vertical="center" wrapText="1"/>
    </xf>
    <xf numFmtId="0" fontId="20" fillId="0" borderId="10" xfId="113" applyFont="1" applyBorder="1"/>
    <xf numFmtId="0" fontId="20" fillId="0" borderId="12" xfId="113" applyFont="1" applyBorder="1"/>
    <xf numFmtId="0" fontId="0" fillId="0" borderId="0" xfId="113" applyFont="1"/>
    <xf numFmtId="0" fontId="20" fillId="0" borderId="76" xfId="113" applyFont="1" applyBorder="1" applyAlignment="1">
      <alignment wrapText="1"/>
    </xf>
    <xf numFmtId="0" fontId="21" fillId="0" borderId="76" xfId="113" applyFont="1" applyBorder="1"/>
    <xf numFmtId="0" fontId="20" fillId="0" borderId="0" xfId="113" applyFont="1" applyBorder="1"/>
    <xf numFmtId="3" fontId="20" fillId="0" borderId="10" xfId="113" applyNumberFormat="1" applyFont="1" applyBorder="1" applyAlignment="1">
      <alignment wrapText="1"/>
    </xf>
    <xf numFmtId="3" fontId="20" fillId="0" borderId="12" xfId="113" applyNumberFormat="1" applyFont="1" applyBorder="1" applyAlignment="1">
      <alignment wrapText="1"/>
    </xf>
    <xf numFmtId="0" fontId="20" fillId="0" borderId="10" xfId="111" applyFont="1" applyBorder="1" applyAlignment="1">
      <alignment wrapText="1"/>
    </xf>
    <xf numFmtId="0" fontId="20" fillId="0" borderId="76" xfId="111" applyFont="1" applyFill="1" applyBorder="1" applyAlignment="1">
      <alignment wrapText="1"/>
    </xf>
    <xf numFmtId="0" fontId="20" fillId="0" borderId="103" xfId="113" applyFont="1" applyBorder="1" applyAlignment="1">
      <alignment wrapText="1"/>
    </xf>
    <xf numFmtId="0" fontId="21" fillId="0" borderId="10" xfId="113" applyFont="1" applyBorder="1" applyAlignment="1">
      <alignment wrapText="1"/>
    </xf>
    <xf numFmtId="0" fontId="21" fillId="0" borderId="103" xfId="113" applyFont="1" applyBorder="1" applyAlignment="1">
      <alignment wrapText="1"/>
    </xf>
    <xf numFmtId="0" fontId="21" fillId="0" borderId="55" xfId="113" applyFont="1" applyBorder="1" applyAlignment="1">
      <alignment wrapText="1"/>
    </xf>
    <xf numFmtId="0" fontId="22" fillId="0" borderId="0" xfId="113" applyFont="1" applyBorder="1" applyAlignment="1">
      <alignment wrapText="1"/>
    </xf>
    <xf numFmtId="3" fontId="22" fillId="0" borderId="0" xfId="113" applyNumberFormat="1" applyFont="1" applyBorder="1"/>
    <xf numFmtId="0" fontId="22" fillId="0" borderId="0" xfId="113" applyFont="1" applyBorder="1"/>
    <xf numFmtId="0" fontId="21" fillId="0" borderId="13" xfId="113" applyFont="1" applyBorder="1" applyAlignment="1">
      <alignment wrapText="1"/>
    </xf>
    <xf numFmtId="0" fontId="21" fillId="0" borderId="24" xfId="113" applyFont="1" applyBorder="1" applyAlignment="1">
      <alignment wrapText="1"/>
    </xf>
    <xf numFmtId="0" fontId="20" fillId="0" borderId="10" xfId="119" applyFont="1" applyBorder="1" applyAlignment="1">
      <alignment horizontal="left" wrapText="1"/>
    </xf>
    <xf numFmtId="0" fontId="20" fillId="0" borderId="24" xfId="111" applyFont="1" applyBorder="1" applyAlignment="1">
      <alignment wrapText="1"/>
    </xf>
    <xf numFmtId="0" fontId="20" fillId="0" borderId="107" xfId="111" applyFont="1" applyBorder="1" applyAlignment="1">
      <alignment wrapText="1"/>
    </xf>
    <xf numFmtId="0" fontId="20" fillId="0" borderId="103" xfId="111" applyFont="1" applyBorder="1" applyAlignment="1">
      <alignment wrapText="1"/>
    </xf>
    <xf numFmtId="0" fontId="20" fillId="0" borderId="13" xfId="111" applyFont="1" applyBorder="1" applyAlignment="1">
      <alignment wrapText="1"/>
    </xf>
    <xf numFmtId="0" fontId="20" fillId="0" borderId="24" xfId="113" applyFont="1" applyBorder="1" applyAlignment="1">
      <alignment wrapText="1"/>
    </xf>
    <xf numFmtId="3" fontId="21" fillId="0" borderId="10" xfId="113" applyNumberFormat="1" applyFont="1" applyBorder="1" applyAlignment="1">
      <alignment wrapText="1"/>
    </xf>
    <xf numFmtId="3" fontId="21" fillId="0" borderId="12" xfId="113" applyNumberFormat="1" applyFont="1" applyBorder="1" applyAlignment="1">
      <alignment wrapText="1"/>
    </xf>
    <xf numFmtId="3" fontId="21" fillId="0" borderId="19" xfId="113" applyNumberFormat="1" applyFont="1" applyBorder="1" applyAlignment="1">
      <alignment wrapText="1"/>
    </xf>
    <xf numFmtId="0" fontId="0" fillId="0" borderId="0" xfId="113" applyFont="1" applyAlignment="1">
      <alignment wrapText="1"/>
    </xf>
    <xf numFmtId="3" fontId="21" fillId="0" borderId="67" xfId="119" applyNumberFormat="1" applyFont="1" applyBorder="1"/>
    <xf numFmtId="3" fontId="21" fillId="0" borderId="84" xfId="119" applyNumberFormat="1" applyFont="1" applyBorder="1"/>
    <xf numFmtId="3" fontId="21" fillId="0" borderId="122" xfId="119" applyNumberFormat="1" applyFont="1" applyBorder="1"/>
    <xf numFmtId="3" fontId="21" fillId="0" borderId="46" xfId="119" applyNumberFormat="1" applyFont="1" applyBorder="1"/>
    <xf numFmtId="3" fontId="21" fillId="0" borderId="89" xfId="119" applyNumberFormat="1" applyFont="1" applyBorder="1"/>
    <xf numFmtId="3" fontId="20" fillId="0" borderId="68" xfId="119" applyNumberFormat="1" applyFont="1" applyBorder="1" applyAlignment="1">
      <alignment horizontal="right"/>
    </xf>
    <xf numFmtId="3" fontId="20" fillId="0" borderId="38" xfId="119" applyNumberFormat="1" applyFont="1" applyBorder="1"/>
    <xf numFmtId="0" fontId="21" fillId="0" borderId="123" xfId="119" applyFont="1" applyBorder="1" applyAlignment="1">
      <alignment wrapText="1"/>
    </xf>
    <xf numFmtId="3" fontId="21" fillId="0" borderId="63" xfId="119" applyNumberFormat="1" applyFont="1" applyBorder="1"/>
    <xf numFmtId="0" fontId="20" fillId="0" borderId="49" xfId="119" applyFont="1" applyBorder="1" applyAlignment="1">
      <alignment wrapText="1"/>
    </xf>
    <xf numFmtId="3" fontId="20" fillId="0" borderId="72" xfId="119" applyNumberFormat="1" applyFont="1" applyBorder="1" applyAlignment="1">
      <alignment horizontal="right"/>
    </xf>
    <xf numFmtId="3" fontId="20" fillId="0" borderId="68" xfId="119" applyNumberFormat="1" applyFont="1" applyBorder="1"/>
    <xf numFmtId="3" fontId="20" fillId="0" borderId="72" xfId="119" applyNumberFormat="1" applyFont="1" applyBorder="1"/>
    <xf numFmtId="0" fontId="21" fillId="30" borderId="102" xfId="119" applyFont="1" applyFill="1" applyBorder="1" applyAlignment="1">
      <alignment horizontal="center" vertical="center" wrapText="1"/>
    </xf>
    <xf numFmtId="0" fontId="21" fillId="30" borderId="38" xfId="119" applyFont="1" applyFill="1" applyBorder="1" applyAlignment="1">
      <alignment horizontal="center" vertical="center" wrapText="1"/>
    </xf>
    <xf numFmtId="0" fontId="21" fillId="30" borderId="68" xfId="119" applyFont="1" applyFill="1" applyBorder="1" applyAlignment="1">
      <alignment horizontal="center" vertical="center" wrapText="1"/>
    </xf>
    <xf numFmtId="3" fontId="20" fillId="29" borderId="83" xfId="119" applyNumberFormat="1" applyFont="1" applyFill="1" applyBorder="1" applyAlignment="1">
      <alignment horizontal="right"/>
    </xf>
    <xf numFmtId="3" fontId="20" fillId="0" borderId="27" xfId="119" applyNumberFormat="1" applyFont="1" applyFill="1" applyBorder="1"/>
    <xf numFmtId="0" fontId="20" fillId="0" borderId="0" xfId="109" applyFont="1" applyAlignment="1">
      <alignment wrapText="1"/>
    </xf>
    <xf numFmtId="0" fontId="21" fillId="0" borderId="0" xfId="109" applyFont="1" applyBorder="1" applyAlignment="1">
      <alignment wrapText="1"/>
    </xf>
    <xf numFmtId="3" fontId="20" fillId="0" borderId="0" xfId="109" applyNumberFormat="1" applyFont="1" applyAlignment="1">
      <alignment horizontal="right"/>
    </xf>
    <xf numFmtId="0" fontId="21" fillId="0" borderId="38" xfId="119" applyFont="1" applyBorder="1" applyAlignment="1">
      <alignment horizontal="center" vertical="center" wrapText="1"/>
    </xf>
    <xf numFmtId="0" fontId="21" fillId="0" borderId="68" xfId="119" applyFont="1" applyBorder="1" applyAlignment="1">
      <alignment horizontal="center" vertical="center" wrapText="1"/>
    </xf>
    <xf numFmtId="3" fontId="21" fillId="0" borderId="0" xfId="109" applyNumberFormat="1" applyFont="1" applyBorder="1" applyAlignment="1">
      <alignment horizontal="right"/>
    </xf>
    <xf numFmtId="3" fontId="21" fillId="0" borderId="0" xfId="109" applyNumberFormat="1" applyFont="1" applyBorder="1"/>
    <xf numFmtId="0" fontId="25" fillId="0" borderId="66" xfId="109" applyFont="1" applyBorder="1" applyAlignment="1">
      <alignment wrapText="1"/>
    </xf>
    <xf numFmtId="0" fontId="28" fillId="0" borderId="0" xfId="108" applyFont="1" applyBorder="1" applyAlignment="1">
      <alignment wrapText="1"/>
    </xf>
    <xf numFmtId="3" fontId="22" fillId="0" borderId="0" xfId="108" applyNumberFormat="1" applyFont="1"/>
    <xf numFmtId="0" fontId="22" fillId="0" borderId="0" xfId="108" applyFont="1"/>
    <xf numFmtId="0" fontId="28" fillId="0" borderId="0" xfId="108" applyFont="1"/>
    <xf numFmtId="0" fontId="28" fillId="0" borderId="0" xfId="108" applyFont="1" applyAlignment="1">
      <alignment wrapText="1"/>
    </xf>
    <xf numFmtId="0" fontId="39" fillId="28" borderId="0" xfId="108" applyFont="1" applyFill="1" applyAlignment="1">
      <alignment wrapText="1"/>
    </xf>
    <xf numFmtId="0" fontId="28" fillId="0" borderId="0" xfId="108" applyFont="1" applyFill="1" applyAlignment="1">
      <alignment wrapText="1"/>
    </xf>
    <xf numFmtId="3" fontId="39" fillId="0" borderId="0" xfId="108" applyNumberFormat="1" applyFont="1" applyFill="1" applyAlignment="1"/>
    <xf numFmtId="0" fontId="39" fillId="0" borderId="55" xfId="108" applyFont="1" applyFill="1" applyBorder="1" applyAlignment="1"/>
    <xf numFmtId="0" fontId="39" fillId="0" borderId="55" xfId="108" applyFont="1" applyFill="1" applyBorder="1" applyAlignment="1">
      <alignment wrapText="1"/>
    </xf>
    <xf numFmtId="0" fontId="46" fillId="0" borderId="10" xfId="108" applyFont="1" applyFill="1" applyBorder="1" applyAlignment="1">
      <alignment wrapText="1"/>
    </xf>
    <xf numFmtId="3" fontId="39" fillId="0" borderId="10" xfId="108" applyNumberFormat="1" applyFont="1" applyFill="1" applyBorder="1" applyAlignment="1">
      <alignment horizontal="right"/>
    </xf>
    <xf numFmtId="0" fontId="39" fillId="0" borderId="10" xfId="108" applyFont="1" applyFill="1" applyBorder="1" applyAlignment="1">
      <alignment horizontal="right"/>
    </xf>
    <xf numFmtId="0" fontId="39" fillId="0" borderId="10" xfId="108" applyFont="1" applyFill="1" applyBorder="1" applyAlignment="1">
      <alignment horizontal="right" wrapText="1"/>
    </xf>
    <xf numFmtId="0" fontId="28" fillId="0" borderId="10" xfId="108" applyFont="1" applyFill="1" applyBorder="1" applyAlignment="1">
      <alignment wrapText="1"/>
    </xf>
    <xf numFmtId="3" fontId="28" fillId="0" borderId="10" xfId="108" applyNumberFormat="1" applyFont="1" applyFill="1" applyBorder="1"/>
    <xf numFmtId="3" fontId="28" fillId="0" borderId="10" xfId="108" applyNumberFormat="1" applyFont="1" applyFill="1" applyBorder="1" applyAlignment="1">
      <alignment wrapText="1"/>
    </xf>
    <xf numFmtId="3" fontId="22" fillId="0" borderId="10" xfId="108" applyNumberFormat="1" applyFont="1" applyFill="1" applyBorder="1"/>
    <xf numFmtId="0" fontId="39" fillId="0" borderId="10" xfId="108" applyFont="1" applyFill="1" applyBorder="1" applyAlignment="1">
      <alignment wrapText="1"/>
    </xf>
    <xf numFmtId="3" fontId="39" fillId="0" borderId="10" xfId="108" applyNumberFormat="1" applyFont="1" applyFill="1" applyBorder="1"/>
    <xf numFmtId="0" fontId="28" fillId="0" borderId="76" xfId="108" applyFont="1" applyFill="1" applyBorder="1" applyAlignment="1">
      <alignment wrapText="1"/>
    </xf>
    <xf numFmtId="0" fontId="28" fillId="0" borderId="76" xfId="108" applyFont="1" applyFill="1" applyBorder="1" applyAlignment="1"/>
    <xf numFmtId="3" fontId="28" fillId="0" borderId="0" xfId="108" applyNumberFormat="1" applyFont="1"/>
    <xf numFmtId="0" fontId="28" fillId="0" borderId="0" xfId="103" applyFont="1"/>
    <xf numFmtId="3" fontId="39" fillId="0" borderId="10" xfId="108" applyNumberFormat="1" applyFont="1" applyFill="1" applyBorder="1" applyAlignment="1">
      <alignment horizontal="right" wrapText="1"/>
    </xf>
    <xf numFmtId="3" fontId="0" fillId="0" borderId="0" xfId="119" applyNumberFormat="1" applyFont="1" applyBorder="1"/>
    <xf numFmtId="3" fontId="21" fillId="0" borderId="0" xfId="108" applyNumberFormat="1" applyFont="1" applyBorder="1" applyAlignment="1">
      <alignment horizontal="center"/>
    </xf>
    <xf numFmtId="3" fontId="22" fillId="0" borderId="0" xfId="119" applyNumberFormat="1" applyFont="1"/>
    <xf numFmtId="0" fontId="26" fillId="0" borderId="33" xfId="106" applyFont="1" applyFill="1" applyBorder="1" applyAlignment="1">
      <alignment horizontal="left" vertical="center" wrapText="1"/>
    </xf>
    <xf numFmtId="0" fontId="0" fillId="0" borderId="10" xfId="108" applyFont="1" applyFill="1" applyBorder="1" applyAlignment="1">
      <alignment wrapText="1"/>
    </xf>
    <xf numFmtId="0" fontId="26" fillId="0" borderId="0" xfId="116" applyFont="1" applyFill="1" applyAlignment="1">
      <alignment horizontal="center" vertical="center" wrapText="1"/>
    </xf>
    <xf numFmtId="0" fontId="26" fillId="0" borderId="70" xfId="119" applyFont="1" applyFill="1" applyBorder="1" applyAlignment="1">
      <alignment horizontal="left" vertical="center" wrapText="1"/>
    </xf>
    <xf numFmtId="3" fontId="26" fillId="0" borderId="22" xfId="105" applyNumberFormat="1" applyFont="1" applyFill="1" applyBorder="1" applyAlignment="1">
      <alignment horizontal="right"/>
    </xf>
    <xf numFmtId="0" fontId="22" fillId="29" borderId="49" xfId="119" applyFont="1" applyFill="1" applyBorder="1" applyAlignment="1">
      <alignment horizontal="center" vertical="center" wrapText="1"/>
    </xf>
    <xf numFmtId="0" fontId="22" fillId="29" borderId="124" xfId="119" applyFont="1" applyFill="1" applyBorder="1" applyAlignment="1">
      <alignment horizontal="center" vertical="center" wrapText="1"/>
    </xf>
    <xf numFmtId="0" fontId="21" fillId="0" borderId="48" xfId="107" applyFont="1" applyBorder="1" applyAlignment="1">
      <alignment horizontal="center" wrapText="1"/>
    </xf>
    <xf numFmtId="3" fontId="25" fillId="0" borderId="48" xfId="105" applyNumberFormat="1" applyFont="1" applyBorder="1" applyAlignment="1">
      <alignment horizontal="center" wrapText="1"/>
    </xf>
    <xf numFmtId="3" fontId="33" fillId="0" borderId="0" xfId="0" applyNumberFormat="1" applyFont="1"/>
    <xf numFmtId="0" fontId="26" fillId="0" borderId="10" xfId="0" applyFont="1" applyFill="1" applyBorder="1" applyAlignment="1">
      <alignment vertical="center" wrapText="1"/>
    </xf>
    <xf numFmtId="0" fontId="26" fillId="0" borderId="10" xfId="0" applyFont="1" applyFill="1" applyBorder="1" applyAlignment="1">
      <alignment vertical="center"/>
    </xf>
    <xf numFmtId="3" fontId="26" fillId="0" borderId="10" xfId="0" applyNumberFormat="1" applyFont="1" applyFill="1" applyBorder="1" applyAlignment="1">
      <alignment vertical="center"/>
    </xf>
    <xf numFmtId="3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3" fontId="21" fillId="0" borderId="19" xfId="110" applyNumberFormat="1" applyFont="1" applyFill="1" applyBorder="1" applyAlignment="1"/>
    <xf numFmtId="0" fontId="21" fillId="0" borderId="57" xfId="110" applyFont="1" applyFill="1" applyBorder="1"/>
    <xf numFmtId="2" fontId="21" fillId="0" borderId="57" xfId="110" applyNumberFormat="1" applyFont="1" applyFill="1" applyBorder="1"/>
    <xf numFmtId="166" fontId="21" fillId="0" borderId="57" xfId="110" applyNumberFormat="1" applyFont="1" applyFill="1" applyBorder="1"/>
    <xf numFmtId="3" fontId="21" fillId="0" borderId="57" xfId="110" applyNumberFormat="1" applyFont="1" applyFill="1" applyBorder="1"/>
    <xf numFmtId="0" fontId="22" fillId="29" borderId="51" xfId="119" applyFont="1" applyFill="1" applyBorder="1" applyAlignment="1">
      <alignment wrapText="1"/>
    </xf>
    <xf numFmtId="0" fontId="28" fillId="29" borderId="52" xfId="118" applyFont="1" applyFill="1" applyBorder="1" applyAlignment="1">
      <alignment wrapText="1"/>
    </xf>
    <xf numFmtId="0" fontId="28" fillId="29" borderId="125" xfId="118" applyFont="1" applyFill="1" applyBorder="1" applyAlignment="1">
      <alignment wrapText="1"/>
    </xf>
    <xf numFmtId="0" fontId="22" fillId="29" borderId="51" xfId="118" applyFont="1" applyFill="1" applyBorder="1" applyAlignment="1">
      <alignment wrapText="1"/>
    </xf>
    <xf numFmtId="0" fontId="22" fillId="29" borderId="52" xfId="119" applyFont="1" applyFill="1" applyBorder="1" applyAlignment="1">
      <alignment wrapText="1"/>
    </xf>
    <xf numFmtId="0" fontId="22" fillId="29" borderId="52" xfId="118" applyFont="1" applyFill="1" applyBorder="1" applyAlignment="1">
      <alignment wrapText="1"/>
    </xf>
    <xf numFmtId="0" fontId="22" fillId="29" borderId="125" xfId="118" applyFont="1" applyFill="1" applyBorder="1" applyAlignment="1">
      <alignment wrapText="1"/>
    </xf>
    <xf numFmtId="0" fontId="28" fillId="29" borderId="51" xfId="119" applyFont="1" applyFill="1" applyBorder="1" applyAlignment="1">
      <alignment wrapText="1"/>
    </xf>
    <xf numFmtId="0" fontId="28" fillId="29" borderId="125" xfId="119" applyFont="1" applyFill="1" applyBorder="1" applyAlignment="1">
      <alignment wrapText="1"/>
    </xf>
    <xf numFmtId="0" fontId="22" fillId="29" borderId="125" xfId="119" applyFont="1" applyFill="1" applyBorder="1" applyAlignment="1">
      <alignment wrapText="1"/>
    </xf>
    <xf numFmtId="0" fontId="28" fillId="0" borderId="125" xfId="119" applyFont="1" applyBorder="1"/>
    <xf numFmtId="0" fontId="22" fillId="29" borderId="126" xfId="119" applyFont="1" applyFill="1" applyBorder="1" applyAlignment="1">
      <alignment wrapText="1"/>
    </xf>
    <xf numFmtId="0" fontId="28" fillId="29" borderId="53" xfId="118" applyFont="1" applyFill="1" applyBorder="1" applyAlignment="1">
      <alignment wrapText="1"/>
    </xf>
    <xf numFmtId="0" fontId="28" fillId="29" borderId="52" xfId="118" applyFont="1" applyFill="1" applyBorder="1" applyAlignment="1">
      <alignment horizontal="left" wrapText="1"/>
    </xf>
    <xf numFmtId="0" fontId="28" fillId="29" borderId="54" xfId="118" applyFont="1" applyFill="1" applyBorder="1" applyAlignment="1">
      <alignment wrapText="1"/>
    </xf>
    <xf numFmtId="3" fontId="26" fillId="0" borderId="22" xfId="119" applyNumberFormat="1" applyFont="1" applyFill="1" applyBorder="1" applyAlignment="1">
      <alignment horizontal="right" wrapText="1"/>
    </xf>
    <xf numFmtId="0" fontId="25" fillId="0" borderId="0" xfId="116" applyFont="1" applyFill="1" applyBorder="1" applyAlignment="1">
      <alignment horizontal="center" wrapText="1"/>
    </xf>
    <xf numFmtId="0" fontId="20" fillId="0" borderId="0" xfId="107" applyFont="1" applyBorder="1"/>
    <xf numFmtId="0" fontId="39" fillId="0" borderId="0" xfId="108" applyFont="1" applyFill="1" applyBorder="1" applyAlignment="1"/>
    <xf numFmtId="0" fontId="39" fillId="0" borderId="0" xfId="108" applyFont="1" applyFill="1" applyBorder="1" applyAlignment="1">
      <alignment wrapText="1"/>
    </xf>
    <xf numFmtId="3" fontId="39" fillId="0" borderId="0" xfId="108" applyNumberFormat="1" applyFont="1" applyFill="1" applyBorder="1" applyAlignment="1"/>
    <xf numFmtId="3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3" fontId="0" fillId="0" borderId="0" xfId="0" applyNumberFormat="1" applyFont="1" applyFill="1"/>
    <xf numFmtId="0" fontId="0" fillId="0" borderId="0" xfId="0" applyFont="1" applyFill="1"/>
    <xf numFmtId="0" fontId="20" fillId="0" borderId="37" xfId="110" applyFont="1" applyFill="1" applyBorder="1" applyAlignment="1">
      <alignment horizontal="center"/>
    </xf>
    <xf numFmtId="0" fontId="20" fillId="0" borderId="123" xfId="110" applyFont="1" applyFill="1" applyBorder="1" applyAlignment="1">
      <alignment horizontal="center"/>
    </xf>
    <xf numFmtId="0" fontId="20" fillId="0" borderId="53" xfId="110" applyFont="1" applyFill="1" applyBorder="1" applyAlignment="1">
      <alignment horizontal="center"/>
    </xf>
    <xf numFmtId="0" fontId="20" fillId="0" borderId="81" xfId="110" applyFont="1" applyFill="1" applyBorder="1" applyAlignment="1">
      <alignment horizontal="center"/>
    </xf>
    <xf numFmtId="0" fontId="20" fillId="29" borderId="127" xfId="119" applyFont="1" applyFill="1" applyBorder="1" applyAlignment="1">
      <alignment wrapText="1"/>
    </xf>
    <xf numFmtId="3" fontId="28" fillId="0" borderId="0" xfId="113" applyNumberFormat="1" applyFont="1" applyBorder="1"/>
    <xf numFmtId="3" fontId="0" fillId="0" borderId="0" xfId="119" applyNumberFormat="1" applyFont="1"/>
    <xf numFmtId="0" fontId="21" fillId="0" borderId="102" xfId="119" applyFont="1" applyBorder="1" applyAlignment="1">
      <alignment horizontal="center" vertical="center" wrapText="1"/>
    </xf>
    <xf numFmtId="0" fontId="21" fillId="0" borderId="68" xfId="119" applyFont="1" applyBorder="1" applyAlignment="1">
      <alignment horizontal="center" vertical="center"/>
    </xf>
    <xf numFmtId="3" fontId="33" fillId="29" borderId="20" xfId="119" applyNumberFormat="1" applyFont="1" applyFill="1" applyBorder="1"/>
    <xf numFmtId="3" fontId="33" fillId="29" borderId="19" xfId="119" applyNumberFormat="1" applyFont="1" applyFill="1" applyBorder="1"/>
    <xf numFmtId="3" fontId="28" fillId="29" borderId="29" xfId="119" applyNumberFormat="1" applyFont="1" applyFill="1" applyBorder="1"/>
    <xf numFmtId="3" fontId="28" fillId="29" borderId="22" xfId="119" applyNumberFormat="1" applyFont="1" applyFill="1" applyBorder="1"/>
    <xf numFmtId="0" fontId="31" fillId="29" borderId="27" xfId="119" applyFont="1" applyFill="1" applyBorder="1"/>
    <xf numFmtId="0" fontId="30" fillId="29" borderId="27" xfId="119" applyFont="1" applyFill="1" applyBorder="1"/>
    <xf numFmtId="0" fontId="32" fillId="29" borderId="27" xfId="119" applyFont="1" applyFill="1" applyBorder="1"/>
    <xf numFmtId="3" fontId="33" fillId="29" borderId="29" xfId="119" applyNumberFormat="1" applyFont="1" applyFill="1" applyBorder="1"/>
    <xf numFmtId="0" fontId="30" fillId="29" borderId="47" xfId="119" applyFont="1" applyFill="1" applyBorder="1"/>
    <xf numFmtId="3" fontId="22" fillId="29" borderId="70" xfId="119" applyNumberFormat="1" applyFont="1" applyFill="1" applyBorder="1" applyAlignment="1">
      <alignment horizontal="right" wrapText="1"/>
    </xf>
    <xf numFmtId="3" fontId="30" fillId="29" borderId="61" xfId="119" applyNumberFormat="1" applyFont="1" applyFill="1" applyBorder="1"/>
    <xf numFmtId="3" fontId="33" fillId="29" borderId="58" xfId="119" applyNumberFormat="1" applyFont="1" applyFill="1" applyBorder="1" applyAlignment="1">
      <alignment horizontal="right" wrapText="1"/>
    </xf>
    <xf numFmtId="3" fontId="31" fillId="29" borderId="27" xfId="119" applyNumberFormat="1" applyFont="1" applyFill="1" applyBorder="1"/>
    <xf numFmtId="3" fontId="28" fillId="29" borderId="20" xfId="119" applyNumberFormat="1" applyFont="1" applyFill="1" applyBorder="1"/>
    <xf numFmtId="3" fontId="28" fillId="29" borderId="19" xfId="119" applyNumberFormat="1" applyFont="1" applyFill="1" applyBorder="1"/>
    <xf numFmtId="3" fontId="22" fillId="29" borderId="22" xfId="119" applyNumberFormat="1" applyFont="1" applyFill="1" applyBorder="1"/>
    <xf numFmtId="3" fontId="28" fillId="29" borderId="58" xfId="119" applyNumberFormat="1" applyFont="1" applyFill="1" applyBorder="1"/>
    <xf numFmtId="3" fontId="22" fillId="29" borderId="58" xfId="119" applyNumberFormat="1" applyFont="1" applyFill="1" applyBorder="1" applyAlignment="1">
      <alignment horizontal="right" wrapText="1"/>
    </xf>
    <xf numFmtId="3" fontId="22" fillId="29" borderId="59" xfId="119" applyNumberFormat="1" applyFont="1" applyFill="1" applyBorder="1"/>
    <xf numFmtId="3" fontId="28" fillId="29" borderId="59" xfId="119" applyNumberFormat="1" applyFont="1" applyFill="1" applyBorder="1" applyAlignment="1">
      <alignment horizontal="right" wrapText="1"/>
    </xf>
    <xf numFmtId="3" fontId="22" fillId="29" borderId="20" xfId="119" applyNumberFormat="1" applyFont="1" applyFill="1" applyBorder="1"/>
    <xf numFmtId="3" fontId="22" fillId="29" borderId="19" xfId="119" applyNumberFormat="1" applyFont="1" applyFill="1" applyBorder="1"/>
    <xf numFmtId="3" fontId="21" fillId="29" borderId="29" xfId="119" applyNumberFormat="1" applyFont="1" applyFill="1" applyBorder="1" applyAlignment="1">
      <alignment horizontal="right" wrapText="1"/>
    </xf>
    <xf numFmtId="3" fontId="21" fillId="29" borderId="22" xfId="119" applyNumberFormat="1" applyFont="1" applyFill="1" applyBorder="1" applyAlignment="1">
      <alignment horizontal="right" wrapText="1"/>
    </xf>
    <xf numFmtId="3" fontId="20" fillId="29" borderId="22" xfId="119" applyNumberFormat="1" applyFont="1" applyFill="1" applyBorder="1" applyAlignment="1">
      <alignment horizontal="right" wrapText="1"/>
    </xf>
    <xf numFmtId="4" fontId="20" fillId="29" borderId="22" xfId="119" applyNumberFormat="1" applyFont="1" applyFill="1" applyBorder="1" applyAlignment="1">
      <alignment horizontal="right" wrapText="1"/>
    </xf>
    <xf numFmtId="0" fontId="20" fillId="29" borderId="58" xfId="119" applyFont="1" applyFill="1" applyBorder="1" applyAlignment="1">
      <alignment wrapText="1"/>
    </xf>
    <xf numFmtId="0" fontId="20" fillId="0" borderId="58" xfId="119" applyFont="1" applyBorder="1" applyAlignment="1">
      <alignment wrapText="1"/>
    </xf>
    <xf numFmtId="0" fontId="20" fillId="0" borderId="58" xfId="119" applyFont="1" applyFill="1" applyBorder="1" applyAlignment="1">
      <alignment wrapText="1"/>
    </xf>
    <xf numFmtId="0" fontId="21" fillId="0" borderId="58" xfId="119" applyFont="1" applyBorder="1" applyAlignment="1">
      <alignment wrapText="1"/>
    </xf>
    <xf numFmtId="3" fontId="20" fillId="0" borderId="58" xfId="119" applyNumberFormat="1" applyFont="1" applyFill="1" applyBorder="1" applyAlignment="1">
      <alignment wrapText="1"/>
    </xf>
    <xf numFmtId="0" fontId="21" fillId="0" borderId="59" xfId="119" applyFont="1" applyBorder="1" applyAlignment="1">
      <alignment wrapText="1"/>
    </xf>
    <xf numFmtId="0" fontId="21" fillId="0" borderId="128" xfId="119" applyFont="1" applyBorder="1" applyAlignment="1">
      <alignment horizontal="center" vertical="center" wrapText="1"/>
    </xf>
    <xf numFmtId="0" fontId="21" fillId="0" borderId="129" xfId="119" applyFont="1" applyBorder="1" applyAlignment="1">
      <alignment horizontal="center" vertical="center" wrapText="1"/>
    </xf>
    <xf numFmtId="0" fontId="21" fillId="0" borderId="130" xfId="119" applyFont="1" applyBorder="1" applyAlignment="1">
      <alignment horizontal="center" vertical="center"/>
    </xf>
    <xf numFmtId="3" fontId="28" fillId="29" borderId="61" xfId="119" applyNumberFormat="1" applyFont="1" applyFill="1" applyBorder="1"/>
    <xf numFmtId="3" fontId="20" fillId="0" borderId="42" xfId="119" applyNumberFormat="1" applyFont="1" applyBorder="1"/>
    <xf numFmtId="3" fontId="28" fillId="29" borderId="49" xfId="119" applyNumberFormat="1" applyFont="1" applyFill="1" applyBorder="1"/>
    <xf numFmtId="0" fontId="28" fillId="29" borderId="61" xfId="119" applyFont="1" applyFill="1" applyBorder="1"/>
    <xf numFmtId="0" fontId="28" fillId="0" borderId="27" xfId="119" applyFont="1" applyBorder="1"/>
    <xf numFmtId="0" fontId="28" fillId="0" borderId="27" xfId="119" applyFont="1" applyFill="1" applyBorder="1"/>
    <xf numFmtId="0" fontId="22" fillId="0" borderId="27" xfId="119" applyFont="1" applyBorder="1"/>
    <xf numFmtId="3" fontId="28" fillId="0" borderId="27" xfId="109" applyNumberFormat="1" applyFont="1" applyBorder="1"/>
    <xf numFmtId="0" fontId="22" fillId="0" borderId="47" xfId="119" applyFont="1" applyBorder="1"/>
    <xf numFmtId="3" fontId="22" fillId="29" borderId="49" xfId="119" applyNumberFormat="1" applyFont="1" applyFill="1" applyBorder="1"/>
    <xf numFmtId="3" fontId="20" fillId="0" borderId="130" xfId="107" applyNumberFormat="1" applyFont="1" applyBorder="1"/>
    <xf numFmtId="3" fontId="21" fillId="0" borderId="30" xfId="107" applyNumberFormat="1" applyFont="1" applyBorder="1"/>
    <xf numFmtId="3" fontId="21" fillId="0" borderId="31" xfId="107" applyNumberFormat="1" applyFont="1" applyBorder="1"/>
    <xf numFmtId="3" fontId="48" fillId="0" borderId="20" xfId="107" applyNumberFormat="1" applyFont="1" applyFill="1" applyBorder="1"/>
    <xf numFmtId="3" fontId="21" fillId="0" borderId="29" xfId="107" applyNumberFormat="1" applyFont="1" applyBorder="1"/>
    <xf numFmtId="3" fontId="21" fillId="0" borderId="79" xfId="107" applyNumberFormat="1" applyFont="1" applyBorder="1"/>
    <xf numFmtId="3" fontId="20" fillId="0" borderId="35" xfId="119" applyNumberFormat="1" applyFont="1" applyBorder="1" applyAlignment="1">
      <alignment horizontal="right"/>
    </xf>
    <xf numFmtId="3" fontId="28" fillId="0" borderId="27" xfId="119" applyNumberFormat="1" applyFont="1" applyBorder="1"/>
    <xf numFmtId="3" fontId="20" fillId="0" borderId="19" xfId="119" applyNumberFormat="1" applyFont="1" applyFill="1" applyBorder="1" applyAlignment="1">
      <alignment horizontal="right"/>
    </xf>
    <xf numFmtId="3" fontId="20" fillId="0" borderId="48" xfId="119" applyNumberFormat="1" applyFont="1" applyBorder="1" applyAlignment="1">
      <alignment horizontal="right"/>
    </xf>
    <xf numFmtId="3" fontId="21" fillId="0" borderId="71" xfId="119" applyNumberFormat="1" applyFont="1" applyBorder="1"/>
    <xf numFmtId="3" fontId="21" fillId="0" borderId="36" xfId="119" applyNumberFormat="1" applyFont="1" applyBorder="1" applyAlignment="1">
      <alignment horizontal="right"/>
    </xf>
    <xf numFmtId="3" fontId="21" fillId="0" borderId="132" xfId="119" applyNumberFormat="1" applyFont="1" applyBorder="1"/>
    <xf numFmtId="3" fontId="22" fillId="0" borderId="27" xfId="119" applyNumberFormat="1" applyFont="1" applyBorder="1"/>
    <xf numFmtId="3" fontId="22" fillId="0" borderId="47" xfId="119" applyNumberFormat="1" applyFont="1" applyBorder="1"/>
    <xf numFmtId="3" fontId="20" fillId="0" borderId="57" xfId="119" applyNumberFormat="1" applyFont="1" applyBorder="1"/>
    <xf numFmtId="3" fontId="20" fillId="0" borderId="57" xfId="119" applyNumberFormat="1" applyFont="1" applyFill="1" applyBorder="1"/>
    <xf numFmtId="0" fontId="26" fillId="0" borderId="34" xfId="119" applyFont="1" applyBorder="1" applyAlignment="1">
      <alignment wrapText="1"/>
    </xf>
    <xf numFmtId="0" fontId="26" fillId="0" borderId="58" xfId="119" applyFont="1" applyBorder="1" applyAlignment="1">
      <alignment wrapText="1"/>
    </xf>
    <xf numFmtId="3" fontId="22" fillId="0" borderId="27" xfId="109" applyNumberFormat="1" applyFont="1" applyBorder="1"/>
    <xf numFmtId="3" fontId="26" fillId="0" borderId="19" xfId="119" applyNumberFormat="1" applyFont="1" applyBorder="1" applyAlignment="1">
      <alignment horizontal="right"/>
    </xf>
    <xf numFmtId="0" fontId="25" fillId="0" borderId="0" xfId="116" applyFont="1" applyFill="1" applyBorder="1" applyAlignment="1">
      <alignment horizontal="right" wrapText="1"/>
    </xf>
    <xf numFmtId="3" fontId="25" fillId="0" borderId="61" xfId="116" applyNumberFormat="1" applyFont="1" applyFill="1" applyBorder="1" applyAlignment="1">
      <alignment horizontal="right" vertical="center" wrapText="1"/>
    </xf>
    <xf numFmtId="0" fontId="25" fillId="0" borderId="27" xfId="116" applyFont="1" applyFill="1" applyBorder="1" applyAlignment="1">
      <alignment horizontal="right" vertical="center" wrapText="1"/>
    </xf>
    <xf numFmtId="3" fontId="26" fillId="0" borderId="27" xfId="116" applyNumberFormat="1" applyFont="1" applyFill="1" applyBorder="1" applyAlignment="1">
      <alignment horizontal="right" vertical="center" wrapText="1"/>
    </xf>
    <xf numFmtId="3" fontId="26" fillId="0" borderId="47" xfId="116" applyNumberFormat="1" applyFont="1" applyFill="1" applyBorder="1" applyAlignment="1">
      <alignment horizontal="right" vertical="center" wrapText="1"/>
    </xf>
    <xf numFmtId="3" fontId="25" fillId="0" borderId="27" xfId="116" applyNumberFormat="1" applyFont="1" applyFill="1" applyBorder="1" applyAlignment="1">
      <alignment horizontal="right" vertical="center" wrapText="1"/>
    </xf>
    <xf numFmtId="0" fontId="26" fillId="0" borderId="34" xfId="109" applyFont="1" applyFill="1" applyBorder="1" applyAlignment="1">
      <alignment wrapText="1"/>
    </xf>
    <xf numFmtId="3" fontId="26" fillId="0" borderId="61" xfId="116" applyNumberFormat="1" applyFont="1" applyFill="1" applyBorder="1" applyAlignment="1">
      <alignment horizontal="right" vertical="center" wrapText="1"/>
    </xf>
    <xf numFmtId="3" fontId="25" fillId="0" borderId="29" xfId="116" applyNumberFormat="1" applyFont="1" applyFill="1" applyBorder="1" applyAlignment="1">
      <alignment horizontal="right"/>
    </xf>
    <xf numFmtId="3" fontId="25" fillId="0" borderId="47" xfId="116" applyNumberFormat="1" applyFont="1" applyFill="1" applyBorder="1" applyAlignment="1">
      <alignment horizontal="right" vertical="center" wrapText="1"/>
    </xf>
    <xf numFmtId="0" fontId="20" fillId="0" borderId="0" xfId="107" applyFont="1"/>
    <xf numFmtId="0" fontId="25" fillId="0" borderId="130" xfId="119" applyFont="1" applyBorder="1" applyAlignment="1">
      <alignment horizontal="center" vertical="center"/>
    </xf>
    <xf numFmtId="0" fontId="25" fillId="0" borderId="68" xfId="119" applyFont="1" applyBorder="1" applyAlignment="1">
      <alignment horizontal="center" vertical="center"/>
    </xf>
    <xf numFmtId="3" fontId="26" fillId="30" borderId="60" xfId="98" applyNumberFormat="1" applyFont="1" applyFill="1" applyBorder="1" applyAlignment="1">
      <alignment wrapText="1"/>
    </xf>
    <xf numFmtId="3" fontId="25" fillId="0" borderId="30" xfId="105" applyNumberFormat="1" applyFont="1" applyBorder="1" applyAlignment="1">
      <alignment horizontal="right"/>
    </xf>
    <xf numFmtId="3" fontId="25" fillId="0" borderId="31" xfId="105" applyNumberFormat="1" applyFont="1" applyBorder="1" applyAlignment="1">
      <alignment horizontal="right"/>
    </xf>
    <xf numFmtId="3" fontId="26" fillId="0" borderId="61" xfId="105" applyNumberFormat="1" applyFont="1" applyBorder="1" applyAlignment="1">
      <alignment horizontal="right"/>
    </xf>
    <xf numFmtId="3" fontId="26" fillId="0" borderId="27" xfId="105" applyNumberFormat="1" applyFont="1" applyFill="1" applyBorder="1"/>
    <xf numFmtId="3" fontId="26" fillId="0" borderId="19" xfId="109" applyNumberFormat="1" applyFont="1" applyBorder="1" applyAlignment="1">
      <alignment horizontal="right" wrapText="1"/>
    </xf>
    <xf numFmtId="3" fontId="25" fillId="0" borderId="29" xfId="105" applyNumberFormat="1" applyFont="1" applyBorder="1" applyAlignment="1">
      <alignment horizontal="right"/>
    </xf>
    <xf numFmtId="3" fontId="25" fillId="0" borderId="47" xfId="105" applyNumberFormat="1" applyFont="1" applyFill="1" applyBorder="1"/>
    <xf numFmtId="3" fontId="26" fillId="0" borderId="48" xfId="105" applyNumberFormat="1" applyFont="1" applyBorder="1" applyAlignment="1">
      <alignment horizontal="center" wrapText="1"/>
    </xf>
    <xf numFmtId="3" fontId="26" fillId="0" borderId="47" xfId="105" applyNumberFormat="1" applyFont="1" applyFill="1" applyBorder="1"/>
    <xf numFmtId="3" fontId="26" fillId="0" borderId="30" xfId="105" applyNumberFormat="1" applyFont="1" applyFill="1" applyBorder="1" applyAlignment="1">
      <alignment horizontal="right"/>
    </xf>
    <xf numFmtId="3" fontId="40" fillId="0" borderId="31" xfId="119" applyNumberFormat="1" applyFont="1" applyBorder="1" applyAlignment="1">
      <alignment horizontal="right" wrapText="1"/>
    </xf>
    <xf numFmtId="0" fontId="26" fillId="0" borderId="61" xfId="105" applyFont="1" applyBorder="1"/>
    <xf numFmtId="3" fontId="26" fillId="0" borderId="27" xfId="105" applyNumberFormat="1" applyFont="1" applyBorder="1"/>
    <xf numFmtId="3" fontId="26" fillId="0" borderId="47" xfId="105" applyNumberFormat="1" applyFont="1" applyBorder="1"/>
    <xf numFmtId="0" fontId="26" fillId="30" borderId="58" xfId="118" applyFont="1" applyFill="1" applyBorder="1" applyAlignment="1">
      <alignment wrapText="1"/>
    </xf>
    <xf numFmtId="3" fontId="25" fillId="0" borderId="20" xfId="105" applyNumberFormat="1" applyFont="1" applyBorder="1" applyAlignment="1">
      <alignment horizontal="right"/>
    </xf>
    <xf numFmtId="3" fontId="25" fillId="0" borderId="27" xfId="105" applyNumberFormat="1" applyFont="1" applyBorder="1"/>
    <xf numFmtId="3" fontId="25" fillId="0" borderId="47" xfId="105" applyNumberFormat="1" applyFont="1" applyBorder="1"/>
    <xf numFmtId="0" fontId="22" fillId="0" borderId="61" xfId="105" applyFont="1" applyBorder="1"/>
    <xf numFmtId="3" fontId="25" fillId="0" borderId="20" xfId="105" applyNumberFormat="1" applyFont="1" applyFill="1" applyBorder="1" applyAlignment="1">
      <alignment horizontal="right"/>
    </xf>
    <xf numFmtId="3" fontId="26" fillId="0" borderId="61" xfId="105" applyNumberFormat="1" applyFont="1" applyFill="1" applyBorder="1"/>
    <xf numFmtId="3" fontId="25" fillId="0" borderId="27" xfId="105" applyNumberFormat="1" applyFont="1" applyFill="1" applyBorder="1"/>
    <xf numFmtId="3" fontId="20" fillId="0" borderId="30" xfId="109" applyNumberFormat="1" applyFont="1" applyBorder="1" applyAlignment="1">
      <alignment horizontal="right"/>
    </xf>
    <xf numFmtId="3" fontId="20" fillId="0" borderId="31" xfId="109" applyNumberFormat="1" applyFont="1" applyBorder="1" applyAlignment="1">
      <alignment horizontal="right"/>
    </xf>
    <xf numFmtId="3" fontId="20" fillId="0" borderId="19" xfId="109" applyNumberFormat="1" applyFont="1" applyBorder="1" applyAlignment="1">
      <alignment horizontal="right" wrapText="1"/>
    </xf>
    <xf numFmtId="0" fontId="22" fillId="0" borderId="27" xfId="109" applyFont="1" applyBorder="1"/>
    <xf numFmtId="3" fontId="22" fillId="0" borderId="47" xfId="109" applyNumberFormat="1" applyFont="1" applyBorder="1"/>
    <xf numFmtId="3" fontId="20" fillId="0" borderId="31" xfId="78" applyNumberFormat="1" applyFont="1" applyBorder="1" applyAlignment="1">
      <alignment horizontal="right"/>
    </xf>
    <xf numFmtId="3" fontId="21" fillId="0" borderId="19" xfId="109" applyNumberFormat="1" applyFont="1" applyBorder="1" applyAlignment="1">
      <alignment horizontal="right" wrapText="1"/>
    </xf>
    <xf numFmtId="0" fontId="20" fillId="29" borderId="0" xfId="119" applyFont="1" applyFill="1" applyBorder="1"/>
    <xf numFmtId="0" fontId="21" fillId="29" borderId="0" xfId="119" applyFont="1" applyFill="1" applyBorder="1" applyAlignment="1">
      <alignment vertical="center"/>
    </xf>
    <xf numFmtId="3" fontId="21" fillId="29" borderId="61" xfId="119" applyNumberFormat="1" applyFont="1" applyFill="1" applyBorder="1"/>
    <xf numFmtId="0" fontId="21" fillId="29" borderId="0" xfId="119" applyFont="1" applyFill="1" applyBorder="1"/>
    <xf numFmtId="3" fontId="20" fillId="29" borderId="27" xfId="119" applyNumberFormat="1" applyFont="1" applyFill="1" applyBorder="1"/>
    <xf numFmtId="3" fontId="21" fillId="29" borderId="27" xfId="119" applyNumberFormat="1" applyFont="1" applyFill="1" applyBorder="1"/>
    <xf numFmtId="3" fontId="21" fillId="29" borderId="0" xfId="119" applyNumberFormat="1" applyFont="1" applyFill="1" applyBorder="1" applyAlignment="1">
      <alignment vertical="center"/>
    </xf>
    <xf numFmtId="0" fontId="20" fillId="29" borderId="0" xfId="119" applyFont="1" applyFill="1" applyBorder="1" applyAlignment="1">
      <alignment vertical="center" wrapText="1"/>
    </xf>
    <xf numFmtId="0" fontId="20" fillId="29" borderId="0" xfId="119" applyFont="1" applyFill="1" applyBorder="1" applyAlignment="1">
      <alignment vertical="center"/>
    </xf>
    <xf numFmtId="3" fontId="21" fillId="29" borderId="0" xfId="119" applyNumberFormat="1" applyFont="1" applyFill="1" applyBorder="1"/>
    <xf numFmtId="0" fontId="21" fillId="0" borderId="0" xfId="119" applyFont="1" applyBorder="1"/>
    <xf numFmtId="3" fontId="20" fillId="29" borderId="47" xfId="119" applyNumberFormat="1" applyFont="1" applyFill="1" applyBorder="1"/>
    <xf numFmtId="0" fontId="25" fillId="0" borderId="0" xfId="0" applyFont="1" applyAlignment="1">
      <alignment horizontal="center"/>
    </xf>
    <xf numFmtId="3" fontId="21" fillId="29" borderId="28" xfId="110" applyNumberFormat="1" applyFont="1" applyFill="1" applyBorder="1" applyAlignment="1">
      <alignment horizontal="right"/>
    </xf>
    <xf numFmtId="3" fontId="21" fillId="29" borderId="19" xfId="110" applyNumberFormat="1" applyFont="1" applyFill="1" applyBorder="1" applyAlignment="1">
      <alignment horizontal="right"/>
    </xf>
    <xf numFmtId="3" fontId="21" fillId="0" borderId="28" xfId="0" applyNumberFormat="1" applyFont="1" applyBorder="1" applyAlignment="1">
      <alignment horizontal="right"/>
    </xf>
    <xf numFmtId="3" fontId="21" fillId="0" borderId="19" xfId="0" applyNumberFormat="1" applyFont="1" applyBorder="1" applyAlignment="1">
      <alignment horizontal="right"/>
    </xf>
    <xf numFmtId="3" fontId="20" fillId="0" borderId="28" xfId="0" applyNumberFormat="1" applyFont="1" applyBorder="1" applyAlignment="1">
      <alignment horizontal="right"/>
    </xf>
    <xf numFmtId="3" fontId="20" fillId="29" borderId="28" xfId="110" applyNumberFormat="1" applyFont="1" applyFill="1" applyBorder="1" applyAlignment="1">
      <alignment horizontal="right"/>
    </xf>
    <xf numFmtId="3" fontId="20" fillId="0" borderId="28" xfId="110" applyNumberFormat="1" applyFont="1" applyBorder="1"/>
    <xf numFmtId="3" fontId="20" fillId="0" borderId="28" xfId="110" applyNumberFormat="1" applyFont="1" applyFill="1" applyBorder="1"/>
    <xf numFmtId="3" fontId="21" fillId="0" borderId="28" xfId="110" applyNumberFormat="1" applyFont="1" applyBorder="1"/>
    <xf numFmtId="3" fontId="20" fillId="0" borderId="28" xfId="0" applyNumberFormat="1" applyFont="1" applyBorder="1"/>
    <xf numFmtId="3" fontId="21" fillId="29" borderId="28" xfId="110" applyNumberFormat="1" applyFont="1" applyFill="1" applyBorder="1"/>
    <xf numFmtId="3" fontId="21" fillId="29" borderId="131" xfId="110" applyNumberFormat="1" applyFont="1" applyFill="1" applyBorder="1"/>
    <xf numFmtId="3" fontId="20" fillId="29" borderId="28" xfId="110" applyNumberFormat="1" applyFont="1" applyFill="1" applyBorder="1"/>
    <xf numFmtId="0" fontId="20" fillId="0" borderId="28" xfId="110" applyFont="1" applyBorder="1"/>
    <xf numFmtId="3" fontId="21" fillId="0" borderId="28" xfId="0" applyNumberFormat="1" applyFont="1" applyBorder="1"/>
    <xf numFmtId="3" fontId="20" fillId="0" borderId="0" xfId="0" applyNumberFormat="1" applyFont="1" applyFill="1"/>
    <xf numFmtId="3" fontId="20" fillId="0" borderId="137" xfId="0" applyNumberFormat="1" applyFont="1" applyFill="1" applyBorder="1"/>
    <xf numFmtId="3" fontId="20" fillId="0" borderId="83" xfId="0" applyNumberFormat="1" applyFont="1" applyFill="1" applyBorder="1"/>
    <xf numFmtId="3" fontId="20" fillId="0" borderId="19" xfId="0" applyNumberFormat="1" applyFont="1" applyFill="1" applyBorder="1"/>
    <xf numFmtId="3" fontId="20" fillId="0" borderId="27" xfId="0" applyNumberFormat="1" applyFont="1" applyFill="1" applyBorder="1"/>
    <xf numFmtId="2" fontId="20" fillId="0" borderId="67" xfId="110" applyNumberFormat="1" applyFont="1" applyFill="1" applyBorder="1"/>
    <xf numFmtId="3" fontId="20" fillId="29" borderId="67" xfId="110" applyNumberFormat="1" applyFont="1" applyFill="1" applyBorder="1"/>
    <xf numFmtId="3" fontId="20" fillId="0" borderId="67" xfId="0" applyNumberFormat="1" applyFont="1" applyFill="1" applyBorder="1"/>
    <xf numFmtId="0" fontId="20" fillId="0" borderId="60" xfId="110" applyFont="1" applyFill="1" applyBorder="1" applyAlignment="1">
      <alignment horizontal="center"/>
    </xf>
    <xf numFmtId="0" fontId="20" fillId="0" borderId="57" xfId="110" applyFont="1" applyFill="1" applyBorder="1"/>
    <xf numFmtId="2" fontId="20" fillId="0" borderId="57" xfId="110" applyNumberFormat="1" applyFont="1" applyFill="1" applyBorder="1"/>
    <xf numFmtId="165" fontId="20" fillId="0" borderId="57" xfId="110" applyNumberFormat="1" applyFont="1" applyFill="1" applyBorder="1"/>
    <xf numFmtId="3" fontId="20" fillId="0" borderId="57" xfId="110" applyNumberFormat="1" applyFont="1" applyFill="1" applyBorder="1"/>
    <xf numFmtId="3" fontId="20" fillId="0" borderId="57" xfId="0" applyNumberFormat="1" applyFont="1" applyFill="1" applyBorder="1"/>
    <xf numFmtId="0" fontId="20" fillId="0" borderId="59" xfId="110" applyFont="1" applyFill="1" applyBorder="1" applyAlignment="1">
      <alignment horizontal="center"/>
    </xf>
    <xf numFmtId="0" fontId="21" fillId="0" borderId="22" xfId="110" applyFont="1" applyFill="1" applyBorder="1"/>
    <xf numFmtId="2" fontId="21" fillId="0" borderId="22" xfId="110" applyNumberFormat="1" applyFont="1" applyFill="1" applyBorder="1"/>
    <xf numFmtId="3" fontId="21" fillId="0" borderId="22" xfId="110" applyNumberFormat="1" applyFont="1" applyFill="1" applyBorder="1"/>
    <xf numFmtId="3" fontId="23" fillId="0" borderId="28" xfId="110" applyNumberFormat="1" applyFont="1" applyFill="1" applyBorder="1"/>
    <xf numFmtId="3" fontId="21" fillId="0" borderId="28" xfId="110" applyNumberFormat="1" applyFont="1" applyFill="1" applyBorder="1"/>
    <xf numFmtId="3" fontId="21" fillId="0" borderId="27" xfId="0" applyNumberFormat="1" applyFont="1" applyFill="1" applyBorder="1"/>
    <xf numFmtId="3" fontId="28" fillId="0" borderId="28" xfId="110" applyNumberFormat="1" applyFont="1" applyBorder="1"/>
    <xf numFmtId="3" fontId="20" fillId="0" borderId="27" xfId="0" applyNumberFormat="1" applyFont="1" applyBorder="1"/>
    <xf numFmtId="0" fontId="20" fillId="0" borderId="26" xfId="0" applyFont="1" applyBorder="1"/>
    <xf numFmtId="0" fontId="20" fillId="0" borderId="94" xfId="0" applyFont="1" applyBorder="1"/>
    <xf numFmtId="0" fontId="20" fillId="0" borderId="19" xfId="0" applyFont="1" applyFill="1" applyBorder="1"/>
    <xf numFmtId="0" fontId="20" fillId="0" borderId="22" xfId="0" applyFont="1" applyBorder="1"/>
    <xf numFmtId="3" fontId="20" fillId="0" borderId="46" xfId="0" applyNumberFormat="1" applyFont="1" applyBorder="1"/>
    <xf numFmtId="0" fontId="20" fillId="0" borderId="27" xfId="0" applyFont="1" applyBorder="1"/>
    <xf numFmtId="3" fontId="20" fillId="0" borderId="19" xfId="0" applyNumberFormat="1" applyFont="1" applyBorder="1"/>
    <xf numFmtId="3" fontId="21" fillId="0" borderId="27" xfId="0" applyNumberFormat="1" applyFont="1" applyBorder="1"/>
    <xf numFmtId="0" fontId="21" fillId="0" borderId="19" xfId="0" applyFont="1" applyBorder="1"/>
    <xf numFmtId="3" fontId="21" fillId="0" borderId="19" xfId="0" applyNumberFormat="1" applyFont="1" applyBorder="1"/>
    <xf numFmtId="0" fontId="21" fillId="0" borderId="27" xfId="0" applyFont="1" applyBorder="1"/>
    <xf numFmtId="3" fontId="21" fillId="0" borderId="19" xfId="0" applyNumberFormat="1" applyFont="1" applyFill="1" applyBorder="1"/>
    <xf numFmtId="0" fontId="25" fillId="0" borderId="128" xfId="119" applyFont="1" applyBorder="1" applyAlignment="1">
      <alignment horizontal="center" vertical="center" wrapText="1"/>
    </xf>
    <xf numFmtId="0" fontId="25" fillId="0" borderId="129" xfId="119" applyFont="1" applyBorder="1" applyAlignment="1">
      <alignment horizontal="center" vertical="center" wrapText="1"/>
    </xf>
    <xf numFmtId="0" fontId="25" fillId="0" borderId="61" xfId="109" applyFont="1" applyBorder="1"/>
    <xf numFmtId="3" fontId="25" fillId="0" borderId="27" xfId="109" applyNumberFormat="1" applyFont="1" applyBorder="1"/>
    <xf numFmtId="3" fontId="26" fillId="0" borderId="27" xfId="109" applyNumberFormat="1" applyFont="1" applyBorder="1" applyAlignment="1">
      <alignment horizontal="right"/>
    </xf>
    <xf numFmtId="3" fontId="25" fillId="0" borderId="27" xfId="109" applyNumberFormat="1" applyFont="1" applyBorder="1" applyAlignment="1">
      <alignment horizontal="right"/>
    </xf>
    <xf numFmtId="0" fontId="26" fillId="30" borderId="60" xfId="118" applyFont="1" applyFill="1" applyBorder="1" applyAlignment="1">
      <alignment wrapText="1"/>
    </xf>
    <xf numFmtId="0" fontId="26" fillId="30" borderId="59" xfId="118" applyFont="1" applyFill="1" applyBorder="1" applyAlignment="1">
      <alignment wrapText="1"/>
    </xf>
    <xf numFmtId="3" fontId="26" fillId="0" borderId="47" xfId="109" applyNumberFormat="1" applyFont="1" applyBorder="1" applyAlignment="1">
      <alignment horizontal="right"/>
    </xf>
    <xf numFmtId="0" fontId="25" fillId="0" borderId="38" xfId="119" applyFont="1" applyBorder="1" applyAlignment="1">
      <alignment horizontal="center" vertical="center" wrapText="1"/>
    </xf>
    <xf numFmtId="3" fontId="25" fillId="0" borderId="61" xfId="109" applyNumberFormat="1" applyFont="1" applyBorder="1"/>
    <xf numFmtId="0" fontId="26" fillId="0" borderId="58" xfId="119" applyFont="1" applyFill="1" applyBorder="1" applyAlignment="1">
      <alignment horizontal="left" wrapText="1" indent="2"/>
    </xf>
    <xf numFmtId="3" fontId="25" fillId="0" borderId="47" xfId="109" applyNumberFormat="1" applyFont="1" applyBorder="1" applyAlignment="1">
      <alignment horizontal="right"/>
    </xf>
    <xf numFmtId="0" fontId="25" fillId="0" borderId="102" xfId="107" applyFont="1" applyBorder="1" applyAlignment="1">
      <alignment horizontal="center" vertical="center" wrapText="1"/>
    </xf>
    <xf numFmtId="0" fontId="26" fillId="0" borderId="58" xfId="107" applyFont="1" applyBorder="1" applyAlignment="1">
      <alignment wrapText="1"/>
    </xf>
    <xf numFmtId="0" fontId="26" fillId="0" borderId="30" xfId="107" applyFont="1" applyBorder="1"/>
    <xf numFmtId="0" fontId="26" fillId="0" borderId="31" xfId="107" applyFont="1" applyBorder="1"/>
    <xf numFmtId="0" fontId="26" fillId="0" borderId="61" xfId="107" applyFont="1" applyBorder="1"/>
    <xf numFmtId="3" fontId="26" fillId="0" borderId="19" xfId="107" applyNumberFormat="1" applyFont="1" applyBorder="1"/>
    <xf numFmtId="0" fontId="26" fillId="0" borderId="27" xfId="107" applyFont="1" applyBorder="1"/>
    <xf numFmtId="3" fontId="26" fillId="0" borderId="27" xfId="107" applyNumberFormat="1" applyFont="1" applyBorder="1"/>
    <xf numFmtId="0" fontId="25" fillId="0" borderId="58" xfId="107" applyFont="1" applyBorder="1" applyAlignment="1">
      <alignment wrapText="1"/>
    </xf>
    <xf numFmtId="3" fontId="25" fillId="0" borderId="19" xfId="107" applyNumberFormat="1" applyFont="1" applyBorder="1"/>
    <xf numFmtId="3" fontId="25" fillId="0" borderId="27" xfId="107" applyNumberFormat="1" applyFont="1" applyBorder="1"/>
    <xf numFmtId="0" fontId="26" fillId="0" borderId="58" xfId="107" applyFont="1" applyFill="1" applyBorder="1" applyAlignment="1">
      <alignment wrapText="1"/>
    </xf>
    <xf numFmtId="0" fontId="26" fillId="0" borderId="59" xfId="107" applyFont="1" applyBorder="1" applyAlignment="1">
      <alignment wrapText="1"/>
    </xf>
    <xf numFmtId="3" fontId="26" fillId="0" borderId="22" xfId="107" applyNumberFormat="1" applyFont="1" applyBorder="1"/>
    <xf numFmtId="3" fontId="26" fillId="0" borderId="47" xfId="107" applyNumberFormat="1" applyFont="1" applyBorder="1"/>
    <xf numFmtId="0" fontId="25" fillId="0" borderId="102" xfId="99" applyFont="1" applyBorder="1" applyAlignment="1">
      <alignment horizontal="center" vertical="center" wrapText="1"/>
    </xf>
    <xf numFmtId="3" fontId="26" fillId="0" borderId="31" xfId="107" applyNumberFormat="1" applyFont="1" applyBorder="1"/>
    <xf numFmtId="0" fontId="26" fillId="0" borderId="63" xfId="107" applyFont="1" applyBorder="1" applyAlignment="1">
      <alignment wrapText="1"/>
    </xf>
    <xf numFmtId="0" fontId="25" fillId="0" borderId="27" xfId="107" applyFont="1" applyBorder="1"/>
    <xf numFmtId="0" fontId="26" fillId="0" borderId="58" xfId="98" applyFont="1" applyBorder="1" applyAlignment="1">
      <alignment wrapText="1"/>
    </xf>
    <xf numFmtId="0" fontId="25" fillId="0" borderId="63" xfId="107" applyFont="1" applyBorder="1" applyAlignment="1">
      <alignment wrapText="1"/>
    </xf>
    <xf numFmtId="3" fontId="25" fillId="0" borderId="19" xfId="119" applyNumberFormat="1" applyFont="1" applyBorder="1" applyAlignment="1">
      <alignment horizontal="center" vertical="center" wrapText="1"/>
    </xf>
    <xf numFmtId="0" fontId="26" fillId="0" borderId="58" xfId="114" applyFont="1" applyBorder="1" applyAlignment="1">
      <alignment wrapText="1"/>
    </xf>
    <xf numFmtId="3" fontId="26" fillId="0" borderId="19" xfId="114" applyNumberFormat="1" applyFont="1" applyBorder="1"/>
    <xf numFmtId="0" fontId="26" fillId="0" borderId="60" xfId="107" applyFont="1" applyBorder="1" applyAlignment="1">
      <alignment wrapText="1"/>
    </xf>
    <xf numFmtId="0" fontId="25" fillId="0" borderId="59" xfId="107" applyFont="1" applyBorder="1" applyAlignment="1">
      <alignment wrapText="1"/>
    </xf>
    <xf numFmtId="3" fontId="25" fillId="0" borderId="22" xfId="107" applyNumberFormat="1" applyFont="1" applyBorder="1"/>
    <xf numFmtId="3" fontId="25" fillId="0" borderId="47" xfId="107" applyNumberFormat="1" applyFont="1" applyBorder="1"/>
    <xf numFmtId="3" fontId="20" fillId="0" borderId="70" xfId="109" applyNumberFormat="1" applyFont="1" applyBorder="1" applyAlignment="1">
      <alignment horizontal="right"/>
    </xf>
    <xf numFmtId="3" fontId="20" fillId="0" borderId="58" xfId="109" applyNumberFormat="1" applyFont="1" applyBorder="1" applyAlignment="1">
      <alignment horizontal="right"/>
    </xf>
    <xf numFmtId="3" fontId="20" fillId="0" borderId="58" xfId="78" applyNumberFormat="1" applyFont="1" applyBorder="1" applyAlignment="1">
      <alignment horizontal="right"/>
    </xf>
    <xf numFmtId="3" fontId="21" fillId="0" borderId="58" xfId="78" applyNumberFormat="1" applyFont="1" applyBorder="1" applyAlignment="1">
      <alignment horizontal="right"/>
    </xf>
    <xf numFmtId="3" fontId="21" fillId="0" borderId="58" xfId="109" applyNumberFormat="1" applyFont="1" applyBorder="1" applyAlignment="1">
      <alignment horizontal="right"/>
    </xf>
    <xf numFmtId="3" fontId="21" fillId="0" borderId="59" xfId="78" applyNumberFormat="1" applyFont="1" applyBorder="1" applyAlignment="1">
      <alignment horizontal="right"/>
    </xf>
    <xf numFmtId="3" fontId="20" fillId="0" borderId="28" xfId="110" applyNumberFormat="1" applyFont="1" applyFill="1" applyBorder="1" applyAlignment="1">
      <alignment vertical="center"/>
    </xf>
    <xf numFmtId="3" fontId="20" fillId="0" borderId="69" xfId="110" applyNumberFormat="1" applyFont="1" applyFill="1" applyBorder="1"/>
    <xf numFmtId="3" fontId="20" fillId="0" borderId="32" xfId="110" applyNumberFormat="1" applyFont="1" applyFill="1" applyBorder="1"/>
    <xf numFmtId="3" fontId="21" fillId="0" borderId="69" xfId="110" applyNumberFormat="1" applyFont="1" applyFill="1" applyBorder="1"/>
    <xf numFmtId="3" fontId="21" fillId="0" borderId="79" xfId="110" applyNumberFormat="1" applyFont="1" applyFill="1" applyBorder="1"/>
    <xf numFmtId="3" fontId="21" fillId="0" borderId="28" xfId="110" applyNumberFormat="1" applyFont="1" applyFill="1" applyBorder="1" applyAlignment="1"/>
    <xf numFmtId="3" fontId="24" fillId="0" borderId="32" xfId="110" applyNumberFormat="1" applyFont="1" applyFill="1" applyBorder="1"/>
    <xf numFmtId="2" fontId="20" fillId="0" borderId="20" xfId="110" applyNumberFormat="1" applyFont="1" applyFill="1" applyBorder="1"/>
    <xf numFmtId="2" fontId="20" fillId="0" borderId="62" xfId="110" applyNumberFormat="1" applyFont="1" applyFill="1" applyBorder="1"/>
    <xf numFmtId="2" fontId="20" fillId="0" borderId="56" xfId="110" applyNumberFormat="1" applyFont="1" applyFill="1" applyBorder="1"/>
    <xf numFmtId="2" fontId="21" fillId="0" borderId="20" xfId="110" applyNumberFormat="1" applyFont="1" applyFill="1" applyBorder="1"/>
    <xf numFmtId="2" fontId="20" fillId="0" borderId="20" xfId="110" applyNumberFormat="1" applyFont="1" applyBorder="1"/>
    <xf numFmtId="2" fontId="21" fillId="0" borderId="62" xfId="110" applyNumberFormat="1" applyFont="1" applyFill="1" applyBorder="1"/>
    <xf numFmtId="2" fontId="21" fillId="0" borderId="29" xfId="110" applyNumberFormat="1" applyFont="1" applyFill="1" applyBorder="1"/>
    <xf numFmtId="2" fontId="20" fillId="0" borderId="58" xfId="110" applyNumberFormat="1" applyFont="1" applyFill="1" applyBorder="1"/>
    <xf numFmtId="2" fontId="21" fillId="0" borderId="58" xfId="110" applyNumberFormat="1" applyFont="1" applyFill="1" applyBorder="1"/>
    <xf numFmtId="2" fontId="21" fillId="0" borderId="60" xfId="110" applyNumberFormat="1" applyFont="1" applyFill="1" applyBorder="1"/>
    <xf numFmtId="1" fontId="20" fillId="0" borderId="58" xfId="110" applyNumberFormat="1" applyFont="1" applyFill="1" applyBorder="1"/>
    <xf numFmtId="3" fontId="20" fillId="0" borderId="58" xfId="110" applyNumberFormat="1" applyFont="1" applyFill="1" applyBorder="1"/>
    <xf numFmtId="3" fontId="23" fillId="0" borderId="58" xfId="110" applyNumberFormat="1" applyFont="1" applyFill="1" applyBorder="1"/>
    <xf numFmtId="3" fontId="21" fillId="0" borderId="58" xfId="110" applyNumberFormat="1" applyFont="1" applyFill="1" applyBorder="1"/>
    <xf numFmtId="1" fontId="21" fillId="0" borderId="58" xfId="110" applyNumberFormat="1" applyFont="1" applyFill="1" applyBorder="1"/>
    <xf numFmtId="2" fontId="20" fillId="0" borderId="58" xfId="110" applyNumberFormat="1" applyFont="1" applyBorder="1"/>
    <xf numFmtId="0" fontId="20" fillId="0" borderId="0" xfId="0" applyFont="1" applyBorder="1"/>
    <xf numFmtId="3" fontId="20" fillId="0" borderId="0" xfId="0" applyNumberFormat="1" applyFont="1" applyBorder="1"/>
    <xf numFmtId="3" fontId="21" fillId="0" borderId="59" xfId="110" applyNumberFormat="1" applyFont="1" applyFill="1" applyBorder="1"/>
    <xf numFmtId="3" fontId="21" fillId="0" borderId="138" xfId="110" applyNumberFormat="1" applyFont="1" applyFill="1" applyBorder="1"/>
    <xf numFmtId="3" fontId="21" fillId="0" borderId="138" xfId="110" applyNumberFormat="1" applyFont="1" applyBorder="1"/>
    <xf numFmtId="3" fontId="21" fillId="0" borderId="79" xfId="110" applyNumberFormat="1" applyFont="1" applyBorder="1"/>
    <xf numFmtId="3" fontId="21" fillId="0" borderId="22" xfId="110" applyNumberFormat="1" applyFont="1" applyBorder="1"/>
    <xf numFmtId="0" fontId="21" fillId="0" borderId="56" xfId="110" applyFont="1" applyFill="1" applyBorder="1"/>
    <xf numFmtId="3" fontId="20" fillId="29" borderId="57" xfId="110" applyNumberFormat="1" applyFont="1" applyFill="1" applyBorder="1"/>
    <xf numFmtId="3" fontId="21" fillId="29" borderId="32" xfId="110" applyNumberFormat="1" applyFont="1" applyFill="1" applyBorder="1"/>
    <xf numFmtId="3" fontId="21" fillId="29" borderId="57" xfId="110" applyNumberFormat="1" applyFont="1" applyFill="1" applyBorder="1"/>
    <xf numFmtId="3" fontId="21" fillId="29" borderId="83" xfId="110" applyNumberFormat="1" applyFont="1" applyFill="1" applyBorder="1"/>
    <xf numFmtId="3" fontId="21" fillId="29" borderId="83" xfId="110" applyNumberFormat="1" applyFont="1" applyFill="1" applyBorder="1" applyAlignment="1">
      <alignment horizontal="right"/>
    </xf>
    <xf numFmtId="3" fontId="21" fillId="29" borderId="32" xfId="110" applyNumberFormat="1" applyFont="1" applyFill="1" applyBorder="1" applyAlignment="1">
      <alignment horizontal="right"/>
    </xf>
    <xf numFmtId="3" fontId="21" fillId="29" borderId="61" xfId="110" applyNumberFormat="1" applyFont="1" applyFill="1" applyBorder="1" applyAlignment="1">
      <alignment horizontal="right"/>
    </xf>
    <xf numFmtId="3" fontId="20" fillId="0" borderId="139" xfId="0" applyNumberFormat="1" applyFont="1" applyFill="1" applyBorder="1"/>
    <xf numFmtId="0" fontId="20" fillId="0" borderId="26" xfId="110" applyFont="1" applyFill="1" applyBorder="1"/>
    <xf numFmtId="0" fontId="20" fillId="0" borderId="122" xfId="110" applyFont="1" applyFill="1" applyBorder="1"/>
    <xf numFmtId="0" fontId="20" fillId="0" borderId="73" xfId="110" applyFont="1" applyFill="1" applyBorder="1"/>
    <xf numFmtId="0" fontId="21" fillId="0" borderId="26" xfId="110" applyFont="1" applyFill="1" applyBorder="1"/>
    <xf numFmtId="3" fontId="20" fillId="0" borderId="26" xfId="110" applyNumberFormat="1" applyFont="1" applyFill="1" applyBorder="1"/>
    <xf numFmtId="0" fontId="20" fillId="0" borderId="26" xfId="0" applyFont="1" applyBorder="1" applyAlignment="1">
      <alignment wrapText="1"/>
    </xf>
    <xf numFmtId="0" fontId="21" fillId="0" borderId="122" xfId="110" applyFont="1" applyFill="1" applyBorder="1"/>
    <xf numFmtId="0" fontId="20" fillId="0" borderId="81" xfId="110" applyNumberFormat="1" applyFont="1" applyFill="1" applyBorder="1" applyAlignment="1">
      <alignment horizontal="center"/>
    </xf>
    <xf numFmtId="0" fontId="20" fillId="0" borderId="37" xfId="110" applyNumberFormat="1" applyFont="1" applyFill="1" applyBorder="1" applyAlignment="1">
      <alignment horizontal="center"/>
    </xf>
    <xf numFmtId="0" fontId="20" fillId="0" borderId="123" xfId="110" applyNumberFormat="1" applyFont="1" applyFill="1" applyBorder="1" applyAlignment="1">
      <alignment horizontal="center"/>
    </xf>
    <xf numFmtId="0" fontId="21" fillId="0" borderId="37" xfId="110" applyNumberFormat="1" applyFont="1" applyFill="1" applyBorder="1" applyAlignment="1">
      <alignment horizontal="center"/>
    </xf>
    <xf numFmtId="0" fontId="21" fillId="0" borderId="123" xfId="110" applyNumberFormat="1" applyFont="1" applyFill="1" applyBorder="1" applyAlignment="1">
      <alignment horizontal="center"/>
    </xf>
    <xf numFmtId="0" fontId="20" fillId="0" borderId="73" xfId="110" applyFont="1" applyFill="1" applyBorder="1" applyAlignment="1">
      <alignment wrapText="1"/>
    </xf>
    <xf numFmtId="0" fontId="20" fillId="0" borderId="26" xfId="110" applyFont="1" applyFill="1" applyBorder="1" applyAlignment="1">
      <alignment wrapText="1"/>
    </xf>
    <xf numFmtId="0" fontId="21" fillId="0" borderId="73" xfId="110" applyFont="1" applyFill="1" applyBorder="1"/>
    <xf numFmtId="0" fontId="23" fillId="0" borderId="26" xfId="110" applyFont="1" applyFill="1" applyBorder="1"/>
    <xf numFmtId="0" fontId="23" fillId="0" borderId="26" xfId="110" applyFont="1" applyFill="1" applyBorder="1" applyAlignment="1">
      <alignment wrapText="1"/>
    </xf>
    <xf numFmtId="0" fontId="21" fillId="0" borderId="26" xfId="110" applyFont="1" applyFill="1" applyBorder="1" applyAlignment="1">
      <alignment wrapText="1"/>
    </xf>
    <xf numFmtId="0" fontId="20" fillId="0" borderId="26" xfId="112" applyFont="1" applyFill="1" applyBorder="1"/>
    <xf numFmtId="0" fontId="21" fillId="0" borderId="132" xfId="110" applyFont="1" applyFill="1" applyBorder="1" applyAlignment="1">
      <alignment wrapText="1"/>
    </xf>
    <xf numFmtId="0" fontId="20" fillId="0" borderId="127" xfId="110" applyNumberFormat="1" applyFont="1" applyFill="1" applyBorder="1" applyAlignment="1">
      <alignment horizontal="center"/>
    </xf>
    <xf numFmtId="0" fontId="21" fillId="0" borderId="37" xfId="110" applyFont="1" applyBorder="1"/>
    <xf numFmtId="0" fontId="21" fillId="0" borderId="37" xfId="110" applyFont="1" applyFill="1" applyBorder="1" applyAlignment="1">
      <alignment horizontal="center"/>
    </xf>
    <xf numFmtId="0" fontId="20" fillId="0" borderId="37" xfId="110" applyFont="1" applyBorder="1"/>
    <xf numFmtId="0" fontId="20" fillId="0" borderId="82" xfId="110" applyNumberFormat="1" applyFont="1" applyFill="1" applyBorder="1" applyAlignment="1">
      <alignment horizontal="center"/>
    </xf>
    <xf numFmtId="0" fontId="21" fillId="0" borderId="82" xfId="110" applyFont="1" applyFill="1" applyBorder="1" applyAlignment="1">
      <alignment horizontal="center"/>
    </xf>
    <xf numFmtId="0" fontId="21" fillId="0" borderId="132" xfId="110" applyFont="1" applyFill="1" applyBorder="1"/>
    <xf numFmtId="2" fontId="21" fillId="0" borderId="59" xfId="110" applyNumberFormat="1" applyFont="1" applyFill="1" applyBorder="1"/>
    <xf numFmtId="3" fontId="21" fillId="0" borderId="22" xfId="0" applyNumberFormat="1" applyFont="1" applyFill="1" applyBorder="1"/>
    <xf numFmtId="3" fontId="21" fillId="0" borderId="47" xfId="0" applyNumberFormat="1" applyFont="1" applyFill="1" applyBorder="1"/>
    <xf numFmtId="0" fontId="21" fillId="0" borderId="82" xfId="110" applyNumberFormat="1" applyFont="1" applyFill="1" applyBorder="1" applyAlignment="1">
      <alignment horizontal="center"/>
    </xf>
    <xf numFmtId="3" fontId="20" fillId="0" borderId="22" xfId="0" applyNumberFormat="1" applyFont="1" applyFill="1" applyBorder="1"/>
    <xf numFmtId="3" fontId="20" fillId="0" borderId="47" xfId="0" applyNumberFormat="1" applyFont="1" applyFill="1" applyBorder="1"/>
    <xf numFmtId="3" fontId="20" fillId="0" borderId="58" xfId="107" applyNumberFormat="1" applyFont="1" applyBorder="1"/>
    <xf numFmtId="3" fontId="20" fillId="0" borderId="19" xfId="107" applyNumberFormat="1" applyFont="1" applyFill="1" applyBorder="1"/>
    <xf numFmtId="3" fontId="20" fillId="29" borderId="60" xfId="119" applyNumberFormat="1" applyFont="1" applyFill="1" applyBorder="1"/>
    <xf numFmtId="3" fontId="21" fillId="0" borderId="58" xfId="119" applyNumberFormat="1" applyFont="1" applyBorder="1"/>
    <xf numFmtId="3" fontId="20" fillId="29" borderId="31" xfId="119" applyNumberFormat="1" applyFont="1" applyFill="1" applyBorder="1"/>
    <xf numFmtId="3" fontId="20" fillId="29" borderId="57" xfId="119" applyNumberFormat="1" applyFont="1" applyFill="1" applyBorder="1"/>
    <xf numFmtId="3" fontId="20" fillId="0" borderId="140" xfId="119" applyNumberFormat="1" applyFont="1" applyBorder="1" applyAlignment="1">
      <alignment horizontal="right"/>
    </xf>
    <xf numFmtId="3" fontId="21" fillId="0" borderId="45" xfId="119" applyNumberFormat="1" applyFont="1" applyBorder="1"/>
    <xf numFmtId="3" fontId="28" fillId="0" borderId="68" xfId="119" applyNumberFormat="1" applyFont="1" applyBorder="1"/>
    <xf numFmtId="3" fontId="22" fillId="0" borderId="68" xfId="119" applyNumberFormat="1" applyFont="1" applyBorder="1"/>
    <xf numFmtId="3" fontId="33" fillId="29" borderId="58" xfId="119" applyNumberFormat="1" applyFont="1" applyFill="1" applyBorder="1"/>
    <xf numFmtId="4" fontId="28" fillId="29" borderId="58" xfId="119" applyNumberFormat="1" applyFont="1" applyFill="1" applyBorder="1" applyAlignment="1">
      <alignment horizontal="right" wrapText="1"/>
    </xf>
    <xf numFmtId="4" fontId="28" fillId="29" borderId="59" xfId="119" applyNumberFormat="1" applyFont="1" applyFill="1" applyBorder="1" applyAlignment="1">
      <alignment horizontal="right" wrapText="1"/>
    </xf>
    <xf numFmtId="3" fontId="20" fillId="29" borderId="58" xfId="119" applyNumberFormat="1" applyFont="1" applyFill="1" applyBorder="1" applyAlignment="1">
      <alignment horizontal="right" wrapText="1"/>
    </xf>
    <xf numFmtId="0" fontId="21" fillId="29" borderId="58" xfId="119" applyFont="1" applyFill="1" applyBorder="1" applyAlignment="1">
      <alignment vertical="center"/>
    </xf>
    <xf numFmtId="3" fontId="0" fillId="0" borderId="0" xfId="0" applyNumberFormat="1" applyFill="1"/>
    <xf numFmtId="0" fontId="22" fillId="0" borderId="94" xfId="107" applyFont="1" applyBorder="1"/>
    <xf numFmtId="3" fontId="21" fillId="0" borderId="61" xfId="107" applyNumberFormat="1" applyFont="1" applyBorder="1"/>
    <xf numFmtId="3" fontId="21" fillId="0" borderId="47" xfId="107" applyNumberFormat="1" applyFont="1" applyBorder="1"/>
    <xf numFmtId="3" fontId="26" fillId="0" borderId="58" xfId="107" applyNumberFormat="1" applyFont="1" applyBorder="1"/>
    <xf numFmtId="3" fontId="25" fillId="0" borderId="58" xfId="107" applyNumberFormat="1" applyFont="1" applyBorder="1"/>
    <xf numFmtId="3" fontId="26" fillId="0" borderId="59" xfId="107" applyNumberFormat="1" applyFont="1" applyBorder="1"/>
    <xf numFmtId="0" fontId="25" fillId="0" borderId="45" xfId="119" applyFont="1" applyBorder="1" applyAlignment="1">
      <alignment horizontal="center" vertical="center" wrapText="1"/>
    </xf>
    <xf numFmtId="3" fontId="26" fillId="0" borderId="70" xfId="107" applyNumberFormat="1" applyFont="1" applyBorder="1"/>
    <xf numFmtId="3" fontId="25" fillId="0" borderId="59" xfId="107" applyNumberFormat="1" applyFont="1" applyBorder="1"/>
    <xf numFmtId="3" fontId="26" fillId="0" borderId="58" xfId="119" applyNumberFormat="1" applyFont="1" applyFill="1" applyBorder="1" applyAlignment="1">
      <alignment horizontal="right" wrapText="1"/>
    </xf>
    <xf numFmtId="3" fontId="26" fillId="0" borderId="59" xfId="119" applyNumberFormat="1" applyFont="1" applyFill="1" applyBorder="1" applyAlignment="1">
      <alignment horizontal="right" wrapText="1"/>
    </xf>
    <xf numFmtId="3" fontId="26" fillId="0" borderId="70" xfId="119" applyNumberFormat="1" applyFont="1" applyFill="1" applyBorder="1" applyAlignment="1">
      <alignment horizontal="right" wrapText="1"/>
    </xf>
    <xf numFmtId="3" fontId="26" fillId="0" borderId="31" xfId="119" applyNumberFormat="1" applyFont="1" applyFill="1" applyBorder="1" applyAlignment="1">
      <alignment horizontal="right" wrapText="1"/>
    </xf>
    <xf numFmtId="0" fontId="25" fillId="0" borderId="17" xfId="119" applyFont="1" applyFill="1" applyBorder="1" applyAlignment="1">
      <alignment horizontal="left" vertical="center" wrapText="1" indent="1"/>
    </xf>
    <xf numFmtId="3" fontId="25" fillId="0" borderId="57" xfId="119" applyNumberFormat="1" applyFont="1" applyFill="1" applyBorder="1" applyAlignment="1">
      <alignment horizontal="right"/>
    </xf>
    <xf numFmtId="3" fontId="25" fillId="0" borderId="83" xfId="109" applyNumberFormat="1" applyFont="1" applyBorder="1" applyAlignment="1">
      <alignment horizontal="right"/>
    </xf>
    <xf numFmtId="3" fontId="26" fillId="0" borderId="63" xfId="119" applyNumberFormat="1" applyFont="1" applyFill="1" applyBorder="1" applyAlignment="1">
      <alignment horizontal="right" wrapText="1"/>
    </xf>
    <xf numFmtId="3" fontId="26" fillId="0" borderId="67" xfId="119" applyNumberFormat="1" applyFont="1" applyFill="1" applyBorder="1" applyAlignment="1">
      <alignment horizontal="right" wrapText="1"/>
    </xf>
    <xf numFmtId="3" fontId="26" fillId="0" borderId="84" xfId="109" applyNumberFormat="1" applyFont="1" applyBorder="1" applyAlignment="1">
      <alignment horizontal="right"/>
    </xf>
    <xf numFmtId="0" fontId="26" fillId="0" borderId="63" xfId="119" applyFont="1" applyFill="1" applyBorder="1" applyAlignment="1">
      <alignment horizontal="left" vertical="center" wrapText="1" indent="2"/>
    </xf>
    <xf numFmtId="3" fontId="25" fillId="0" borderId="58" xfId="119" applyNumberFormat="1" applyFont="1" applyFill="1" applyBorder="1" applyAlignment="1">
      <alignment horizontal="right" wrapText="1"/>
    </xf>
    <xf numFmtId="0" fontId="20" fillId="0" borderId="29" xfId="119" applyFont="1" applyBorder="1" applyAlignment="1">
      <alignment wrapText="1"/>
    </xf>
    <xf numFmtId="3" fontId="26" fillId="0" borderId="47" xfId="119" applyNumberFormat="1" applyFont="1" applyBorder="1"/>
    <xf numFmtId="3" fontId="26" fillId="0" borderId="58" xfId="105" applyNumberFormat="1" applyFont="1" applyFill="1" applyBorder="1" applyAlignment="1">
      <alignment horizontal="right"/>
    </xf>
    <xf numFmtId="3" fontId="26" fillId="0" borderId="26" xfId="105" applyNumberFormat="1" applyFont="1" applyFill="1" applyBorder="1" applyAlignment="1">
      <alignment horizontal="right"/>
    </xf>
    <xf numFmtId="3" fontId="26" fillId="0" borderId="65" xfId="105" applyNumberFormat="1" applyFont="1" applyFill="1" applyBorder="1" applyAlignment="1">
      <alignment horizontal="right"/>
    </xf>
    <xf numFmtId="3" fontId="25" fillId="0" borderId="141" xfId="105" applyNumberFormat="1" applyFont="1" applyFill="1" applyBorder="1" applyAlignment="1">
      <alignment horizontal="right"/>
    </xf>
    <xf numFmtId="3" fontId="25" fillId="0" borderId="142" xfId="105" applyNumberFormat="1" applyFont="1" applyFill="1" applyBorder="1" applyAlignment="1">
      <alignment horizontal="right"/>
    </xf>
    <xf numFmtId="3" fontId="25" fillId="0" borderId="61" xfId="105" applyNumberFormat="1" applyFont="1" applyFill="1" applyBorder="1"/>
    <xf numFmtId="3" fontId="20" fillId="29" borderId="65" xfId="119" applyNumberFormat="1" applyFont="1" applyFill="1" applyBorder="1"/>
    <xf numFmtId="3" fontId="20" fillId="0" borderId="49" xfId="119" applyNumberFormat="1" applyFont="1" applyBorder="1"/>
    <xf numFmtId="3" fontId="21" fillId="0" borderId="49" xfId="119" applyNumberFormat="1" applyFont="1" applyBorder="1"/>
    <xf numFmtId="3" fontId="20" fillId="29" borderId="61" xfId="119" applyNumberFormat="1" applyFont="1" applyFill="1" applyBorder="1"/>
    <xf numFmtId="3" fontId="21" fillId="0" borderId="47" xfId="119" applyNumberFormat="1" applyFont="1" applyBorder="1"/>
    <xf numFmtId="0" fontId="25" fillId="0" borderId="143" xfId="109" applyFont="1" applyBorder="1"/>
    <xf numFmtId="3" fontId="25" fillId="0" borderId="110" xfId="109" applyNumberFormat="1" applyFont="1" applyBorder="1"/>
    <xf numFmtId="3" fontId="26" fillId="0" borderId="110" xfId="109" applyNumberFormat="1" applyFont="1" applyBorder="1"/>
    <xf numFmtId="3" fontId="25" fillId="0" borderId="144" xfId="109" applyNumberFormat="1" applyFont="1" applyBorder="1"/>
    <xf numFmtId="3" fontId="25" fillId="0" borderId="145" xfId="119" applyNumberFormat="1" applyFont="1" applyFill="1" applyBorder="1" applyAlignment="1">
      <alignment horizontal="right"/>
    </xf>
    <xf numFmtId="3" fontId="25" fillId="0" borderId="146" xfId="119" applyNumberFormat="1" applyFont="1" applyFill="1" applyBorder="1" applyAlignment="1">
      <alignment horizontal="right"/>
    </xf>
    <xf numFmtId="3" fontId="25" fillId="0" borderId="146" xfId="119" applyNumberFormat="1" applyFont="1" applyFill="1" applyBorder="1" applyAlignment="1">
      <alignment horizontal="right" wrapText="1"/>
    </xf>
    <xf numFmtId="3" fontId="26" fillId="0" borderId="146" xfId="119" applyNumberFormat="1" applyFont="1" applyFill="1" applyBorder="1" applyAlignment="1">
      <alignment horizontal="right"/>
    </xf>
    <xf numFmtId="3" fontId="26" fillId="0" borderId="147" xfId="119" applyNumberFormat="1" applyFont="1" applyFill="1" applyBorder="1" applyAlignment="1">
      <alignment horizontal="right"/>
    </xf>
    <xf numFmtId="3" fontId="25" fillId="0" borderId="148" xfId="119" applyNumberFormat="1" applyFont="1" applyFill="1" applyBorder="1" applyAlignment="1">
      <alignment horizontal="right" wrapText="1"/>
    </xf>
    <xf numFmtId="3" fontId="25" fillId="0" borderId="149" xfId="119" applyNumberFormat="1" applyFont="1" applyFill="1" applyBorder="1" applyAlignment="1">
      <alignment horizontal="right"/>
    </xf>
    <xf numFmtId="3" fontId="25" fillId="0" borderId="150" xfId="119" applyNumberFormat="1" applyFont="1" applyFill="1" applyBorder="1" applyAlignment="1">
      <alignment horizontal="right" wrapText="1"/>
    </xf>
    <xf numFmtId="3" fontId="26" fillId="0" borderId="150" xfId="119" applyNumberFormat="1" applyFont="1" applyFill="1" applyBorder="1" applyAlignment="1">
      <alignment horizontal="right" wrapText="1"/>
    </xf>
    <xf numFmtId="3" fontId="26" fillId="0" borderId="151" xfId="119" applyNumberFormat="1" applyFont="1" applyFill="1" applyBorder="1" applyAlignment="1">
      <alignment horizontal="right" wrapText="1"/>
    </xf>
    <xf numFmtId="3" fontId="25" fillId="0" borderId="152" xfId="119" applyNumberFormat="1" applyFont="1" applyFill="1" applyBorder="1" applyAlignment="1">
      <alignment horizontal="right" wrapText="1"/>
    </xf>
    <xf numFmtId="3" fontId="25" fillId="0" borderId="68" xfId="105" applyNumberFormat="1" applyFont="1" applyFill="1" applyBorder="1"/>
    <xf numFmtId="3" fontId="26" fillId="0" borderId="79" xfId="105" applyNumberFormat="1" applyFont="1" applyFill="1" applyBorder="1" applyAlignment="1">
      <alignment horizontal="right"/>
    </xf>
    <xf numFmtId="3" fontId="26" fillId="0" borderId="59" xfId="105" applyNumberFormat="1" applyFont="1" applyFill="1" applyBorder="1" applyAlignment="1">
      <alignment horizontal="right"/>
    </xf>
    <xf numFmtId="0" fontId="21" fillId="0" borderId="45" xfId="119" applyFont="1" applyBorder="1" applyAlignment="1">
      <alignment horizontal="center" vertical="center" wrapText="1"/>
    </xf>
    <xf numFmtId="3" fontId="28" fillId="29" borderId="28" xfId="119" applyNumberFormat="1" applyFont="1" applyFill="1" applyBorder="1"/>
    <xf numFmtId="3" fontId="28" fillId="29" borderId="28" xfId="119" applyNumberFormat="1" applyFont="1" applyFill="1" applyBorder="1" applyAlignment="1">
      <alignment horizontal="right" wrapText="1"/>
    </xf>
    <xf numFmtId="3" fontId="22" fillId="29" borderId="58" xfId="119" applyNumberFormat="1" applyFont="1" applyFill="1" applyBorder="1"/>
    <xf numFmtId="3" fontId="21" fillId="0" borderId="58" xfId="78" applyNumberFormat="1" applyFont="1" applyBorder="1" applyAlignment="1">
      <alignment horizontal="right" wrapText="1"/>
    </xf>
    <xf numFmtId="3" fontId="21" fillId="0" borderId="19" xfId="78" applyNumberFormat="1" applyFont="1" applyBorder="1" applyAlignment="1">
      <alignment horizontal="right" wrapText="1"/>
    </xf>
    <xf numFmtId="3" fontId="20" fillId="0" borderId="70" xfId="78" applyNumberFormat="1" applyFont="1" applyBorder="1" applyAlignment="1">
      <alignment horizontal="right"/>
    </xf>
    <xf numFmtId="3" fontId="21" fillId="0" borderId="59" xfId="109" applyNumberFormat="1" applyFont="1" applyBorder="1" applyAlignment="1">
      <alignment horizontal="right"/>
    </xf>
    <xf numFmtId="3" fontId="20" fillId="0" borderId="0" xfId="109" applyNumberFormat="1" applyFont="1" applyAlignment="1">
      <alignment wrapText="1"/>
    </xf>
    <xf numFmtId="3" fontId="28" fillId="0" borderId="0" xfId="113" applyNumberFormat="1" applyFont="1" applyAlignment="1">
      <alignment wrapText="1"/>
    </xf>
    <xf numFmtId="0" fontId="22" fillId="0" borderId="0" xfId="119" applyFont="1" applyBorder="1" applyAlignment="1">
      <alignment horizontal="center"/>
    </xf>
    <xf numFmtId="0" fontId="21" fillId="0" borderId="128" xfId="119" applyFont="1" applyFill="1" applyBorder="1" applyAlignment="1">
      <alignment horizontal="center" wrapText="1"/>
    </xf>
    <xf numFmtId="0" fontId="21" fillId="0" borderId="133" xfId="119" applyFont="1" applyFill="1" applyBorder="1" applyAlignment="1">
      <alignment horizontal="center" wrapText="1"/>
    </xf>
    <xf numFmtId="0" fontId="21" fillId="0" borderId="128" xfId="119" applyFont="1" applyBorder="1" applyAlignment="1">
      <alignment horizontal="center" wrapText="1"/>
    </xf>
    <xf numFmtId="0" fontId="21" fillId="0" borderId="133" xfId="119" applyFont="1" applyBorder="1" applyAlignment="1">
      <alignment horizontal="center" wrapText="1"/>
    </xf>
    <xf numFmtId="0" fontId="21" fillId="0" borderId="130" xfId="119" applyFont="1" applyBorder="1" applyAlignment="1">
      <alignment horizontal="center" wrapText="1"/>
    </xf>
    <xf numFmtId="0" fontId="21" fillId="0" borderId="129" xfId="119" applyFont="1" applyBorder="1" applyAlignment="1">
      <alignment horizontal="center" wrapText="1"/>
    </xf>
    <xf numFmtId="0" fontId="21" fillId="0" borderId="134" xfId="119" applyFont="1" applyBorder="1" applyAlignment="1">
      <alignment horizontal="center" wrapText="1"/>
    </xf>
    <xf numFmtId="3" fontId="20" fillId="0" borderId="45" xfId="119" applyNumberFormat="1" applyFont="1" applyBorder="1"/>
    <xf numFmtId="3" fontId="21" fillId="0" borderId="74" xfId="119" applyNumberFormat="1" applyFont="1" applyBorder="1"/>
    <xf numFmtId="3" fontId="21" fillId="0" borderId="69" xfId="119" applyNumberFormat="1" applyFont="1" applyBorder="1"/>
    <xf numFmtId="3" fontId="21" fillId="0" borderId="90" xfId="119" applyNumberFormat="1" applyFont="1" applyBorder="1"/>
    <xf numFmtId="3" fontId="20" fillId="29" borderId="32" xfId="119" applyNumberFormat="1" applyFont="1" applyFill="1" applyBorder="1"/>
    <xf numFmtId="3" fontId="20" fillId="29" borderId="28" xfId="119" applyNumberFormat="1" applyFont="1" applyFill="1" applyBorder="1"/>
    <xf numFmtId="4" fontId="20" fillId="0" borderId="0" xfId="119" applyNumberFormat="1" applyFont="1" applyBorder="1"/>
    <xf numFmtId="4" fontId="28" fillId="29" borderId="27" xfId="119" applyNumberFormat="1" applyFont="1" applyFill="1" applyBorder="1"/>
    <xf numFmtId="2" fontId="21" fillId="0" borderId="88" xfId="119" applyNumberFormat="1" applyFont="1" applyBorder="1"/>
    <xf numFmtId="1" fontId="21" fillId="0" borderId="88" xfId="119" applyNumberFormat="1" applyFont="1" applyBorder="1"/>
    <xf numFmtId="3" fontId="25" fillId="0" borderId="60" xfId="119" applyNumberFormat="1" applyFont="1" applyFill="1" applyBorder="1" applyAlignment="1">
      <alignment horizontal="right"/>
    </xf>
    <xf numFmtId="3" fontId="26" fillId="0" borderId="60" xfId="119" applyNumberFormat="1" applyFont="1" applyFill="1" applyBorder="1" applyAlignment="1">
      <alignment horizontal="right" wrapText="1"/>
    </xf>
    <xf numFmtId="3" fontId="26" fillId="0" borderId="57" xfId="119" applyNumberFormat="1" applyFont="1" applyFill="1" applyBorder="1" applyAlignment="1">
      <alignment horizontal="right" wrapText="1"/>
    </xf>
    <xf numFmtId="3" fontId="26" fillId="0" borderId="83" xfId="109" applyNumberFormat="1" applyFont="1" applyBorder="1" applyAlignment="1">
      <alignment horizontal="right"/>
    </xf>
    <xf numFmtId="0" fontId="26" fillId="0" borderId="58" xfId="119" applyFont="1" applyFill="1" applyBorder="1" applyAlignment="1">
      <alignment horizontal="left" vertical="center" wrapText="1" indent="2"/>
    </xf>
    <xf numFmtId="3" fontId="26" fillId="0" borderId="60" xfId="107" applyNumberFormat="1" applyFont="1" applyBorder="1"/>
    <xf numFmtId="3" fontId="26" fillId="0" borderId="57" xfId="107" applyNumberFormat="1" applyFont="1" applyBorder="1"/>
    <xf numFmtId="0" fontId="26" fillId="0" borderId="83" xfId="107" applyFont="1" applyBorder="1"/>
    <xf numFmtId="0" fontId="25" fillId="0" borderId="58" xfId="114" applyFont="1" applyBorder="1" applyAlignment="1">
      <alignment wrapText="1"/>
    </xf>
    <xf numFmtId="3" fontId="25" fillId="0" borderId="19" xfId="114" applyNumberFormat="1" applyFont="1" applyBorder="1"/>
    <xf numFmtId="3" fontId="25" fillId="0" borderId="37" xfId="107" applyNumberFormat="1" applyFont="1" applyBorder="1"/>
    <xf numFmtId="3" fontId="25" fillId="0" borderId="43" xfId="105" applyNumberFormat="1" applyFont="1" applyBorder="1" applyAlignment="1">
      <alignment wrapText="1"/>
    </xf>
    <xf numFmtId="3" fontId="26" fillId="0" borderId="60" xfId="105" applyNumberFormat="1" applyFont="1" applyFill="1" applyBorder="1" applyAlignment="1">
      <alignment horizontal="right"/>
    </xf>
    <xf numFmtId="3" fontId="26" fillId="0" borderId="57" xfId="105" applyNumberFormat="1" applyFont="1" applyFill="1" applyBorder="1" applyAlignment="1">
      <alignment horizontal="right"/>
    </xf>
    <xf numFmtId="3" fontId="26" fillId="0" borderId="83" xfId="105" applyNumberFormat="1" applyFont="1" applyFill="1" applyBorder="1"/>
    <xf numFmtId="3" fontId="26" fillId="0" borderId="56" xfId="105" applyNumberFormat="1" applyFont="1" applyFill="1" applyBorder="1" applyAlignment="1">
      <alignment horizontal="right"/>
    </xf>
    <xf numFmtId="3" fontId="26" fillId="0" borderId="83" xfId="105" applyNumberFormat="1" applyFont="1" applyBorder="1"/>
    <xf numFmtId="0" fontId="26" fillId="0" borderId="60" xfId="109" applyFont="1" applyFill="1" applyBorder="1" applyAlignment="1">
      <alignment horizontal="left" wrapText="1"/>
    </xf>
    <xf numFmtId="3" fontId="26" fillId="0" borderId="63" xfId="98" applyNumberFormat="1" applyFont="1" applyFill="1" applyBorder="1" applyAlignment="1">
      <alignment wrapText="1"/>
    </xf>
    <xf numFmtId="0" fontId="26" fillId="0" borderId="82" xfId="106" applyFont="1" applyFill="1" applyBorder="1" applyAlignment="1">
      <alignment horizontal="left" vertical="center" wrapText="1"/>
    </xf>
    <xf numFmtId="3" fontId="20" fillId="32" borderId="20" xfId="109" applyNumberFormat="1" applyFont="1" applyFill="1" applyBorder="1"/>
    <xf numFmtId="3" fontId="20" fillId="32" borderId="19" xfId="109" applyNumberFormat="1" applyFont="1" applyFill="1" applyBorder="1"/>
    <xf numFmtId="3" fontId="20" fillId="32" borderId="27" xfId="109" applyNumberFormat="1" applyFont="1" applyFill="1" applyBorder="1"/>
    <xf numFmtId="3" fontId="20" fillId="32" borderId="58" xfId="109" applyNumberFormat="1" applyFont="1" applyFill="1" applyBorder="1"/>
    <xf numFmtId="3" fontId="20" fillId="32" borderId="28" xfId="109" applyNumberFormat="1" applyFont="1" applyFill="1" applyBorder="1"/>
    <xf numFmtId="3" fontId="20" fillId="0" borderId="48" xfId="119" applyNumberFormat="1" applyFont="1" applyBorder="1"/>
    <xf numFmtId="3" fontId="20" fillId="0" borderId="0" xfId="109" applyNumberFormat="1" applyFont="1" applyBorder="1" applyAlignment="1">
      <alignment horizontal="right"/>
    </xf>
    <xf numFmtId="3" fontId="20" fillId="0" borderId="0" xfId="78" applyNumberFormat="1" applyFont="1" applyBorder="1" applyAlignment="1">
      <alignment horizontal="right"/>
    </xf>
    <xf numFmtId="164" fontId="20" fillId="0" borderId="44" xfId="109" applyNumberFormat="1" applyFont="1" applyBorder="1" applyAlignment="1">
      <alignment wrapText="1"/>
    </xf>
    <xf numFmtId="3" fontId="21" fillId="0" borderId="0" xfId="78" applyNumberFormat="1" applyFont="1" applyBorder="1" applyAlignment="1">
      <alignment horizontal="right"/>
    </xf>
    <xf numFmtId="0" fontId="26" fillId="0" borderId="0" xfId="0" applyFont="1" applyAlignment="1">
      <alignment horizontal="center"/>
    </xf>
    <xf numFmtId="3" fontId="26" fillId="0" borderId="0" xfId="0" applyNumberFormat="1" applyFont="1"/>
    <xf numFmtId="3" fontId="26" fillId="30" borderId="0" xfId="0" applyNumberFormat="1" applyFont="1" applyFill="1"/>
    <xf numFmtId="0" fontId="26" fillId="0" borderId="0" xfId="128" applyFont="1"/>
    <xf numFmtId="3" fontId="26" fillId="0" borderId="0" xfId="128" applyNumberFormat="1" applyFont="1"/>
    <xf numFmtId="3" fontId="26" fillId="30" borderId="0" xfId="128" applyNumberFormat="1" applyFont="1" applyFill="1"/>
    <xf numFmtId="0" fontId="26" fillId="0" borderId="19" xfId="0" applyFont="1" applyBorder="1" applyAlignment="1">
      <alignment horizontal="center"/>
    </xf>
    <xf numFmtId="0" fontId="25" fillId="0" borderId="25" xfId="129" applyFont="1" applyBorder="1" applyAlignment="1">
      <alignment horizontal="center" wrapText="1"/>
    </xf>
    <xf numFmtId="0" fontId="25" fillId="0" borderId="154" xfId="129" applyFont="1" applyBorder="1" applyAlignment="1">
      <alignment horizontal="center"/>
    </xf>
    <xf numFmtId="0" fontId="26" fillId="0" borderId="67" xfId="0" applyFont="1" applyBorder="1" applyAlignment="1">
      <alignment horizontal="center"/>
    </xf>
    <xf numFmtId="0" fontId="26" fillId="0" borderId="137" xfId="129" applyFont="1" applyBorder="1" applyAlignment="1">
      <alignment horizontal="center" wrapText="1"/>
    </xf>
    <xf numFmtId="0" fontId="25" fillId="0" borderId="154" xfId="129" applyFont="1" applyBorder="1" applyAlignment="1"/>
    <xf numFmtId="3" fontId="26" fillId="0" borderId="91" xfId="129" applyNumberFormat="1" applyFont="1" applyBorder="1" applyAlignment="1">
      <alignment horizontal="center" wrapText="1"/>
    </xf>
    <xf numFmtId="0" fontId="25" fillId="0" borderId="102" xfId="0" applyFont="1" applyBorder="1" applyAlignment="1">
      <alignment horizontal="center"/>
    </xf>
    <xf numFmtId="0" fontId="25" fillId="0" borderId="71" xfId="0" applyFont="1" applyBorder="1" applyAlignment="1">
      <alignment horizontal="center" wrapText="1"/>
    </xf>
    <xf numFmtId="0" fontId="25" fillId="0" borderId="156" xfId="129" applyFont="1" applyBorder="1" applyAlignment="1">
      <alignment horizontal="center"/>
    </xf>
    <xf numFmtId="3" fontId="25" fillId="0" borderId="39" xfId="129" applyNumberFormat="1" applyFont="1" applyBorder="1" applyAlignment="1">
      <alignment horizontal="center"/>
    </xf>
    <xf numFmtId="3" fontId="52" fillId="30" borderId="39" xfId="129" applyNumberFormat="1" applyFont="1" applyFill="1" applyBorder="1" applyAlignment="1">
      <alignment horizontal="center"/>
    </xf>
    <xf numFmtId="3" fontId="52" fillId="0" borderId="39" xfId="129" applyNumberFormat="1" applyFont="1" applyBorder="1" applyAlignment="1">
      <alignment horizontal="center"/>
    </xf>
    <xf numFmtId="3" fontId="52" fillId="0" borderId="71" xfId="129" applyNumberFormat="1" applyFont="1" applyBorder="1" applyAlignment="1">
      <alignment horizontal="center"/>
    </xf>
    <xf numFmtId="3" fontId="25" fillId="0" borderId="68" xfId="0" applyNumberFormat="1" applyFont="1" applyBorder="1" applyAlignment="1">
      <alignment horizontal="center"/>
    </xf>
    <xf numFmtId="0" fontId="26" fillId="0" borderId="57" xfId="0" applyFont="1" applyBorder="1" applyAlignment="1">
      <alignment horizontal="center"/>
    </xf>
    <xf numFmtId="0" fontId="26" fillId="0" borderId="57" xfId="0" applyFont="1" applyBorder="1" applyAlignment="1">
      <alignment wrapText="1"/>
    </xf>
    <xf numFmtId="0" fontId="26" fillId="0" borderId="57" xfId="129" applyFont="1" applyFill="1" applyBorder="1"/>
    <xf numFmtId="3" fontId="26" fillId="0" borderId="157" xfId="129" applyNumberFormat="1" applyFont="1" applyBorder="1"/>
    <xf numFmtId="3" fontId="41" fillId="30" borderId="157" xfId="129" applyNumberFormat="1" applyFont="1" applyFill="1" applyBorder="1"/>
    <xf numFmtId="3" fontId="41" fillId="0" borderId="157" xfId="129" applyNumberFormat="1" applyFont="1" applyBorder="1"/>
    <xf numFmtId="3" fontId="26" fillId="0" borderId="103" xfId="128" applyNumberFormat="1" applyFont="1" applyBorder="1"/>
    <xf numFmtId="0" fontId="26" fillId="0" borderId="19" xfId="0" applyFont="1" applyBorder="1" applyAlignment="1">
      <alignment wrapText="1"/>
    </xf>
    <xf numFmtId="0" fontId="26" fillId="0" borderId="19" xfId="129" applyFont="1" applyFill="1" applyBorder="1"/>
    <xf numFmtId="3" fontId="26" fillId="0" borderId="91" xfId="129" applyNumberFormat="1" applyFont="1" applyBorder="1"/>
    <xf numFmtId="3" fontId="41" fillId="30" borderId="91" xfId="129" applyNumberFormat="1" applyFont="1" applyFill="1" applyBorder="1"/>
    <xf numFmtId="3" fontId="41" fillId="0" borderId="91" xfId="129" applyNumberFormat="1" applyFont="1" applyBorder="1"/>
    <xf numFmtId="3" fontId="41" fillId="0" borderId="0" xfId="129" applyNumberFormat="1" applyFont="1" applyBorder="1"/>
    <xf numFmtId="3" fontId="26" fillId="0" borderId="10" xfId="128" applyNumberFormat="1" applyFont="1" applyBorder="1"/>
    <xf numFmtId="0" fontId="26" fillId="0" borderId="19" xfId="129" applyFont="1" applyBorder="1" applyAlignment="1">
      <alignment wrapText="1"/>
    </xf>
    <xf numFmtId="3" fontId="26" fillId="0" borderId="24" xfId="129" applyNumberFormat="1" applyFont="1" applyBorder="1"/>
    <xf numFmtId="3" fontId="26" fillId="0" borderId="10" xfId="129" applyNumberFormat="1" applyFont="1" applyBorder="1"/>
    <xf numFmtId="3" fontId="41" fillId="30" borderId="10" xfId="129" applyNumberFormat="1" applyFont="1" applyFill="1" applyBorder="1"/>
    <xf numFmtId="3" fontId="41" fillId="0" borderId="10" xfId="129" applyNumberFormat="1" applyFont="1" applyBorder="1"/>
    <xf numFmtId="3" fontId="41" fillId="0" borderId="12" xfId="129" applyNumberFormat="1" applyFont="1" applyBorder="1"/>
    <xf numFmtId="0" fontId="26" fillId="33" borderId="19" xfId="129" applyFont="1" applyFill="1" applyBorder="1"/>
    <xf numFmtId="3" fontId="26" fillId="0" borderId="25" xfId="129" applyNumberFormat="1" applyFont="1" applyBorder="1"/>
    <xf numFmtId="3" fontId="41" fillId="30" borderId="25" xfId="129" applyNumberFormat="1" applyFont="1" applyFill="1" applyBorder="1"/>
    <xf numFmtId="3" fontId="41" fillId="0" borderId="25" xfId="129" applyNumberFormat="1" applyFont="1" applyBorder="1"/>
    <xf numFmtId="3" fontId="41" fillId="0" borderId="11" xfId="129" applyNumberFormat="1" applyFont="1" applyBorder="1"/>
    <xf numFmtId="3" fontId="25" fillId="0" borderId="24" xfId="129" applyNumberFormat="1" applyFont="1" applyBorder="1"/>
    <xf numFmtId="3" fontId="25" fillId="0" borderId="10" xfId="129" applyNumberFormat="1" applyFont="1" applyBorder="1"/>
    <xf numFmtId="3" fontId="25" fillId="30" borderId="10" xfId="129" applyNumberFormat="1" applyFont="1" applyFill="1" applyBorder="1"/>
    <xf numFmtId="0" fontId="26" fillId="0" borderId="24" xfId="128" applyFont="1" applyBorder="1" applyAlignment="1">
      <alignment wrapText="1"/>
    </xf>
    <xf numFmtId="0" fontId="26" fillId="0" borderId="10" xfId="128" applyFont="1" applyBorder="1" applyAlignment="1">
      <alignment horizontal="center"/>
    </xf>
    <xf numFmtId="3" fontId="53" fillId="0" borderId="10" xfId="129" applyNumberFormat="1" applyFont="1" applyBorder="1"/>
    <xf numFmtId="3" fontId="52" fillId="0" borderId="12" xfId="129" applyNumberFormat="1" applyFont="1" applyBorder="1"/>
    <xf numFmtId="0" fontId="25" fillId="0" borderId="24" xfId="128" applyFont="1" applyBorder="1" applyAlignment="1">
      <alignment wrapText="1"/>
    </xf>
    <xf numFmtId="0" fontId="25" fillId="0" borderId="10" xfId="128" applyFont="1" applyBorder="1" applyAlignment="1">
      <alignment horizontal="center"/>
    </xf>
    <xf numFmtId="3" fontId="25" fillId="0" borderId="10" xfId="129" applyNumberFormat="1" applyFont="1" applyFill="1" applyBorder="1"/>
    <xf numFmtId="0" fontId="26" fillId="0" borderId="19" xfId="0" applyFont="1" applyFill="1" applyBorder="1" applyAlignment="1">
      <alignment horizontal="center"/>
    </xf>
    <xf numFmtId="0" fontId="26" fillId="0" borderId="24" xfId="128" applyFont="1" applyFill="1" applyBorder="1" applyAlignment="1">
      <alignment wrapText="1"/>
    </xf>
    <xf numFmtId="0" fontId="26" fillId="0" borderId="13" xfId="128" applyFont="1" applyFill="1" applyBorder="1" applyAlignment="1">
      <alignment horizontal="center"/>
    </xf>
    <xf numFmtId="3" fontId="26" fillId="0" borderId="10" xfId="129" applyNumberFormat="1" applyFont="1" applyFill="1" applyBorder="1"/>
    <xf numFmtId="3" fontId="41" fillId="0" borderId="10" xfId="129" applyNumberFormat="1" applyFont="1" applyFill="1" applyBorder="1"/>
    <xf numFmtId="3" fontId="53" fillId="0" borderId="10" xfId="129" applyNumberFormat="1" applyFont="1" applyFill="1" applyBorder="1"/>
    <xf numFmtId="3" fontId="53" fillId="0" borderId="12" xfId="129" applyNumberFormat="1" applyFont="1" applyFill="1" applyBorder="1"/>
    <xf numFmtId="0" fontId="26" fillId="0" borderId="13" xfId="128" applyFont="1" applyBorder="1" applyAlignment="1">
      <alignment horizontal="center"/>
    </xf>
    <xf numFmtId="3" fontId="52" fillId="0" borderId="10" xfId="129" applyNumberFormat="1" applyFont="1" applyBorder="1"/>
    <xf numFmtId="0" fontId="25" fillId="0" borderId="158" xfId="128" applyFont="1" applyBorder="1" applyAlignment="1">
      <alignment wrapText="1"/>
    </xf>
    <xf numFmtId="0" fontId="25" fillId="0" borderId="159" xfId="128" applyFont="1" applyBorder="1" applyAlignment="1">
      <alignment horizontal="center"/>
    </xf>
    <xf numFmtId="3" fontId="25" fillId="0" borderId="159" xfId="129" applyNumberFormat="1" applyFont="1" applyBorder="1"/>
    <xf numFmtId="3" fontId="52" fillId="30" borderId="159" xfId="129" applyNumberFormat="1" applyFont="1" applyFill="1" applyBorder="1"/>
    <xf numFmtId="3" fontId="52" fillId="0" borderId="159" xfId="129" applyNumberFormat="1" applyFont="1" applyBorder="1"/>
    <xf numFmtId="0" fontId="26" fillId="34" borderId="103" xfId="129" applyFont="1" applyFill="1" applyBorder="1"/>
    <xf numFmtId="3" fontId="25" fillId="0" borderId="103" xfId="129" applyNumberFormat="1" applyFont="1" applyBorder="1"/>
    <xf numFmtId="3" fontId="25" fillId="30" borderId="103" xfId="129" applyNumberFormat="1" applyFont="1" applyFill="1" applyBorder="1"/>
    <xf numFmtId="0" fontId="26" fillId="0" borderId="24" xfId="129" applyFont="1" applyBorder="1" applyAlignment="1">
      <alignment horizontal="left" wrapText="1"/>
    </xf>
    <xf numFmtId="0" fontId="26" fillId="0" borderId="10" xfId="129" applyFont="1" applyBorder="1" applyAlignment="1">
      <alignment horizontal="center"/>
    </xf>
    <xf numFmtId="3" fontId="26" fillId="0" borderId="10" xfId="129" applyNumberFormat="1" applyFont="1" applyBorder="1" applyAlignment="1">
      <alignment horizontal="right" wrapText="1"/>
    </xf>
    <xf numFmtId="3" fontId="41" fillId="30" borderId="10" xfId="129" applyNumberFormat="1" applyFont="1" applyFill="1" applyBorder="1" applyAlignment="1">
      <alignment horizontal="right"/>
    </xf>
    <xf numFmtId="3" fontId="41" fillId="0" borderId="10" xfId="129" applyNumberFormat="1" applyFont="1" applyBorder="1" applyAlignment="1">
      <alignment horizontal="right"/>
    </xf>
    <xf numFmtId="0" fontId="26" fillId="0" borderId="24" xfId="129" applyFont="1" applyBorder="1" applyAlignment="1">
      <alignment wrapText="1"/>
    </xf>
    <xf numFmtId="0" fontId="26" fillId="29" borderId="19" xfId="129" applyFont="1" applyFill="1" applyBorder="1" applyAlignment="1">
      <alignment horizontal="center"/>
    </xf>
    <xf numFmtId="3" fontId="26" fillId="0" borderId="32" xfId="0" applyNumberFormat="1" applyFont="1" applyBorder="1"/>
    <xf numFmtId="3" fontId="26" fillId="0" borderId="57" xfId="0" applyNumberFormat="1" applyFont="1" applyBorder="1"/>
    <xf numFmtId="3" fontId="26" fillId="30" borderId="57" xfId="0" applyNumberFormat="1" applyFont="1" applyFill="1" applyBorder="1"/>
    <xf numFmtId="3" fontId="26" fillId="0" borderId="19" xfId="0" applyNumberFormat="1" applyFont="1" applyFill="1" applyBorder="1"/>
    <xf numFmtId="0" fontId="26" fillId="0" borderId="24" xfId="129" applyFont="1" applyFill="1" applyBorder="1" applyAlignment="1">
      <alignment horizontal="left" wrapText="1"/>
    </xf>
    <xf numFmtId="0" fontId="26" fillId="0" borderId="10" xfId="129" applyFont="1" applyFill="1" applyBorder="1" applyAlignment="1">
      <alignment horizontal="center"/>
    </xf>
    <xf numFmtId="3" fontId="26" fillId="30" borderId="10" xfId="129" applyNumberFormat="1" applyFont="1" applyFill="1" applyBorder="1" applyAlignment="1">
      <alignment horizontal="right" wrapText="1"/>
    </xf>
    <xf numFmtId="3" fontId="41" fillId="30" borderId="12" xfId="129" applyNumberFormat="1" applyFont="1" applyFill="1" applyBorder="1"/>
    <xf numFmtId="3" fontId="26" fillId="30" borderId="10" xfId="129" applyNumberFormat="1" applyFont="1" applyFill="1" applyBorder="1"/>
    <xf numFmtId="3" fontId="26" fillId="0" borderId="10" xfId="129" applyNumberFormat="1" applyFont="1" applyBorder="1" applyAlignment="1">
      <alignment wrapText="1"/>
    </xf>
    <xf numFmtId="3" fontId="41" fillId="30" borderId="10" xfId="129" applyNumberFormat="1" applyFont="1" applyFill="1" applyBorder="1" applyAlignment="1"/>
    <xf numFmtId="3" fontId="41" fillId="0" borderId="10" xfId="129" applyNumberFormat="1" applyFont="1" applyBorder="1" applyAlignment="1"/>
    <xf numFmtId="3" fontId="41" fillId="0" borderId="12" xfId="129" applyNumberFormat="1" applyFont="1" applyFill="1" applyBorder="1"/>
    <xf numFmtId="3" fontId="26" fillId="0" borderId="10" xfId="129" applyNumberFormat="1" applyFont="1" applyFill="1" applyBorder="1" applyAlignment="1">
      <alignment horizontal="right" wrapText="1"/>
    </xf>
    <xf numFmtId="3" fontId="41" fillId="0" borderId="10" xfId="129" applyNumberFormat="1" applyFont="1" applyFill="1" applyBorder="1" applyAlignment="1"/>
    <xf numFmtId="0" fontId="26" fillId="0" borderId="107" xfId="128" applyFont="1" applyFill="1" applyBorder="1" applyAlignment="1">
      <alignment wrapText="1"/>
    </xf>
    <xf numFmtId="0" fontId="26" fillId="0" borderId="103" xfId="128" applyFont="1" applyFill="1" applyBorder="1" applyAlignment="1">
      <alignment horizontal="center"/>
    </xf>
    <xf numFmtId="3" fontId="26" fillId="0" borderId="103" xfId="128" applyNumberFormat="1" applyFont="1" applyFill="1" applyBorder="1"/>
    <xf numFmtId="3" fontId="26" fillId="0" borderId="103" xfId="128" applyNumberFormat="1" applyFont="1" applyFill="1" applyBorder="1" applyAlignment="1">
      <alignment horizontal="right"/>
    </xf>
    <xf numFmtId="3" fontId="26" fillId="30" borderId="103" xfId="128" applyNumberFormat="1" applyFont="1" applyFill="1" applyBorder="1" applyAlignment="1">
      <alignment horizontal="right"/>
    </xf>
    <xf numFmtId="0" fontId="26" fillId="0" borderId="157" xfId="128" applyFont="1" applyFill="1" applyBorder="1" applyAlignment="1">
      <alignment wrapText="1"/>
    </xf>
    <xf numFmtId="0" fontId="26" fillId="0" borderId="160" xfId="128" applyFont="1" applyFill="1" applyBorder="1" applyAlignment="1">
      <alignment horizontal="center"/>
    </xf>
    <xf numFmtId="3" fontId="26" fillId="0" borderId="160" xfId="128" applyNumberFormat="1" applyFont="1" applyFill="1" applyBorder="1"/>
    <xf numFmtId="3" fontId="26" fillId="0" borderId="160" xfId="128" applyNumberFormat="1" applyFont="1" applyFill="1" applyBorder="1" applyAlignment="1">
      <alignment horizontal="right"/>
    </xf>
    <xf numFmtId="3" fontId="26" fillId="30" borderId="36" xfId="128" applyNumberFormat="1" applyFont="1" applyFill="1" applyBorder="1"/>
    <xf numFmtId="3" fontId="41" fillId="0" borderId="159" xfId="129" applyNumberFormat="1" applyFont="1" applyFill="1" applyBorder="1"/>
    <xf numFmtId="0" fontId="26" fillId="0" borderId="24" xfId="129" applyFont="1" applyFill="1" applyBorder="1" applyAlignment="1">
      <alignment wrapText="1"/>
    </xf>
    <xf numFmtId="0" fontId="26" fillId="29" borderId="10" xfId="129" applyFont="1" applyFill="1" applyBorder="1" applyAlignment="1">
      <alignment horizontal="center"/>
    </xf>
    <xf numFmtId="0" fontId="26" fillId="0" borderId="25" xfId="129" applyFont="1" applyBorder="1" applyAlignment="1">
      <alignment wrapText="1"/>
    </xf>
    <xf numFmtId="0" fontId="26" fillId="29" borderId="13" xfId="129" applyFont="1" applyFill="1" applyBorder="1" applyAlignment="1">
      <alignment horizontal="center"/>
    </xf>
    <xf numFmtId="3" fontId="26" fillId="0" borderId="13" xfId="129" applyNumberFormat="1" applyFont="1" applyBorder="1"/>
    <xf numFmtId="3" fontId="41" fillId="30" borderId="13" xfId="129" applyNumberFormat="1" applyFont="1" applyFill="1" applyBorder="1"/>
    <xf numFmtId="3" fontId="41" fillId="0" borderId="13" xfId="129" applyNumberFormat="1" applyFont="1" applyBorder="1"/>
    <xf numFmtId="3" fontId="41" fillId="0" borderId="14" xfId="129" applyNumberFormat="1" applyFont="1" applyFill="1" applyBorder="1"/>
    <xf numFmtId="3" fontId="26" fillId="0" borderId="13" xfId="129" applyNumberFormat="1" applyFont="1" applyFill="1" applyBorder="1"/>
    <xf numFmtId="0" fontId="26" fillId="0" borderId="19" xfId="129" applyFont="1" applyFill="1" applyBorder="1" applyAlignment="1">
      <alignment wrapText="1"/>
    </xf>
    <xf numFmtId="0" fontId="26" fillId="0" borderId="19" xfId="129" applyFont="1" applyFill="1" applyBorder="1" applyAlignment="1">
      <alignment horizontal="center"/>
    </xf>
    <xf numFmtId="3" fontId="26" fillId="0" borderId="19" xfId="129" applyNumberFormat="1" applyFont="1" applyFill="1" applyBorder="1"/>
    <xf numFmtId="3" fontId="41" fillId="30" borderId="19" xfId="129" applyNumberFormat="1" applyFont="1" applyFill="1" applyBorder="1"/>
    <xf numFmtId="3" fontId="41" fillId="0" borderId="19" xfId="129" applyNumberFormat="1" applyFont="1" applyFill="1" applyBorder="1"/>
    <xf numFmtId="3" fontId="41" fillId="0" borderId="19" xfId="129" applyNumberFormat="1" applyFont="1" applyBorder="1"/>
    <xf numFmtId="3" fontId="26" fillId="0" borderId="19" xfId="129" applyNumberFormat="1" applyFont="1" applyBorder="1"/>
    <xf numFmtId="3" fontId="26" fillId="0" borderId="19" xfId="0" applyNumberFormat="1" applyFont="1" applyBorder="1"/>
    <xf numFmtId="0" fontId="26" fillId="0" borderId="67" xfId="0" applyFont="1" applyBorder="1" applyAlignment="1">
      <alignment wrapText="1"/>
    </xf>
    <xf numFmtId="0" fontId="26" fillId="0" borderId="67" xfId="0" applyFont="1" applyBorder="1"/>
    <xf numFmtId="3" fontId="26" fillId="0" borderId="67" xfId="0" applyNumberFormat="1" applyFont="1" applyBorder="1"/>
    <xf numFmtId="3" fontId="41" fillId="30" borderId="67" xfId="129" applyNumberFormat="1" applyFont="1" applyFill="1" applyBorder="1"/>
    <xf numFmtId="3" fontId="41" fillId="0" borderId="67" xfId="129" applyNumberFormat="1" applyFont="1" applyFill="1" applyBorder="1"/>
    <xf numFmtId="3" fontId="41" fillId="0" borderId="67" xfId="129" applyNumberFormat="1" applyFont="1" applyBorder="1"/>
    <xf numFmtId="3" fontId="26" fillId="0" borderId="67" xfId="129" applyNumberFormat="1" applyFont="1" applyBorder="1"/>
    <xf numFmtId="0" fontId="26" fillId="0" borderId="107" xfId="129" applyFont="1" applyFill="1" applyBorder="1" applyAlignment="1">
      <alignment wrapText="1"/>
    </xf>
    <xf numFmtId="0" fontId="26" fillId="0" borderId="103" xfId="129" applyFont="1" applyFill="1" applyBorder="1" applyAlignment="1">
      <alignment horizontal="center"/>
    </xf>
    <xf numFmtId="3" fontId="26" fillId="0" borderId="103" xfId="129" applyNumberFormat="1" applyFont="1" applyFill="1" applyBorder="1"/>
    <xf numFmtId="3" fontId="41" fillId="30" borderId="103" xfId="129" applyNumberFormat="1" applyFont="1" applyFill="1" applyBorder="1"/>
    <xf numFmtId="3" fontId="41" fillId="0" borderId="103" xfId="129" applyNumberFormat="1" applyFont="1" applyFill="1" applyBorder="1"/>
    <xf numFmtId="3" fontId="41" fillId="0" borderId="105" xfId="129" applyNumberFormat="1" applyFont="1" applyBorder="1"/>
    <xf numFmtId="3" fontId="26" fillId="0" borderId="103" xfId="129" applyNumberFormat="1" applyFont="1" applyBorder="1"/>
    <xf numFmtId="3" fontId="26" fillId="0" borderId="12" xfId="129" applyNumberFormat="1" applyFont="1" applyFill="1" applyBorder="1"/>
    <xf numFmtId="3" fontId="26" fillId="0" borderId="24" xfId="129" applyNumberFormat="1" applyFont="1" applyFill="1" applyBorder="1"/>
    <xf numFmtId="0" fontId="26" fillId="0" borderId="26" xfId="129" applyFont="1" applyFill="1" applyBorder="1" applyAlignment="1">
      <alignment wrapText="1"/>
    </xf>
    <xf numFmtId="3" fontId="41" fillId="30" borderId="161" xfId="129" applyNumberFormat="1" applyFont="1" applyFill="1" applyBorder="1"/>
    <xf numFmtId="3" fontId="41" fillId="0" borderId="112" xfId="129" applyNumberFormat="1" applyFont="1" applyFill="1" applyBorder="1"/>
    <xf numFmtId="3" fontId="26" fillId="0" borderId="159" xfId="129" applyNumberFormat="1" applyFont="1" applyFill="1" applyBorder="1"/>
    <xf numFmtId="0" fontId="26" fillId="0" borderId="26" xfId="98" applyFont="1" applyFill="1" applyBorder="1" applyAlignment="1">
      <alignment wrapText="1"/>
    </xf>
    <xf numFmtId="0" fontId="26" fillId="0" borderId="19" xfId="98" applyFont="1" applyFill="1" applyBorder="1"/>
    <xf numFmtId="3" fontId="26" fillId="0" borderId="19" xfId="98" applyNumberFormat="1" applyFont="1" applyFill="1" applyBorder="1"/>
    <xf numFmtId="3" fontId="26" fillId="30" borderId="19" xfId="98" applyNumberFormat="1" applyFont="1" applyFill="1" applyBorder="1"/>
    <xf numFmtId="0" fontId="26" fillId="0" borderId="73" xfId="98" applyFont="1" applyFill="1" applyBorder="1" applyAlignment="1">
      <alignment wrapText="1"/>
    </xf>
    <xf numFmtId="0" fontId="26" fillId="0" borderId="57" xfId="98" applyFont="1" applyFill="1" applyBorder="1"/>
    <xf numFmtId="3" fontId="26" fillId="0" borderId="57" xfId="98" applyNumberFormat="1" applyFont="1" applyFill="1" applyBorder="1"/>
    <xf numFmtId="3" fontId="26" fillId="30" borderId="57" xfId="98" applyNumberFormat="1" applyFont="1" applyFill="1" applyBorder="1"/>
    <xf numFmtId="3" fontId="26" fillId="0" borderId="73" xfId="98" applyNumberFormat="1" applyFont="1" applyFill="1" applyBorder="1"/>
    <xf numFmtId="3" fontId="41" fillId="0" borderId="105" xfId="129" applyNumberFormat="1" applyFont="1" applyFill="1" applyBorder="1"/>
    <xf numFmtId="3" fontId="41" fillId="0" borderId="76" xfId="129" applyNumberFormat="1" applyFont="1" applyBorder="1"/>
    <xf numFmtId="3" fontId="26" fillId="0" borderId="12" xfId="129" applyNumberFormat="1" applyFont="1" applyBorder="1"/>
    <xf numFmtId="3" fontId="26" fillId="0" borderId="162" xfId="0" applyNumberFormat="1" applyFont="1" applyBorder="1"/>
    <xf numFmtId="0" fontId="26" fillId="0" borderId="19" xfId="0" applyFont="1" applyFill="1" applyBorder="1" applyAlignment="1">
      <alignment wrapText="1"/>
    </xf>
    <xf numFmtId="0" fontId="26" fillId="0" borderId="24" xfId="129" applyFont="1" applyFill="1" applyBorder="1" applyAlignment="1">
      <alignment horizontal="center"/>
    </xf>
    <xf numFmtId="3" fontId="26" fillId="0" borderId="14" xfId="129" applyNumberFormat="1" applyFont="1" applyBorder="1"/>
    <xf numFmtId="0" fontId="26" fillId="29" borderId="14" xfId="129" applyFont="1" applyFill="1" applyBorder="1" applyAlignment="1">
      <alignment horizontal="center"/>
    </xf>
    <xf numFmtId="3" fontId="26" fillId="0" borderId="69" xfId="0" applyNumberFormat="1" applyFont="1" applyBorder="1"/>
    <xf numFmtId="3" fontId="26" fillId="30" borderId="67" xfId="0" applyNumberFormat="1" applyFont="1" applyFill="1" applyBorder="1"/>
    <xf numFmtId="3" fontId="26" fillId="0" borderId="26" xfId="0" applyNumberFormat="1" applyFont="1" applyBorder="1"/>
    <xf numFmtId="0" fontId="26" fillId="0" borderId="19" xfId="0" applyFont="1" applyBorder="1"/>
    <xf numFmtId="3" fontId="26" fillId="30" borderId="19" xfId="0" applyNumberFormat="1" applyFont="1" applyFill="1" applyBorder="1"/>
    <xf numFmtId="0" fontId="26" fillId="0" borderId="91" xfId="129" applyFont="1" applyBorder="1" applyAlignment="1">
      <alignment wrapText="1"/>
    </xf>
    <xf numFmtId="0" fontId="25" fillId="0" borderId="19" xfId="0" applyFont="1" applyBorder="1" applyAlignment="1">
      <alignment horizontal="center"/>
    </xf>
    <xf numFmtId="0" fontId="25" fillId="0" borderId="19" xfId="0" applyFont="1" applyBorder="1" applyAlignment="1">
      <alignment wrapText="1"/>
    </xf>
    <xf numFmtId="0" fontId="25" fillId="35" borderId="19" xfId="129" applyFont="1" applyFill="1" applyBorder="1"/>
    <xf numFmtId="3" fontId="25" fillId="0" borderId="19" xfId="0" applyNumberFormat="1" applyFont="1" applyBorder="1"/>
    <xf numFmtId="3" fontId="25" fillId="30" borderId="19" xfId="0" applyNumberFormat="1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Border="1"/>
    <xf numFmtId="3" fontId="26" fillId="0" borderId="0" xfId="129" applyNumberFormat="1" applyFont="1" applyBorder="1"/>
    <xf numFmtId="0" fontId="0" fillId="30" borderId="0" xfId="0" applyFill="1"/>
    <xf numFmtId="3" fontId="0" fillId="0" borderId="0" xfId="0" applyNumberFormat="1" applyAlignment="1">
      <alignment horizontal="center"/>
    </xf>
    <xf numFmtId="3" fontId="0" fillId="30" borderId="0" xfId="0" applyNumberFormat="1" applyFill="1"/>
    <xf numFmtId="3" fontId="0" fillId="32" borderId="0" xfId="0" applyNumberFormat="1" applyFill="1"/>
    <xf numFmtId="0" fontId="0" fillId="32" borderId="0" xfId="0" applyFill="1"/>
    <xf numFmtId="0" fontId="28" fillId="0" borderId="0" xfId="130"/>
    <xf numFmtId="0" fontId="49" fillId="0" borderId="0" xfId="99"/>
    <xf numFmtId="0" fontId="28" fillId="0" borderId="0" xfId="130" applyAlignment="1">
      <alignment horizontal="center"/>
    </xf>
    <xf numFmtId="0" fontId="56" fillId="0" borderId="13" xfId="130" applyFont="1" applyBorder="1" applyAlignment="1">
      <alignment horizontal="center"/>
    </xf>
    <xf numFmtId="0" fontId="56" fillId="0" borderId="25" xfId="130" applyFont="1" applyBorder="1" applyAlignment="1">
      <alignment horizontal="center"/>
    </xf>
    <xf numFmtId="0" fontId="15" fillId="0" borderId="92" xfId="130" applyFont="1" applyBorder="1" applyAlignment="1">
      <alignment horizontal="center"/>
    </xf>
    <xf numFmtId="0" fontId="56" fillId="0" borderId="92" xfId="130" applyFont="1" applyBorder="1" applyAlignment="1">
      <alignment horizontal="center"/>
    </xf>
    <xf numFmtId="0" fontId="56" fillId="0" borderId="91" xfId="130" applyFont="1" applyBorder="1" applyAlignment="1">
      <alignment horizontal="center"/>
    </xf>
    <xf numFmtId="0" fontId="56" fillId="0" borderId="15" xfId="130" applyFont="1" applyBorder="1" applyAlignment="1">
      <alignment horizontal="center"/>
    </xf>
    <xf numFmtId="0" fontId="56" fillId="0" borderId="19" xfId="130" applyFont="1" applyBorder="1" applyAlignment="1">
      <alignment horizontal="center"/>
    </xf>
    <xf numFmtId="0" fontId="56" fillId="0" borderId="19" xfId="130" applyFont="1" applyBorder="1" applyAlignment="1">
      <alignment horizontal="center" wrapText="1"/>
    </xf>
    <xf numFmtId="0" fontId="15" fillId="0" borderId="103" xfId="130" applyFont="1" applyBorder="1" applyAlignment="1">
      <alignment horizontal="center"/>
    </xf>
    <xf numFmtId="0" fontId="56" fillId="0" borderId="107" xfId="130" applyFont="1" applyBorder="1" applyAlignment="1">
      <alignment horizontal="center"/>
    </xf>
    <xf numFmtId="0" fontId="15" fillId="0" borderId="107" xfId="130" applyFont="1" applyBorder="1" applyAlignment="1">
      <alignment horizontal="center"/>
    </xf>
    <xf numFmtId="0" fontId="56" fillId="0" borderId="10" xfId="130" applyFont="1" applyBorder="1" applyAlignment="1">
      <alignment horizontal="center"/>
    </xf>
    <xf numFmtId="0" fontId="56" fillId="0" borderId="10" xfId="130" applyFont="1" applyBorder="1" applyAlignment="1">
      <alignment wrapText="1"/>
    </xf>
    <xf numFmtId="0" fontId="15" fillId="35" borderId="10" xfId="130" applyFont="1" applyFill="1" applyBorder="1"/>
    <xf numFmtId="0" fontId="15" fillId="0" borderId="10" xfId="130" applyFont="1" applyBorder="1"/>
    <xf numFmtId="0" fontId="56" fillId="0" borderId="103" xfId="130" applyFont="1" applyBorder="1" applyAlignment="1">
      <alignment horizontal="center"/>
    </xf>
    <xf numFmtId="0" fontId="28" fillId="0" borderId="103" xfId="130" applyBorder="1"/>
    <xf numFmtId="0" fontId="15" fillId="0" borderId="103" xfId="130" applyFont="1" applyBorder="1"/>
    <xf numFmtId="0" fontId="56" fillId="0" borderId="10" xfId="130" applyFont="1" applyBorder="1"/>
    <xf numFmtId="0" fontId="28" fillId="0" borderId="10" xfId="130" applyBorder="1"/>
    <xf numFmtId="0" fontId="15" fillId="0" borderId="13" xfId="130" applyFont="1" applyBorder="1"/>
    <xf numFmtId="3" fontId="56" fillId="0" borderId="10" xfId="130" applyNumberFormat="1" applyFont="1" applyBorder="1"/>
    <xf numFmtId="3" fontId="15" fillId="0" borderId="103" xfId="130" applyNumberFormat="1" applyFont="1" applyBorder="1"/>
    <xf numFmtId="3" fontId="15" fillId="0" borderId="10" xfId="130" applyNumberFormat="1" applyFont="1" applyBorder="1"/>
    <xf numFmtId="0" fontId="56" fillId="0" borderId="13" xfId="130" applyFont="1" applyBorder="1"/>
    <xf numFmtId="3" fontId="56" fillId="0" borderId="13" xfId="130" applyNumberFormat="1" applyFont="1" applyBorder="1"/>
    <xf numFmtId="0" fontId="28" fillId="0" borderId="10" xfId="76" applyFont="1" applyBorder="1" applyAlignment="1">
      <alignment wrapText="1"/>
    </xf>
    <xf numFmtId="0" fontId="28" fillId="0" borderId="10" xfId="76" applyFont="1" applyBorder="1" applyAlignment="1">
      <alignment horizontal="center"/>
    </xf>
    <xf numFmtId="0" fontId="15" fillId="36" borderId="10" xfId="130" applyFont="1" applyFill="1" applyBorder="1" applyAlignment="1">
      <alignment horizontal="center"/>
    </xf>
    <xf numFmtId="3" fontId="55" fillId="0" borderId="10" xfId="130" applyNumberFormat="1" applyFont="1" applyBorder="1"/>
    <xf numFmtId="0" fontId="28" fillId="0" borderId="0" xfId="130" applyBorder="1"/>
    <xf numFmtId="3" fontId="15" fillId="0" borderId="13" xfId="130" applyNumberFormat="1" applyFont="1" applyBorder="1"/>
    <xf numFmtId="0" fontId="22" fillId="0" borderId="10" xfId="130" applyFont="1" applyBorder="1" applyAlignment="1">
      <alignment horizontal="center"/>
    </xf>
    <xf numFmtId="3" fontId="22" fillId="0" borderId="10" xfId="130" applyNumberFormat="1" applyFont="1" applyBorder="1"/>
    <xf numFmtId="0" fontId="28" fillId="0" borderId="0" xfId="132"/>
    <xf numFmtId="0" fontId="57" fillId="0" borderId="128" xfId="133" applyFont="1" applyBorder="1" applyAlignment="1">
      <alignment horizontal="center"/>
    </xf>
    <xf numFmtId="0" fontId="57" fillId="0" borderId="134" xfId="133" applyFont="1" applyBorder="1" applyAlignment="1">
      <alignment horizontal="center"/>
    </xf>
    <xf numFmtId="0" fontId="57" fillId="0" borderId="135" xfId="133" applyFont="1" applyBorder="1" applyAlignment="1">
      <alignment horizontal="center"/>
    </xf>
    <xf numFmtId="0" fontId="58" fillId="0" borderId="163" xfId="133" applyFont="1" applyBorder="1"/>
    <xf numFmtId="0" fontId="58" fillId="0" borderId="85" xfId="133" applyFont="1" applyBorder="1"/>
    <xf numFmtId="0" fontId="59" fillId="0" borderId="85" xfId="133" applyFont="1" applyBorder="1" applyAlignment="1">
      <alignment horizontal="center"/>
    </xf>
    <xf numFmtId="0" fontId="57" fillId="0" borderId="85" xfId="133" applyFont="1" applyBorder="1" applyAlignment="1">
      <alignment horizontal="center"/>
    </xf>
    <xf numFmtId="0" fontId="57" fillId="0" borderId="94" xfId="133" applyFont="1" applyBorder="1" applyAlignment="1">
      <alignment horizontal="center"/>
    </xf>
    <xf numFmtId="0" fontId="57" fillId="0" borderId="87" xfId="133" applyFont="1" applyBorder="1" applyAlignment="1">
      <alignment horizontal="center"/>
    </xf>
    <xf numFmtId="0" fontId="57" fillId="0" borderId="89" xfId="133" applyFont="1" applyBorder="1" applyAlignment="1">
      <alignment horizontal="center"/>
    </xf>
    <xf numFmtId="0" fontId="57" fillId="0" borderId="95" xfId="133" applyFont="1" applyBorder="1" applyAlignment="1">
      <alignment horizontal="center"/>
    </xf>
    <xf numFmtId="0" fontId="56" fillId="0" borderId="20" xfId="133" applyFont="1" applyBorder="1" applyAlignment="1">
      <alignment horizontal="center"/>
    </xf>
    <xf numFmtId="0" fontId="56" fillId="0" borderId="19" xfId="133" applyFont="1" applyBorder="1" applyAlignment="1">
      <alignment wrapText="1"/>
    </xf>
    <xf numFmtId="0" fontId="56" fillId="0" borderId="19" xfId="133" applyFont="1" applyBorder="1"/>
    <xf numFmtId="3" fontId="60" fillId="0" borderId="19" xfId="133" applyNumberFormat="1" applyFont="1" applyBorder="1" applyAlignment="1">
      <alignment horizontal="right"/>
    </xf>
    <xf numFmtId="168" fontId="60" fillId="0" borderId="27" xfId="133" applyNumberFormat="1" applyFont="1" applyBorder="1" applyAlignment="1">
      <alignment horizontal="right"/>
    </xf>
    <xf numFmtId="0" fontId="15" fillId="0" borderId="20" xfId="133" applyFont="1" applyBorder="1" applyAlignment="1">
      <alignment horizontal="center"/>
    </xf>
    <xf numFmtId="0" fontId="15" fillId="0" borderId="19" xfId="133" applyFont="1" applyBorder="1"/>
    <xf numFmtId="3" fontId="55" fillId="0" borderId="19" xfId="133" applyNumberFormat="1" applyFont="1" applyBorder="1" applyAlignment="1">
      <alignment horizontal="right"/>
    </xf>
    <xf numFmtId="168" fontId="55" fillId="0" borderId="27" xfId="133" applyNumberFormat="1" applyFont="1" applyBorder="1" applyAlignment="1">
      <alignment horizontal="right"/>
    </xf>
    <xf numFmtId="0" fontId="60" fillId="0" borderId="20" xfId="133" applyFont="1" applyBorder="1" applyAlignment="1">
      <alignment horizontal="center" wrapText="1"/>
    </xf>
    <xf numFmtId="0" fontId="60" fillId="0" borderId="19" xfId="133" applyFont="1" applyBorder="1" applyAlignment="1">
      <alignment wrapText="1"/>
    </xf>
    <xf numFmtId="168" fontId="55" fillId="0" borderId="19" xfId="133" applyNumberFormat="1" applyFont="1" applyBorder="1" applyAlignment="1">
      <alignment horizontal="right"/>
    </xf>
    <xf numFmtId="0" fontId="60" fillId="0" borderId="57" xfId="133" applyFont="1" applyBorder="1" applyAlignment="1">
      <alignment wrapText="1"/>
    </xf>
    <xf numFmtId="0" fontId="60" fillId="0" borderId="57" xfId="133" applyFont="1" applyBorder="1"/>
    <xf numFmtId="3" fontId="60" fillId="0" borderId="57" xfId="133" applyNumberFormat="1" applyFont="1" applyBorder="1"/>
    <xf numFmtId="3" fontId="60" fillId="0" borderId="83" xfId="133" applyNumberFormat="1" applyFont="1" applyBorder="1"/>
    <xf numFmtId="0" fontId="28" fillId="0" borderId="19" xfId="132" applyBorder="1"/>
    <xf numFmtId="0" fontId="55" fillId="0" borderId="19" xfId="133" applyFont="1" applyBorder="1"/>
    <xf numFmtId="3" fontId="55" fillId="0" borderId="27" xfId="133" applyNumberFormat="1" applyFont="1" applyBorder="1" applyAlignment="1">
      <alignment horizontal="right"/>
    </xf>
    <xf numFmtId="3" fontId="28" fillId="0" borderId="0" xfId="132" applyNumberFormat="1"/>
    <xf numFmtId="0" fontId="55" fillId="0" borderId="19" xfId="133" applyFont="1" applyBorder="1" applyAlignment="1">
      <alignment wrapText="1"/>
    </xf>
    <xf numFmtId="0" fontId="60" fillId="0" borderId="62" xfId="133" applyFont="1" applyBorder="1" applyAlignment="1">
      <alignment horizontal="center" wrapText="1"/>
    </xf>
    <xf numFmtId="0" fontId="60" fillId="0" borderId="67" xfId="133" applyFont="1" applyBorder="1" applyAlignment="1">
      <alignment wrapText="1"/>
    </xf>
    <xf numFmtId="0" fontId="15" fillId="0" borderId="67" xfId="133" applyFont="1" applyBorder="1"/>
    <xf numFmtId="3" fontId="55" fillId="0" borderId="67" xfId="133" applyNumberFormat="1" applyFont="1" applyBorder="1" applyAlignment="1">
      <alignment horizontal="right"/>
    </xf>
    <xf numFmtId="168" fontId="55" fillId="0" borderId="84" xfId="133" applyNumberFormat="1" applyFont="1" applyBorder="1" applyAlignment="1">
      <alignment horizontal="right"/>
    </xf>
    <xf numFmtId="0" fontId="56" fillId="0" borderId="102" xfId="133" applyFont="1" applyBorder="1" applyAlignment="1">
      <alignment horizontal="center"/>
    </xf>
    <xf numFmtId="0" fontId="56" fillId="0" borderId="38" xfId="133" applyFont="1" applyBorder="1"/>
    <xf numFmtId="3" fontId="56" fillId="0" borderId="38" xfId="133" applyNumberFormat="1" applyFont="1" applyBorder="1" applyAlignment="1">
      <alignment horizontal="right"/>
    </xf>
    <xf numFmtId="3" fontId="56" fillId="0" borderId="68" xfId="133" applyNumberFormat="1" applyFont="1" applyBorder="1" applyAlignment="1">
      <alignment horizontal="right"/>
    </xf>
    <xf numFmtId="0" fontId="28" fillId="0" borderId="0" xfId="131" applyFont="1"/>
    <xf numFmtId="0" fontId="26" fillId="0" borderId="0" xfId="131" applyFont="1" applyAlignment="1">
      <alignment horizontal="justify" wrapText="1"/>
    </xf>
    <xf numFmtId="0" fontId="28" fillId="0" borderId="0" xfId="131" applyFont="1" applyAlignment="1">
      <alignment wrapText="1"/>
    </xf>
    <xf numFmtId="0" fontId="24" fillId="0" borderId="21" xfId="131" applyFont="1" applyBorder="1" applyAlignment="1">
      <alignment horizontal="left" wrapText="1"/>
    </xf>
    <xf numFmtId="0" fontId="24" fillId="0" borderId="40" xfId="131" applyFont="1" applyBorder="1" applyAlignment="1">
      <alignment horizontal="left"/>
    </xf>
    <xf numFmtId="0" fontId="21" fillId="0" borderId="38" xfId="131" applyFont="1" applyBorder="1" applyAlignment="1">
      <alignment horizontal="right"/>
    </xf>
    <xf numFmtId="0" fontId="21" fillId="0" borderId="68" xfId="131" applyFont="1" applyBorder="1" applyAlignment="1">
      <alignment horizontal="right"/>
    </xf>
    <xf numFmtId="0" fontId="20" fillId="0" borderId="164" xfId="131" applyFont="1" applyBorder="1" applyAlignment="1">
      <alignment wrapText="1"/>
    </xf>
    <xf numFmtId="0" fontId="20" fillId="0" borderId="165" xfId="131" applyFont="1" applyBorder="1" applyAlignment="1"/>
    <xf numFmtId="3" fontId="20" fillId="0" borderId="31" xfId="131" applyNumberFormat="1" applyFont="1" applyBorder="1"/>
    <xf numFmtId="3" fontId="20" fillId="0" borderId="61" xfId="131" applyNumberFormat="1" applyFont="1" applyBorder="1"/>
    <xf numFmtId="0" fontId="20" fillId="0" borderId="108" xfId="131" applyFont="1" applyBorder="1" applyAlignment="1">
      <alignment wrapText="1"/>
    </xf>
    <xf numFmtId="0" fontId="20" fillId="0" borderId="10" xfId="131" applyFont="1" applyBorder="1" applyAlignment="1"/>
    <xf numFmtId="3" fontId="20" fillId="0" borderId="10" xfId="131" applyNumberFormat="1" applyFont="1" applyBorder="1"/>
    <xf numFmtId="3" fontId="20" fillId="0" borderId="110" xfId="131" applyNumberFormat="1" applyFont="1" applyBorder="1"/>
    <xf numFmtId="0" fontId="20" fillId="0" borderId="10" xfId="131" applyFont="1" applyBorder="1"/>
    <xf numFmtId="0" fontId="21" fillId="0" borderId="166" xfId="131" applyFont="1" applyBorder="1" applyAlignment="1">
      <alignment wrapText="1"/>
    </xf>
    <xf numFmtId="0" fontId="21" fillId="0" borderId="100" xfId="131" applyFont="1" applyBorder="1" applyAlignment="1"/>
    <xf numFmtId="3" fontId="21" fillId="0" borderId="100" xfId="131" applyNumberFormat="1" applyFont="1" applyBorder="1"/>
    <xf numFmtId="3" fontId="21" fillId="0" borderId="144" xfId="131" applyNumberFormat="1" applyFont="1" applyBorder="1"/>
    <xf numFmtId="0" fontId="22" fillId="0" borderId="0" xfId="131" applyFont="1"/>
    <xf numFmtId="0" fontId="20" fillId="0" borderId="0" xfId="131" applyFont="1" applyAlignment="1">
      <alignment wrapText="1"/>
    </xf>
    <xf numFmtId="0" fontId="20" fillId="0" borderId="0" xfId="131" applyFont="1"/>
    <xf numFmtId="3" fontId="28" fillId="0" borderId="0" xfId="131" applyNumberFormat="1" applyFont="1"/>
    <xf numFmtId="0" fontId="21" fillId="0" borderId="102" xfId="131" applyFont="1" applyBorder="1" applyAlignment="1">
      <alignment wrapText="1"/>
    </xf>
    <xf numFmtId="0" fontId="21" fillId="0" borderId="38" xfId="131" applyFont="1" applyBorder="1" applyAlignment="1">
      <alignment horizontal="center" wrapText="1"/>
    </xf>
    <xf numFmtId="0" fontId="20" fillId="0" borderId="56" xfId="131" applyFont="1" applyBorder="1" applyAlignment="1">
      <alignment wrapText="1"/>
    </xf>
    <xf numFmtId="0" fontId="20" fillId="0" borderId="57" xfId="131" applyFont="1" applyBorder="1" applyAlignment="1">
      <alignment horizontal="center"/>
    </xf>
    <xf numFmtId="3" fontId="20" fillId="0" borderId="57" xfId="131" applyNumberFormat="1" applyFont="1" applyBorder="1"/>
    <xf numFmtId="3" fontId="20" fillId="0" borderId="83" xfId="131" applyNumberFormat="1" applyFont="1" applyBorder="1"/>
    <xf numFmtId="0" fontId="20" fillId="0" borderId="20" xfId="131" applyFont="1" applyBorder="1" applyAlignment="1">
      <alignment wrapText="1"/>
    </xf>
    <xf numFmtId="0" fontId="20" fillId="0" borderId="19" xfId="131" applyFont="1" applyBorder="1" applyAlignment="1">
      <alignment horizontal="center"/>
    </xf>
    <xf numFmtId="3" fontId="20" fillId="0" borderId="19" xfId="131" applyNumberFormat="1" applyFont="1" applyBorder="1"/>
    <xf numFmtId="3" fontId="20" fillId="0" borderId="131" xfId="131" applyNumberFormat="1" applyFont="1" applyBorder="1"/>
    <xf numFmtId="0" fontId="28" fillId="0" borderId="131" xfId="131" applyFont="1" applyBorder="1"/>
    <xf numFmtId="0" fontId="24" fillId="0" borderId="29" xfId="131" applyFont="1" applyBorder="1" applyAlignment="1">
      <alignment wrapText="1"/>
    </xf>
    <xf numFmtId="0" fontId="24" fillId="0" borderId="22" xfId="131" applyFont="1" applyBorder="1" applyAlignment="1">
      <alignment horizontal="center"/>
    </xf>
    <xf numFmtId="3" fontId="24" fillId="0" borderId="22" xfId="131" applyNumberFormat="1" applyFont="1" applyBorder="1"/>
    <xf numFmtId="3" fontId="24" fillId="0" borderId="47" xfId="131" applyNumberFormat="1" applyFont="1" applyBorder="1"/>
    <xf numFmtId="0" fontId="28" fillId="0" borderId="0" xfId="98"/>
    <xf numFmtId="0" fontId="26" fillId="0" borderId="0" xfId="98" applyFont="1"/>
    <xf numFmtId="3" fontId="26" fillId="0" borderId="0" xfId="98" applyNumberFormat="1" applyFont="1"/>
    <xf numFmtId="3" fontId="26" fillId="0" borderId="0" xfId="98" applyNumberFormat="1" applyFont="1" applyAlignment="1">
      <alignment horizontal="right"/>
    </xf>
    <xf numFmtId="0" fontId="25" fillId="0" borderId="10" xfId="98" applyFont="1" applyBorder="1" applyAlignment="1">
      <alignment horizontal="center"/>
    </xf>
    <xf numFmtId="3" fontId="25" fillId="0" borderId="10" xfId="98" applyNumberFormat="1" applyFont="1" applyBorder="1" applyAlignment="1">
      <alignment horizontal="center"/>
    </xf>
    <xf numFmtId="0" fontId="26" fillId="0" borderId="10" xfId="98" applyFont="1" applyBorder="1"/>
    <xf numFmtId="3" fontId="26" fillId="0" borderId="10" xfId="98" applyNumberFormat="1" applyFont="1" applyBorder="1"/>
    <xf numFmtId="3" fontId="26" fillId="0" borderId="10" xfId="98" applyNumberFormat="1" applyFont="1" applyFill="1" applyBorder="1"/>
    <xf numFmtId="0" fontId="25" fillId="0" borderId="10" xfId="98" applyFont="1" applyBorder="1"/>
    <xf numFmtId="3" fontId="25" fillId="0" borderId="10" xfId="98" applyNumberFormat="1" applyFont="1" applyBorder="1"/>
    <xf numFmtId="0" fontId="26" fillId="0" borderId="13" xfId="98" applyFont="1" applyBorder="1"/>
    <xf numFmtId="3" fontId="26" fillId="0" borderId="13" xfId="98" applyNumberFormat="1" applyFont="1" applyBorder="1"/>
    <xf numFmtId="0" fontId="25" fillId="0" borderId="103" xfId="98" applyFont="1" applyBorder="1" applyAlignment="1">
      <alignment horizontal="left"/>
    </xf>
    <xf numFmtId="3" fontId="26" fillId="0" borderId="103" xfId="98" applyNumberFormat="1" applyFont="1" applyBorder="1" applyAlignment="1">
      <alignment horizontal="right"/>
    </xf>
    <xf numFmtId="3" fontId="26" fillId="0" borderId="10" xfId="98" applyNumberFormat="1" applyFont="1" applyBorder="1" applyAlignment="1">
      <alignment horizontal="right"/>
    </xf>
    <xf numFmtId="3" fontId="26" fillId="0" borderId="13" xfId="98" applyNumberFormat="1" applyFont="1" applyBorder="1" applyAlignment="1">
      <alignment horizontal="right"/>
    </xf>
    <xf numFmtId="0" fontId="28" fillId="0" borderId="15" xfId="98" applyBorder="1" applyAlignment="1"/>
    <xf numFmtId="0" fontId="28" fillId="0" borderId="0" xfId="98" applyAlignment="1"/>
    <xf numFmtId="0" fontId="25" fillId="0" borderId="13" xfId="98" applyFont="1" applyBorder="1"/>
    <xf numFmtId="0" fontId="26" fillId="0" borderId="10" xfId="98" applyFont="1" applyFill="1" applyBorder="1"/>
    <xf numFmtId="0" fontId="26" fillId="37" borderId="10" xfId="98" applyFont="1" applyFill="1" applyBorder="1"/>
    <xf numFmtId="3" fontId="25" fillId="0" borderId="13" xfId="98" applyNumberFormat="1" applyFont="1" applyBorder="1"/>
    <xf numFmtId="3" fontId="25" fillId="0" borderId="19" xfId="98" applyNumberFormat="1" applyFont="1" applyBorder="1"/>
    <xf numFmtId="0" fontId="26" fillId="0" borderId="13" xfId="98" applyFont="1" applyFill="1" applyBorder="1"/>
    <xf numFmtId="3" fontId="26" fillId="0" borderId="19" xfId="98" applyNumberFormat="1" applyFont="1" applyBorder="1"/>
    <xf numFmtId="0" fontId="25" fillId="0" borderId="19" xfId="98" applyFont="1" applyBorder="1"/>
    <xf numFmtId="0" fontId="40" fillId="0" borderId="0" xfId="119" applyFont="1" applyAlignment="1">
      <alignment horizontal="center" wrapText="1"/>
    </xf>
    <xf numFmtId="3" fontId="41" fillId="0" borderId="0" xfId="119" applyNumberFormat="1" applyFont="1"/>
    <xf numFmtId="3" fontId="61" fillId="0" borderId="0" xfId="119" applyNumberFormat="1" applyFont="1"/>
    <xf numFmtId="0" fontId="15" fillId="0" borderId="0" xfId="119"/>
    <xf numFmtId="0" fontId="40" fillId="0" borderId="102" xfId="119" applyFont="1" applyBorder="1" applyAlignment="1">
      <alignment horizontal="center" vertical="center" wrapText="1"/>
    </xf>
    <xf numFmtId="3" fontId="44" fillId="0" borderId="38" xfId="119" applyNumberFormat="1" applyFont="1" applyBorder="1" applyAlignment="1">
      <alignment horizontal="center" vertical="center" wrapText="1"/>
    </xf>
    <xf numFmtId="3" fontId="40" fillId="0" borderId="38" xfId="119" applyNumberFormat="1" applyFont="1" applyBorder="1" applyAlignment="1">
      <alignment horizontal="center" vertical="center" wrapText="1"/>
    </xf>
    <xf numFmtId="3" fontId="40" fillId="0" borderId="68" xfId="119" applyNumberFormat="1" applyFont="1" applyBorder="1" applyAlignment="1">
      <alignment horizontal="center" vertical="center" wrapText="1"/>
    </xf>
    <xf numFmtId="0" fontId="15" fillId="0" borderId="0" xfId="119" applyAlignment="1">
      <alignment horizontal="center" vertical="center"/>
    </xf>
    <xf numFmtId="0" fontId="61" fillId="0" borderId="56" xfId="119" applyFont="1" applyBorder="1" applyAlignment="1">
      <alignment horizontal="left" wrapText="1"/>
    </xf>
    <xf numFmtId="3" fontId="61" fillId="0" borderId="57" xfId="119" applyNumberFormat="1" applyFont="1" applyBorder="1"/>
    <xf numFmtId="3" fontId="61" fillId="0" borderId="83" xfId="119" applyNumberFormat="1" applyFont="1" applyBorder="1"/>
    <xf numFmtId="0" fontId="15" fillId="0" borderId="0" xfId="119" applyFont="1"/>
    <xf numFmtId="0" fontId="61" fillId="0" borderId="20" xfId="119" applyFont="1" applyBorder="1" applyAlignment="1">
      <alignment horizontal="left" wrapText="1"/>
    </xf>
    <xf numFmtId="3" fontId="61" fillId="0" borderId="19" xfId="119" applyNumberFormat="1" applyFont="1" applyBorder="1"/>
    <xf numFmtId="3" fontId="61" fillId="0" borderId="27" xfId="119" applyNumberFormat="1" applyFont="1" applyBorder="1"/>
    <xf numFmtId="3" fontId="61" fillId="0" borderId="19" xfId="119" applyNumberFormat="1" applyFont="1" applyFill="1" applyBorder="1" applyAlignment="1">
      <alignment horizontal="right" wrapText="1"/>
    </xf>
    <xf numFmtId="0" fontId="40" fillId="0" borderId="20" xfId="119" applyFont="1" applyBorder="1" applyAlignment="1">
      <alignment horizontal="left" wrapText="1"/>
    </xf>
    <xf numFmtId="3" fontId="40" fillId="0" borderId="19" xfId="119" applyNumberFormat="1" applyFont="1" applyBorder="1" applyAlignment="1">
      <alignment horizontal="right" wrapText="1"/>
    </xf>
    <xf numFmtId="3" fontId="40" fillId="0" borderId="27" xfId="119" applyNumberFormat="1" applyFont="1" applyBorder="1" applyAlignment="1">
      <alignment horizontal="right" wrapText="1"/>
    </xf>
    <xf numFmtId="3" fontId="40" fillId="0" borderId="19" xfId="119" applyNumberFormat="1" applyFont="1" applyBorder="1"/>
    <xf numFmtId="3" fontId="40" fillId="0" borderId="27" xfId="119" applyNumberFormat="1" applyFont="1" applyBorder="1"/>
    <xf numFmtId="0" fontId="61" fillId="30" borderId="20" xfId="134" applyFont="1" applyFill="1" applyBorder="1" applyAlignment="1">
      <alignment wrapText="1"/>
    </xf>
    <xf numFmtId="0" fontId="40" fillId="29" borderId="20" xfId="119" applyFont="1" applyFill="1" applyBorder="1" applyAlignment="1">
      <alignment horizontal="left" wrapText="1"/>
    </xf>
    <xf numFmtId="3" fontId="40" fillId="29" borderId="19" xfId="119" applyNumberFormat="1" applyFont="1" applyFill="1" applyBorder="1" applyAlignment="1">
      <alignment horizontal="right" wrapText="1"/>
    </xf>
    <xf numFmtId="3" fontId="40" fillId="29" borderId="27" xfId="119" applyNumberFormat="1" applyFont="1" applyFill="1" applyBorder="1" applyAlignment="1">
      <alignment horizontal="right" wrapText="1"/>
    </xf>
    <xf numFmtId="0" fontId="56" fillId="0" borderId="0" xfId="119" applyFont="1" applyBorder="1"/>
    <xf numFmtId="0" fontId="56" fillId="0" borderId="0" xfId="119" applyFont="1"/>
    <xf numFmtId="0" fontId="56" fillId="29" borderId="0" xfId="119" applyFont="1" applyFill="1" applyBorder="1"/>
    <xf numFmtId="0" fontId="56" fillId="29" borderId="0" xfId="119" applyFont="1" applyFill="1"/>
    <xf numFmtId="3" fontId="61" fillId="29" borderId="19" xfId="119" applyNumberFormat="1" applyFont="1" applyFill="1" applyBorder="1"/>
    <xf numFmtId="3" fontId="61" fillId="29" borderId="27" xfId="119" applyNumberFormat="1" applyFont="1" applyFill="1" applyBorder="1"/>
    <xf numFmtId="0" fontId="15" fillId="0" borderId="0" xfId="119" applyFont="1" applyBorder="1"/>
    <xf numFmtId="0" fontId="62" fillId="0" borderId="29" xfId="119" applyFont="1" applyBorder="1" applyAlignment="1">
      <alignment wrapText="1"/>
    </xf>
    <xf numFmtId="3" fontId="41" fillId="0" borderId="22" xfId="119" applyNumberFormat="1" applyFont="1" applyBorder="1"/>
    <xf numFmtId="3" fontId="41" fillId="0" borderId="47" xfId="119" applyNumberFormat="1" applyFont="1" applyBorder="1"/>
    <xf numFmtId="0" fontId="15" fillId="0" borderId="57" xfId="119" applyFont="1" applyBorder="1" applyAlignment="1">
      <alignment wrapText="1"/>
    </xf>
    <xf numFmtId="3" fontId="41" fillId="0" borderId="167" xfId="119" applyNumberFormat="1" applyFont="1" applyBorder="1"/>
    <xf numFmtId="3" fontId="41" fillId="0" borderId="57" xfId="119" applyNumberFormat="1" applyFont="1" applyBorder="1"/>
    <xf numFmtId="3" fontId="41" fillId="0" borderId="32" xfId="119" applyNumberFormat="1" applyFont="1" applyBorder="1"/>
    <xf numFmtId="0" fontId="15" fillId="0" borderId="0" xfId="119" applyAlignment="1">
      <alignment wrapText="1"/>
    </xf>
    <xf numFmtId="3" fontId="31" fillId="29" borderId="47" xfId="119" applyNumberFormat="1" applyFont="1" applyFill="1" applyBorder="1"/>
    <xf numFmtId="0" fontId="25" fillId="0" borderId="0" xfId="119" applyFont="1" applyAlignment="1">
      <alignment horizontal="center" wrapText="1"/>
    </xf>
    <xf numFmtId="0" fontId="22" fillId="29" borderId="45" xfId="119" applyFont="1" applyFill="1" applyBorder="1" applyAlignment="1">
      <alignment horizontal="center" vertical="center" wrapText="1"/>
    </xf>
    <xf numFmtId="0" fontId="22" fillId="29" borderId="71" xfId="119" applyFont="1" applyFill="1" applyBorder="1" applyAlignment="1">
      <alignment horizontal="center" vertical="center" wrapText="1"/>
    </xf>
    <xf numFmtId="0" fontId="22" fillId="29" borderId="50" xfId="119" applyFont="1" applyFill="1" applyBorder="1" applyAlignment="1">
      <alignment horizontal="center" vertical="center" wrapText="1"/>
    </xf>
    <xf numFmtId="0" fontId="22" fillId="29" borderId="21" xfId="119" applyFont="1" applyFill="1" applyBorder="1" applyAlignment="1">
      <alignment horizontal="center" vertical="center" wrapText="1"/>
    </xf>
    <xf numFmtId="0" fontId="22" fillId="29" borderId="41" xfId="119" applyFont="1" applyFill="1" applyBorder="1" applyAlignment="1">
      <alignment horizontal="center" vertical="center" wrapText="1"/>
    </xf>
    <xf numFmtId="0" fontId="22" fillId="29" borderId="104" xfId="119" applyFont="1" applyFill="1" applyBorder="1" applyAlignment="1">
      <alignment horizontal="center" vertical="center" wrapText="1"/>
    </xf>
    <xf numFmtId="0" fontId="25" fillId="0" borderId="0" xfId="119" applyFont="1" applyBorder="1" applyAlignment="1">
      <alignment horizontal="center"/>
    </xf>
    <xf numFmtId="0" fontId="22" fillId="29" borderId="49" xfId="119" applyFont="1" applyFill="1" applyBorder="1" applyAlignment="1">
      <alignment horizontal="center" vertical="center" wrapText="1"/>
    </xf>
    <xf numFmtId="0" fontId="22" fillId="29" borderId="102" xfId="119" applyFont="1" applyFill="1" applyBorder="1" applyAlignment="1">
      <alignment horizontal="center" vertical="center" wrapText="1"/>
    </xf>
    <xf numFmtId="0" fontId="22" fillId="29" borderId="38" xfId="119" applyFont="1" applyFill="1" applyBorder="1" applyAlignment="1">
      <alignment horizontal="center" vertical="center" wrapText="1"/>
    </xf>
    <xf numFmtId="0" fontId="22" fillId="29" borderId="68" xfId="119" applyFont="1" applyFill="1" applyBorder="1" applyAlignment="1">
      <alignment horizontal="center" vertical="center" wrapText="1"/>
    </xf>
    <xf numFmtId="0" fontId="22" fillId="29" borderId="124" xfId="119" applyFont="1" applyFill="1" applyBorder="1" applyAlignment="1">
      <alignment horizontal="center" vertical="center" wrapText="1"/>
    </xf>
    <xf numFmtId="0" fontId="22" fillId="29" borderId="86" xfId="119" applyFont="1" applyFill="1" applyBorder="1" applyAlignment="1">
      <alignment horizontal="center" vertical="center" wrapText="1"/>
    </xf>
    <xf numFmtId="0" fontId="21" fillId="29" borderId="128" xfId="119" applyFont="1" applyFill="1" applyBorder="1" applyAlignment="1">
      <alignment horizontal="center" vertical="center" wrapText="1"/>
    </xf>
    <xf numFmtId="0" fontId="21" fillId="29" borderId="133" xfId="119" applyFont="1" applyFill="1" applyBorder="1" applyAlignment="1">
      <alignment horizontal="center" vertical="center" wrapText="1"/>
    </xf>
    <xf numFmtId="0" fontId="21" fillId="29" borderId="130" xfId="119" applyFont="1" applyFill="1" applyBorder="1" applyAlignment="1">
      <alignment horizontal="center" vertical="center" wrapText="1"/>
    </xf>
    <xf numFmtId="0" fontId="21" fillId="0" borderId="102" xfId="119" applyFont="1" applyFill="1" applyBorder="1" applyAlignment="1">
      <alignment horizontal="center" vertical="center" wrapText="1"/>
    </xf>
    <xf numFmtId="0" fontId="21" fillId="0" borderId="72" xfId="119" applyFont="1" applyFill="1" applyBorder="1" applyAlignment="1">
      <alignment horizontal="center" vertical="center" wrapText="1"/>
    </xf>
    <xf numFmtId="0" fontId="21" fillId="0" borderId="68" xfId="119" applyFont="1" applyFill="1" applyBorder="1" applyAlignment="1">
      <alignment horizontal="center" vertical="center" wrapText="1"/>
    </xf>
    <xf numFmtId="0" fontId="21" fillId="29" borderId="129" xfId="119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2" fillId="29" borderId="61" xfId="110" applyFont="1" applyFill="1" applyBorder="1" applyAlignment="1">
      <alignment horizontal="center" vertical="center"/>
    </xf>
    <xf numFmtId="0" fontId="22" fillId="29" borderId="47" xfId="110" applyFont="1" applyFill="1" applyBorder="1" applyAlignment="1">
      <alignment horizontal="center" vertical="center"/>
    </xf>
    <xf numFmtId="0" fontId="22" fillId="0" borderId="30" xfId="110" applyFont="1" applyFill="1" applyBorder="1" applyAlignment="1">
      <alignment horizontal="center" vertical="center"/>
    </xf>
    <xf numFmtId="0" fontId="22" fillId="0" borderId="29" xfId="110" applyFont="1" applyFill="1" applyBorder="1" applyAlignment="1">
      <alignment horizontal="center" vertical="center"/>
    </xf>
    <xf numFmtId="0" fontId="22" fillId="0" borderId="31" xfId="110" applyFont="1" applyBorder="1" applyAlignment="1">
      <alignment horizontal="center" vertical="center"/>
    </xf>
    <xf numFmtId="0" fontId="22" fillId="0" borderId="22" xfId="110" applyFont="1" applyBorder="1" applyAlignment="1">
      <alignment horizontal="center" vertical="center"/>
    </xf>
    <xf numFmtId="0" fontId="22" fillId="0" borderId="31" xfId="110" applyFont="1" applyFill="1" applyBorder="1" applyAlignment="1">
      <alignment horizontal="center" vertical="center"/>
    </xf>
    <xf numFmtId="0" fontId="22" fillId="0" borderId="22" xfId="110" applyFont="1" applyFill="1" applyBorder="1" applyAlignment="1">
      <alignment horizontal="center" vertical="center"/>
    </xf>
    <xf numFmtId="0" fontId="22" fillId="29" borderId="31" xfId="110" applyFont="1" applyFill="1" applyBorder="1" applyAlignment="1">
      <alignment horizontal="center" vertical="center"/>
    </xf>
    <xf numFmtId="0" fontId="22" fillId="29" borderId="22" xfId="110" applyFont="1" applyFill="1" applyBorder="1" applyAlignment="1">
      <alignment horizontal="center" vertical="center"/>
    </xf>
    <xf numFmtId="0" fontId="22" fillId="29" borderId="130" xfId="110" applyFont="1" applyFill="1" applyBorder="1" applyAlignment="1">
      <alignment horizontal="center" vertical="center" wrapText="1"/>
    </xf>
    <xf numFmtId="0" fontId="22" fillId="29" borderId="46" xfId="110" applyFont="1" applyFill="1" applyBorder="1" applyAlignment="1">
      <alignment horizontal="center" vertical="center" wrapText="1"/>
    </xf>
    <xf numFmtId="0" fontId="22" fillId="0" borderId="129" xfId="110" applyFont="1" applyFill="1" applyBorder="1" applyAlignment="1">
      <alignment horizontal="center" vertical="center" wrapText="1"/>
    </xf>
    <xf numFmtId="0" fontId="22" fillId="0" borderId="88" xfId="110" applyFont="1" applyFill="1" applyBorder="1" applyAlignment="1">
      <alignment horizontal="center" vertical="center" wrapText="1"/>
    </xf>
    <xf numFmtId="0" fontId="22" fillId="29" borderId="129" xfId="110" applyFont="1" applyFill="1" applyBorder="1" applyAlignment="1">
      <alignment horizontal="center" vertical="center"/>
    </xf>
    <xf numFmtId="0" fontId="22" fillId="29" borderId="88" xfId="110" applyFont="1" applyFill="1" applyBorder="1" applyAlignment="1">
      <alignment horizontal="center" vertical="center"/>
    </xf>
    <xf numFmtId="0" fontId="22" fillId="29" borderId="130" xfId="110" applyFont="1" applyFill="1" applyBorder="1" applyAlignment="1">
      <alignment horizontal="center" vertical="center"/>
    </xf>
    <xf numFmtId="0" fontId="22" fillId="29" borderId="46" xfId="110" applyFont="1" applyFill="1" applyBorder="1" applyAlignment="1">
      <alignment horizontal="center" vertical="center"/>
    </xf>
    <xf numFmtId="0" fontId="21" fillId="0" borderId="43" xfId="110" applyFont="1" applyFill="1" applyBorder="1" applyAlignment="1">
      <alignment horizontal="center" wrapText="1"/>
    </xf>
    <xf numFmtId="0" fontId="21" fillId="0" borderId="74" xfId="110" applyFont="1" applyFill="1" applyBorder="1" applyAlignment="1">
      <alignment horizontal="center" wrapText="1"/>
    </xf>
    <xf numFmtId="0" fontId="21" fillId="0" borderId="124" xfId="110" applyNumberFormat="1" applyFont="1" applyFill="1" applyBorder="1" applyAlignment="1">
      <alignment horizontal="center" wrapText="1"/>
    </xf>
    <xf numFmtId="0" fontId="21" fillId="0" borderId="86" xfId="110" applyNumberFormat="1" applyFont="1" applyFill="1" applyBorder="1" applyAlignment="1">
      <alignment horizontal="center" wrapText="1"/>
    </xf>
    <xf numFmtId="0" fontId="22" fillId="0" borderId="134" xfId="110" applyFont="1" applyFill="1" applyBorder="1" applyAlignment="1">
      <alignment horizontal="center" vertical="center"/>
    </xf>
    <xf numFmtId="0" fontId="22" fillId="0" borderId="89" xfId="110" applyFont="1" applyFill="1" applyBorder="1" applyAlignment="1">
      <alignment horizontal="center" vertical="center"/>
    </xf>
    <xf numFmtId="0" fontId="22" fillId="0" borderId="129" xfId="110" applyFont="1" applyBorder="1" applyAlignment="1">
      <alignment horizontal="center" vertical="center"/>
    </xf>
    <xf numFmtId="0" fontId="22" fillId="0" borderId="88" xfId="110" applyFont="1" applyBorder="1" applyAlignment="1">
      <alignment horizontal="center" vertical="center"/>
    </xf>
    <xf numFmtId="0" fontId="22" fillId="0" borderId="129" xfId="110" applyFont="1" applyFill="1" applyBorder="1" applyAlignment="1">
      <alignment horizontal="center" vertical="center"/>
    </xf>
    <xf numFmtId="0" fontId="22" fillId="0" borderId="88" xfId="110" applyFont="1" applyFill="1" applyBorder="1" applyAlignment="1">
      <alignment horizontal="center" vertical="center"/>
    </xf>
    <xf numFmtId="0" fontId="22" fillId="0" borderId="128" xfId="110" applyFont="1" applyBorder="1" applyAlignment="1">
      <alignment horizontal="center" vertical="center"/>
    </xf>
    <xf numFmtId="0" fontId="22" fillId="0" borderId="87" xfId="110" applyFont="1" applyBorder="1" applyAlignment="1">
      <alignment horizontal="center" vertical="center"/>
    </xf>
    <xf numFmtId="0" fontId="21" fillId="30" borderId="72" xfId="119" applyFont="1" applyFill="1" applyBorder="1" applyAlignment="1">
      <alignment horizontal="center" vertical="center" wrapText="1"/>
    </xf>
    <xf numFmtId="0" fontId="21" fillId="30" borderId="42" xfId="119" applyFont="1" applyFill="1" applyBorder="1" applyAlignment="1">
      <alignment horizontal="center" vertical="center" wrapText="1"/>
    </xf>
    <xf numFmtId="0" fontId="21" fillId="30" borderId="133" xfId="119" applyFont="1" applyFill="1" applyBorder="1" applyAlignment="1">
      <alignment horizontal="center" vertical="center" wrapText="1"/>
    </xf>
    <xf numFmtId="0" fontId="21" fillId="30" borderId="135" xfId="119" applyFont="1" applyFill="1" applyBorder="1" applyAlignment="1">
      <alignment horizontal="center" vertical="center" wrapText="1"/>
    </xf>
    <xf numFmtId="0" fontId="22" fillId="0" borderId="0" xfId="119" applyFont="1" applyBorder="1" applyAlignment="1">
      <alignment horizontal="center"/>
    </xf>
    <xf numFmtId="0" fontId="21" fillId="0" borderId="124" xfId="119" applyFont="1" applyBorder="1" applyAlignment="1">
      <alignment horizontal="center" vertical="center" wrapText="1"/>
    </xf>
    <xf numFmtId="0" fontId="21" fillId="0" borderId="53" xfId="119" applyFont="1" applyBorder="1" applyAlignment="1">
      <alignment horizontal="center" vertical="center" wrapText="1"/>
    </xf>
    <xf numFmtId="0" fontId="21" fillId="0" borderId="86" xfId="119" applyFont="1" applyBorder="1" applyAlignment="1">
      <alignment horizontal="center" vertical="center" wrapText="1"/>
    </xf>
    <xf numFmtId="0" fontId="21" fillId="0" borderId="128" xfId="119" applyFont="1" applyFill="1" applyBorder="1" applyAlignment="1">
      <alignment horizontal="center" wrapText="1"/>
    </xf>
    <xf numFmtId="0" fontId="21" fillId="0" borderId="133" xfId="119" applyFont="1" applyFill="1" applyBorder="1" applyAlignment="1">
      <alignment horizontal="center" wrapText="1"/>
    </xf>
    <xf numFmtId="0" fontId="22" fillId="0" borderId="0" xfId="109" applyFont="1" applyBorder="1" applyAlignment="1">
      <alignment horizontal="center"/>
    </xf>
    <xf numFmtId="0" fontId="21" fillId="0" borderId="128" xfId="119" applyFont="1" applyBorder="1" applyAlignment="1">
      <alignment horizontal="center" wrapText="1"/>
    </xf>
    <xf numFmtId="0" fontId="21" fillId="0" borderId="133" xfId="119" applyFont="1" applyBorder="1" applyAlignment="1">
      <alignment horizontal="center" wrapText="1"/>
    </xf>
    <xf numFmtId="0" fontId="21" fillId="0" borderId="130" xfId="119" applyFont="1" applyBorder="1" applyAlignment="1">
      <alignment horizontal="center" wrapText="1"/>
    </xf>
    <xf numFmtId="0" fontId="21" fillId="0" borderId="129" xfId="119" applyFont="1" applyBorder="1" applyAlignment="1">
      <alignment horizontal="center" wrapText="1"/>
    </xf>
    <xf numFmtId="0" fontId="25" fillId="0" borderId="0" xfId="119" applyFont="1" applyAlignment="1">
      <alignment horizontal="center"/>
    </xf>
    <xf numFmtId="0" fontId="26" fillId="0" borderId="0" xfId="119" applyFont="1" applyAlignment="1">
      <alignment horizontal="center"/>
    </xf>
    <xf numFmtId="0" fontId="21" fillId="30" borderId="128" xfId="119" applyFont="1" applyFill="1" applyBorder="1" applyAlignment="1">
      <alignment horizontal="center" vertical="center" wrapText="1"/>
    </xf>
    <xf numFmtId="0" fontId="21" fillId="30" borderId="134" xfId="119" applyFont="1" applyFill="1" applyBorder="1" applyAlignment="1">
      <alignment horizontal="center" vertical="center" wrapText="1"/>
    </xf>
    <xf numFmtId="0" fontId="21" fillId="30" borderId="129" xfId="119" applyFont="1" applyFill="1" applyBorder="1" applyAlignment="1">
      <alignment horizontal="center" vertical="center" wrapText="1"/>
    </xf>
    <xf numFmtId="0" fontId="21" fillId="30" borderId="130" xfId="119" applyFont="1" applyFill="1" applyBorder="1" applyAlignment="1">
      <alignment horizontal="center" vertical="center" wrapText="1"/>
    </xf>
    <xf numFmtId="0" fontId="21" fillId="0" borderId="134" xfId="119" applyFont="1" applyBorder="1" applyAlignment="1">
      <alignment horizontal="center" wrapText="1"/>
    </xf>
    <xf numFmtId="0" fontId="21" fillId="30" borderId="87" xfId="119" applyFont="1" applyFill="1" applyBorder="1" applyAlignment="1">
      <alignment horizontal="center" vertical="center" wrapText="1"/>
    </xf>
    <xf numFmtId="0" fontId="21" fillId="0" borderId="130" xfId="119" applyFont="1" applyBorder="1" applyAlignment="1">
      <alignment horizontal="center" vertical="center"/>
    </xf>
    <xf numFmtId="0" fontId="21" fillId="0" borderId="46" xfId="119" applyFont="1" applyBorder="1" applyAlignment="1">
      <alignment horizontal="center" vertical="center"/>
    </xf>
    <xf numFmtId="0" fontId="22" fillId="0" borderId="48" xfId="119" applyFont="1" applyBorder="1" applyAlignment="1">
      <alignment horizontal="center"/>
    </xf>
    <xf numFmtId="0" fontId="21" fillId="0" borderId="128" xfId="119" applyFont="1" applyFill="1" applyBorder="1" applyAlignment="1">
      <alignment horizontal="center"/>
    </xf>
    <xf numFmtId="0" fontId="21" fillId="0" borderId="133" xfId="119" applyFont="1" applyFill="1" applyBorder="1" applyAlignment="1">
      <alignment horizontal="center"/>
    </xf>
    <xf numFmtId="0" fontId="21" fillId="0" borderId="130" xfId="119" applyFont="1" applyFill="1" applyBorder="1" applyAlignment="1">
      <alignment horizontal="center"/>
    </xf>
    <xf numFmtId="0" fontId="0" fillId="0" borderId="0" xfId="119" applyFont="1" applyAlignment="1">
      <alignment horizontal="center"/>
    </xf>
    <xf numFmtId="0" fontId="28" fillId="0" borderId="0" xfId="119" applyFont="1" applyAlignment="1">
      <alignment horizontal="center"/>
    </xf>
    <xf numFmtId="0" fontId="21" fillId="0" borderId="95" xfId="119" applyFont="1" applyBorder="1" applyAlignment="1">
      <alignment horizontal="center" vertical="center" wrapText="1"/>
    </xf>
    <xf numFmtId="0" fontId="21" fillId="0" borderId="129" xfId="119" applyFont="1" applyFill="1" applyBorder="1" applyAlignment="1">
      <alignment horizontal="center"/>
    </xf>
    <xf numFmtId="0" fontId="21" fillId="0" borderId="134" xfId="109" applyFont="1" applyBorder="1" applyAlignment="1">
      <alignment horizontal="center" wrapText="1"/>
    </xf>
    <xf numFmtId="0" fontId="21" fillId="0" borderId="129" xfId="109" applyFont="1" applyBorder="1" applyAlignment="1">
      <alignment horizontal="center" wrapText="1"/>
    </xf>
    <xf numFmtId="0" fontId="21" fillId="0" borderId="80" xfId="119" applyFont="1" applyBorder="1" applyAlignment="1">
      <alignment horizontal="center" vertical="center"/>
    </xf>
    <xf numFmtId="0" fontId="21" fillId="0" borderId="135" xfId="119" applyFont="1" applyBorder="1" applyAlignment="1">
      <alignment horizontal="center" vertical="center"/>
    </xf>
    <xf numFmtId="0" fontId="21" fillId="0" borderId="130" xfId="119" applyFont="1" applyFill="1" applyBorder="1" applyAlignment="1">
      <alignment horizontal="center" wrapText="1"/>
    </xf>
    <xf numFmtId="0" fontId="21" fillId="0" borderId="128" xfId="119" applyFont="1" applyBorder="1" applyAlignment="1">
      <alignment horizontal="center"/>
    </xf>
    <xf numFmtId="0" fontId="21" fillId="0" borderId="133" xfId="119" applyFont="1" applyBorder="1" applyAlignment="1">
      <alignment horizontal="center"/>
    </xf>
    <xf numFmtId="0" fontId="21" fillId="0" borderId="130" xfId="119" applyFont="1" applyBorder="1" applyAlignment="1">
      <alignment horizontal="center"/>
    </xf>
    <xf numFmtId="0" fontId="21" fillId="0" borderId="48" xfId="107" applyFont="1" applyBorder="1" applyAlignment="1">
      <alignment horizontal="center"/>
    </xf>
    <xf numFmtId="0" fontId="22" fillId="0" borderId="16" xfId="107" applyFont="1" applyBorder="1" applyAlignment="1">
      <alignment horizontal="left" wrapText="1"/>
    </xf>
    <xf numFmtId="0" fontId="22" fillId="0" borderId="136" xfId="107" applyFont="1" applyBorder="1" applyAlignment="1">
      <alignment horizontal="left" wrapText="1"/>
    </xf>
    <xf numFmtId="0" fontId="25" fillId="0" borderId="0" xfId="109" applyFont="1" applyAlignment="1">
      <alignment horizontal="center"/>
    </xf>
    <xf numFmtId="0" fontId="25" fillId="0" borderId="0" xfId="116" applyFont="1" applyFill="1" applyBorder="1" applyAlignment="1">
      <alignment horizontal="center" wrapText="1"/>
    </xf>
    <xf numFmtId="0" fontId="21" fillId="0" borderId="0" xfId="107" applyFont="1" applyBorder="1" applyAlignment="1">
      <alignment horizontal="center" wrapText="1"/>
    </xf>
    <xf numFmtId="3" fontId="25" fillId="0" borderId="0" xfId="105" applyNumberFormat="1" applyFont="1" applyBorder="1" applyAlignment="1">
      <alignment horizontal="center" wrapText="1"/>
    </xf>
    <xf numFmtId="0" fontId="25" fillId="0" borderId="0" xfId="109" applyFont="1" applyBorder="1" applyAlignment="1">
      <alignment horizontal="center"/>
    </xf>
    <xf numFmtId="3" fontId="21" fillId="0" borderId="0" xfId="109" applyNumberFormat="1" applyFont="1" applyAlignment="1">
      <alignment horizontal="center"/>
    </xf>
    <xf numFmtId="3" fontId="20" fillId="0" borderId="0" xfId="109" applyNumberFormat="1" applyFont="1" applyAlignment="1">
      <alignment horizontal="center"/>
    </xf>
    <xf numFmtId="0" fontId="21" fillId="0" borderId="0" xfId="109" applyFont="1" applyAlignment="1">
      <alignment horizontal="center" wrapText="1"/>
    </xf>
    <xf numFmtId="0" fontId="25" fillId="0" borderId="0" xfId="113" applyFont="1" applyAlignment="1">
      <alignment horizontal="center" wrapText="1"/>
    </xf>
    <xf numFmtId="0" fontId="25" fillId="0" borderId="0" xfId="113" applyFont="1" applyBorder="1" applyAlignment="1">
      <alignment horizontal="center"/>
    </xf>
    <xf numFmtId="3" fontId="25" fillId="0" borderId="19" xfId="0" applyNumberFormat="1" applyFont="1" applyBorder="1"/>
    <xf numFmtId="3" fontId="25" fillId="0" borderId="67" xfId="0" applyNumberFormat="1" applyFont="1" applyBorder="1"/>
    <xf numFmtId="0" fontId="25" fillId="0" borderId="67" xfId="0" applyFont="1" applyBorder="1" applyAlignment="1">
      <alignment horizontal="center" wrapText="1"/>
    </xf>
    <xf numFmtId="0" fontId="25" fillId="0" borderId="137" xfId="0" applyFont="1" applyBorder="1" applyAlignment="1">
      <alignment horizontal="center" wrapText="1"/>
    </xf>
    <xf numFmtId="3" fontId="25" fillId="0" borderId="13" xfId="129" applyNumberFormat="1" applyFont="1" applyBorder="1" applyAlignment="1">
      <alignment horizontal="center" wrapText="1"/>
    </xf>
    <xf numFmtId="3" fontId="25" fillId="0" borderId="92" xfId="129" applyNumberFormat="1" applyFont="1" applyBorder="1" applyAlignment="1">
      <alignment horizontal="center" wrapText="1"/>
    </xf>
    <xf numFmtId="3" fontId="25" fillId="0" borderId="10" xfId="129" applyNumberFormat="1" applyFont="1" applyBorder="1" applyAlignment="1">
      <alignment horizontal="center" wrapText="1"/>
    </xf>
    <xf numFmtId="3" fontId="52" fillId="30" borderId="13" xfId="129" applyNumberFormat="1" applyFont="1" applyFill="1" applyBorder="1" applyAlignment="1">
      <alignment horizontal="center"/>
    </xf>
    <xf numFmtId="3" fontId="52" fillId="30" borderId="92" xfId="129" applyNumberFormat="1" applyFont="1" applyFill="1" applyBorder="1" applyAlignment="1">
      <alignment horizontal="center"/>
    </xf>
    <xf numFmtId="3" fontId="52" fillId="0" borderId="13" xfId="129" applyNumberFormat="1" applyFont="1" applyBorder="1" applyAlignment="1">
      <alignment horizontal="center" wrapText="1"/>
    </xf>
    <xf numFmtId="3" fontId="52" fillId="0" borderId="92" xfId="129" applyNumberFormat="1" applyFont="1" applyBorder="1" applyAlignment="1">
      <alignment horizontal="center" wrapText="1"/>
    </xf>
    <xf numFmtId="3" fontId="52" fillId="0" borderId="153" xfId="129" applyNumberFormat="1" applyFont="1" applyBorder="1" applyAlignment="1">
      <alignment horizontal="center" wrapText="1"/>
    </xf>
    <xf numFmtId="3" fontId="52" fillId="0" borderId="155" xfId="129" applyNumberFormat="1" applyFont="1" applyBorder="1" applyAlignment="1">
      <alignment horizontal="center" wrapText="1"/>
    </xf>
    <xf numFmtId="3" fontId="52" fillId="0" borderId="19" xfId="129" applyNumberFormat="1" applyFont="1" applyBorder="1" applyAlignment="1">
      <alignment horizontal="center" wrapText="1"/>
    </xf>
    <xf numFmtId="3" fontId="52" fillId="0" borderId="67" xfId="129" applyNumberFormat="1" applyFont="1" applyBorder="1" applyAlignment="1">
      <alignment horizontal="center" wrapText="1"/>
    </xf>
    <xf numFmtId="3" fontId="25" fillId="0" borderId="19" xfId="0" applyNumberFormat="1" applyFont="1" applyBorder="1" applyAlignment="1">
      <alignment wrapText="1"/>
    </xf>
    <xf numFmtId="3" fontId="26" fillId="0" borderId="67" xfId="0" applyNumberFormat="1" applyFont="1" applyBorder="1"/>
    <xf numFmtId="0" fontId="25" fillId="0" borderId="0" xfId="130" applyFont="1" applyBorder="1" applyAlignment="1">
      <alignment horizontal="center"/>
    </xf>
    <xf numFmtId="0" fontId="56" fillId="0" borderId="13" xfId="130" applyFont="1" applyBorder="1" applyAlignment="1">
      <alignment horizontal="center"/>
    </xf>
    <xf numFmtId="0" fontId="25" fillId="0" borderId="0" xfId="132" applyFont="1" applyAlignment="1">
      <alignment horizontal="center"/>
    </xf>
    <xf numFmtId="3" fontId="22" fillId="0" borderId="0" xfId="108" applyNumberFormat="1" applyFont="1" applyAlignment="1">
      <alignment horizontal="left"/>
    </xf>
    <xf numFmtId="3" fontId="39" fillId="0" borderId="0" xfId="108" applyNumberFormat="1" applyFont="1" applyFill="1" applyAlignment="1">
      <alignment horizontal="left" wrapText="1"/>
    </xf>
    <xf numFmtId="3" fontId="21" fillId="0" borderId="0" xfId="108" applyNumberFormat="1" applyFont="1" applyBorder="1" applyAlignment="1">
      <alignment horizontal="center"/>
    </xf>
    <xf numFmtId="3" fontId="39" fillId="0" borderId="0" xfId="108" applyNumberFormat="1" applyFont="1" applyFill="1" applyBorder="1" applyAlignment="1">
      <alignment horizontal="center" wrapText="1"/>
    </xf>
    <xf numFmtId="0" fontId="47" fillId="0" borderId="0" xfId="100" applyFont="1" applyBorder="1" applyAlignment="1">
      <alignment horizontal="center" wrapText="1"/>
    </xf>
    <xf numFmtId="3" fontId="39" fillId="0" borderId="0" xfId="108" applyNumberFormat="1" applyFont="1" applyFill="1" applyBorder="1" applyAlignment="1">
      <alignment horizontal="left" wrapText="1"/>
    </xf>
    <xf numFmtId="3" fontId="39" fillId="0" borderId="0" xfId="108" applyNumberFormat="1" applyFont="1" applyFill="1" applyAlignment="1">
      <alignment horizontal="center" wrapText="1"/>
    </xf>
    <xf numFmtId="0" fontId="25" fillId="0" borderId="0" xfId="131" applyFont="1" applyBorder="1" applyAlignment="1">
      <alignment horizontal="center" wrapText="1"/>
    </xf>
    <xf numFmtId="3" fontId="26" fillId="0" borderId="0" xfId="98" applyNumberFormat="1" applyFont="1" applyBorder="1" applyAlignment="1">
      <alignment horizontal="right"/>
    </xf>
    <xf numFmtId="0" fontId="25" fillId="0" borderId="0" xfId="98" applyFont="1" applyBorder="1" applyAlignment="1">
      <alignment horizontal="center"/>
    </xf>
    <xf numFmtId="0" fontId="28" fillId="0" borderId="15" xfId="98" applyBorder="1" applyAlignment="1">
      <alignment horizontal="center"/>
    </xf>
    <xf numFmtId="0" fontId="26" fillId="0" borderId="0" xfId="0" applyFont="1" applyFill="1" applyBorder="1" applyAlignment="1">
      <alignment horizontal="right"/>
    </xf>
    <xf numFmtId="0" fontId="25" fillId="0" borderId="0" xfId="0" applyFont="1" applyFill="1" applyBorder="1" applyAlignment="1">
      <alignment horizontal="center"/>
    </xf>
    <xf numFmtId="0" fontId="40" fillId="0" borderId="0" xfId="119" applyFont="1" applyAlignment="1">
      <alignment horizontal="center" wrapText="1"/>
    </xf>
  </cellXfs>
  <cellStyles count="135">
    <cellStyle name="20% - 1. jelölőszín" xfId="1" builtinId="30" customBuiltin="1"/>
    <cellStyle name="20% - 1. jelölőszín 2" xfId="2"/>
    <cellStyle name="20% - 2. jelölőszín" xfId="3" builtinId="34" customBuiltin="1"/>
    <cellStyle name="20% - 2. jelölőszín 2" xfId="4"/>
    <cellStyle name="20% - 3. jelölőszín" xfId="5" builtinId="38" customBuiltin="1"/>
    <cellStyle name="20% - 3. jelölőszín 2" xfId="6"/>
    <cellStyle name="20% - 4. jelölőszín" xfId="7" builtinId="42" customBuiltin="1"/>
    <cellStyle name="20% - 4. jelölőszín 2" xfId="8"/>
    <cellStyle name="20% - 5. jelölőszín" xfId="9" builtinId="46" customBuiltin="1"/>
    <cellStyle name="20% - 5. jelölőszín 2" xfId="10"/>
    <cellStyle name="20% - 6. jelölőszín" xfId="11" builtinId="50" customBuiltin="1"/>
    <cellStyle name="20% - 6. jelölőszín 2" xfId="12"/>
    <cellStyle name="20% - Accent1" xfId="13"/>
    <cellStyle name="20% - Accent2" xfId="14"/>
    <cellStyle name="20% - Accent3" xfId="15"/>
    <cellStyle name="20% - Accent4" xfId="16"/>
    <cellStyle name="20% - Accent5" xfId="17"/>
    <cellStyle name="20% - Accent6" xfId="18"/>
    <cellStyle name="40% - 1. jelölőszín" xfId="19" builtinId="31" customBuiltin="1"/>
    <cellStyle name="40% - 1. jelölőszín 2" xfId="20"/>
    <cellStyle name="40% - 2. jelölőszín" xfId="21" builtinId="35" customBuiltin="1"/>
    <cellStyle name="40% - 2. jelölőszín 2" xfId="22"/>
    <cellStyle name="40% - 3. jelölőszín" xfId="23" builtinId="39" customBuiltin="1"/>
    <cellStyle name="40% - 3. jelölőszín 2" xfId="24"/>
    <cellStyle name="40% - 4. jelölőszín" xfId="25" builtinId="43" customBuiltin="1"/>
    <cellStyle name="40% - 4. jelölőszín 2" xfId="26"/>
    <cellStyle name="40% - 5. jelölőszín" xfId="27" builtinId="47" customBuiltin="1"/>
    <cellStyle name="40% - 5. jelölőszín 2" xfId="28"/>
    <cellStyle name="40% - 6. jelölőszín" xfId="29" builtinId="51" customBuiltin="1"/>
    <cellStyle name="40% - 6. jelölőszín 2" xfId="30"/>
    <cellStyle name="40% - Accent1" xfId="31"/>
    <cellStyle name="40% - Accent2" xfId="32"/>
    <cellStyle name="40% - Accent3" xfId="33"/>
    <cellStyle name="40% - Accent4" xfId="34"/>
    <cellStyle name="40% - Accent5" xfId="35"/>
    <cellStyle name="40% - Accent6" xfId="36"/>
    <cellStyle name="60% - 1. jelölőszín" xfId="37" builtinId="32" customBuiltin="1"/>
    <cellStyle name="60% - 1. jelölőszín 2" xfId="38"/>
    <cellStyle name="60% - 2. jelölőszín" xfId="39" builtinId="36" customBuiltin="1"/>
    <cellStyle name="60% - 2. jelölőszín 2" xfId="40"/>
    <cellStyle name="60% - 3. jelölőszín" xfId="41" builtinId="40" customBuiltin="1"/>
    <cellStyle name="60% - 3. jelölőszín 2" xfId="42"/>
    <cellStyle name="60% - 4. jelölőszín" xfId="43" builtinId="44" customBuiltin="1"/>
    <cellStyle name="60% - 4. jelölőszín 2" xfId="44"/>
    <cellStyle name="60% - 5. jelölőszín" xfId="45" builtinId="48" customBuiltin="1"/>
    <cellStyle name="60% - 5. jelölőszín 2" xfId="46"/>
    <cellStyle name="60% - 6. jelölőszín" xfId="47" builtinId="52" customBuiltin="1"/>
    <cellStyle name="60% - 6. jelölőszín 2" xfId="48"/>
    <cellStyle name="60% - Accent1" xfId="49"/>
    <cellStyle name="60% - Accent2" xfId="50"/>
    <cellStyle name="60% - Accent3" xfId="51"/>
    <cellStyle name="60% - Accent4" xfId="52"/>
    <cellStyle name="60% - Accent5" xfId="53"/>
    <cellStyle name="60% - Accent6" xfId="54"/>
    <cellStyle name="Accent1" xfId="55"/>
    <cellStyle name="Accent2" xfId="56"/>
    <cellStyle name="Accent3" xfId="57"/>
    <cellStyle name="Accent4" xfId="58"/>
    <cellStyle name="Accent5" xfId="59"/>
    <cellStyle name="Accent6" xfId="60"/>
    <cellStyle name="Bad" xfId="61"/>
    <cellStyle name="Bevitel" xfId="62" builtinId="20" customBuiltin="1"/>
    <cellStyle name="Bevitel 2" xfId="63"/>
    <cellStyle name="Calculation" xfId="64"/>
    <cellStyle name="Check Cell" xfId="65"/>
    <cellStyle name="Cím" xfId="66" builtinId="15" customBuiltin="1"/>
    <cellStyle name="Cím 2" xfId="67"/>
    <cellStyle name="Címsor 1" xfId="68" builtinId="16" customBuiltin="1"/>
    <cellStyle name="Címsor 1 2" xfId="69"/>
    <cellStyle name="Címsor 2" xfId="70" builtinId="17" customBuiltin="1"/>
    <cellStyle name="Címsor 2 2" xfId="71"/>
    <cellStyle name="Címsor 3" xfId="72" builtinId="18" customBuiltin="1"/>
    <cellStyle name="Címsor 3 2" xfId="73"/>
    <cellStyle name="Címsor 4" xfId="74" builtinId="19" customBuiltin="1"/>
    <cellStyle name="Címsor 4 2" xfId="75"/>
    <cellStyle name="Excel Built-in Normál_2012. évi költségvetés I. módosítás VÉGLEGES" xfId="76"/>
    <cellStyle name="Excel Built-in Normál_2013 évi költségvetéshez 2013.02.19._2014 évi költségvetés Tündi táblák" xfId="130"/>
    <cellStyle name="Explanatory Text" xfId="77"/>
    <cellStyle name="Ezres" xfId="78" builtinId="3"/>
    <cellStyle name="Ezres 2" xfId="79"/>
    <cellStyle name="Ezres 3" xfId="80"/>
    <cellStyle name="Ezres 4" xfId="81"/>
    <cellStyle name="Figyelmeztetés" xfId="82" builtinId="11" customBuiltin="1"/>
    <cellStyle name="Figyelmeztetés 2" xfId="83"/>
    <cellStyle name="Good" xfId="84"/>
    <cellStyle name="Heading 1" xfId="85"/>
    <cellStyle name="Heading 2" xfId="86"/>
    <cellStyle name="Heading 3" xfId="87"/>
    <cellStyle name="Heading 4" xfId="88"/>
    <cellStyle name="Hivatkozott cella" xfId="89" builtinId="24" customBuiltin="1"/>
    <cellStyle name="Hivatkozott cella 2" xfId="90"/>
    <cellStyle name="Input" xfId="91"/>
    <cellStyle name="Jegyzet" xfId="92" builtinId="10" customBuiltin="1"/>
    <cellStyle name="Jegyzet 2" xfId="93"/>
    <cellStyle name="Kimenet" xfId="94" builtinId="21" customBuiltin="1"/>
    <cellStyle name="Kimenet 2" xfId="95"/>
    <cellStyle name="Linked Cell" xfId="96"/>
    <cellStyle name="Neutral" xfId="97"/>
    <cellStyle name="Normál" xfId="0" builtinId="0"/>
    <cellStyle name="Normál 2" xfId="98"/>
    <cellStyle name="Normál 3" xfId="99"/>
    <cellStyle name="Normál 4" xfId="100"/>
    <cellStyle name="Normál 4 2" xfId="101"/>
    <cellStyle name="Normál 4_KÖLTSÉGVETÉS 2018. I.MÓDOSÍTÁS" xfId="102"/>
    <cellStyle name="Normál 5" xfId="103"/>
    <cellStyle name="Normál_2007. ktgvetés II. forduló_2013. évi költségvetés I." xfId="104"/>
    <cellStyle name="Normál_2007_Koncepció táblák_2013. évi költségvetés I." xfId="105"/>
    <cellStyle name="Normál_2012. évi költségvetés előirányzat nyilvántartás VÉGLEGES 2." xfId="106"/>
    <cellStyle name="Normál_2012. évi költségvetés I. módosítás VÉGLEGES" xfId="131"/>
    <cellStyle name="Normál_2012. évi költségvetés IV. módosítás" xfId="107"/>
    <cellStyle name="Normál_2013 évi költségvetéshez 2013.02.19." xfId="128"/>
    <cellStyle name="Normál_2013 évi költségvetéshez 2013.02.19._2014 évi költségvetés Tündi táblák" xfId="108"/>
    <cellStyle name="Normál_2013. évi költségvetés I." xfId="109"/>
    <cellStyle name="Normál_2013. évi költségvetés I._2013. évi költségvetés előirányzat nyilvántartás" xfId="110"/>
    <cellStyle name="Normál_2013. évi költségvetés I._2013. évi költségvetés II. forduló testületi előterjesztés" xfId="111"/>
    <cellStyle name="Normál_2013. évi költségvetés I._iNTÉZMÉNYI NORMATÍVA 2014" xfId="112"/>
    <cellStyle name="Normál_2013. évi költségvetés II. forduló testületi előterjesztés" xfId="113"/>
    <cellStyle name="Normál_2013. évi költségvetés II. forduló testületi előterjesztés2." xfId="132"/>
    <cellStyle name="Normál_2014. évi kv. 6. tábla_kitöltve_szűkített II.fordulóhoz 2" xfId="114"/>
    <cellStyle name="Normál_4. sz. melléklet" xfId="133"/>
    <cellStyle name="Normal_KARSZJ3" xfId="115"/>
    <cellStyle name="Normál_költségvetés10melléklet_2013. évi költségvetés I." xfId="116"/>
    <cellStyle name="Normal_KTRSZJ" xfId="117"/>
    <cellStyle name="Normál_Másolat eredetijeKÖLTSÉGVETÉS2005új1" xfId="118"/>
    <cellStyle name="Normál_Másolat eredetijeKÖLTSÉGVETÉS2005új1 2" xfId="134"/>
    <cellStyle name="Normál_Másolat eredetijeKÖLTSÉGVETÉS2005új1_2013. évi költségvetés I." xfId="119"/>
    <cellStyle name="Normál_Másolat eredetijeKÖLTSÉGVETÉS2005új1_2013. évi költségvetés II. forduló testületi előterjesztés" xfId="120"/>
    <cellStyle name="Normál_Munka4_2013 évi költségvetéshez 2013.02.19." xfId="129"/>
    <cellStyle name="Note" xfId="121"/>
    <cellStyle name="Output" xfId="122"/>
    <cellStyle name="Összesen" xfId="123" builtinId="25" customBuiltin="1"/>
    <cellStyle name="Összesen 2" xfId="124"/>
    <cellStyle name="Title" xfId="125"/>
    <cellStyle name="Total" xfId="126"/>
    <cellStyle name="Warning Text" xfId="1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HamarEva\LOCALS~1\Temp\M&#225;solat%20eredetijeksh19000282011.11.14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HamarEva/LOCALS~1/Temp/M&#225;solat%20eredetijeksh19000282011.11.14.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kumentumok\Asztal\2018\2018.%20&#233;vi%20&#225;llami%20t&#225;mogat&#225;s\K&#214;LTS&#201;GVET&#201;S%202018.%20I.M&#211;DOS&#205;T&#193;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kumentumok\el&#337;terjeszt&#233;s\2018.%20&#233;vi%20el&#337;terjeszt&#233;sek\2018.%20&#233;vi%20k&#246;lts&#233;gvet&#233;s\Allami%20t&#225;mogat&#225;sokK&#246;lts&#233;gveteshez%20t&#225;bl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kincst&#225;r/REPASY%20TAF/2018.%20&#233;v/2018.%20&#233;v%20&#246;nkorm&#225;nyzat/2018.%20&#233;vi%20kv.%20m&#243;dos&#237;t&#225;s/&#214;NKORM&#193;NYZAT%202018.&#233;vi%20kv.%20II.%20fordul&#243;%20V&#201;GLEG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b. tábla 2018"/>
      <sheetName val="2c. tábla 2018."/>
    </sheetNames>
    <sheetDataSet>
      <sheetData sheetId="0"/>
      <sheetData sheetId="1">
        <row r="14">
          <cell r="I14">
            <v>15372</v>
          </cell>
        </row>
        <row r="26">
          <cell r="I26">
            <v>75097</v>
          </cell>
        </row>
        <row r="38">
          <cell r="I38">
            <v>40273</v>
          </cell>
        </row>
        <row r="51">
          <cell r="I51">
            <v>14906</v>
          </cell>
        </row>
        <row r="60">
          <cell r="I60">
            <v>310683</v>
          </cell>
        </row>
        <row r="61">
          <cell r="I61">
            <v>1531926</v>
          </cell>
        </row>
        <row r="75">
          <cell r="I75">
            <v>929157</v>
          </cell>
        </row>
        <row r="76">
          <cell r="I76">
            <v>10300325</v>
          </cell>
        </row>
        <row r="80">
          <cell r="I80">
            <v>335567</v>
          </cell>
        </row>
        <row r="84">
          <cell r="I84">
            <v>901906</v>
          </cell>
        </row>
        <row r="85">
          <cell r="I85">
            <v>235453</v>
          </cell>
        </row>
        <row r="86">
          <cell r="I86">
            <v>1928285</v>
          </cell>
        </row>
        <row r="89">
          <cell r="I89">
            <v>566064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b. tábla (3)"/>
      <sheetName val="2c. tábla (3)"/>
    </sheetNames>
    <sheetDataSet>
      <sheetData sheetId="0">
        <row r="8">
          <cell r="E8">
            <v>180406200</v>
          </cell>
        </row>
        <row r="25">
          <cell r="E25">
            <v>285145518</v>
          </cell>
        </row>
        <row r="58">
          <cell r="E58">
            <v>831744</v>
          </cell>
        </row>
        <row r="60">
          <cell r="D60">
            <v>4419000</v>
          </cell>
        </row>
        <row r="61">
          <cell r="D61">
            <v>2993000</v>
          </cell>
        </row>
      </sheetData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tábla   (2)"/>
      <sheetName val="2.sz.tábla   (2)"/>
      <sheetName val="2.a tábla ÚJ "/>
      <sheetName val="2b. tábla 2018"/>
      <sheetName val="2c. tábla 2018."/>
      <sheetName val="3.sz. tábla  (2)"/>
      <sheetName val="4.sz.tábla "/>
      <sheetName val="4a. sz. tábla  (3)"/>
      <sheetName val="5.tábla (2)"/>
      <sheetName val="5b. sz. tábla  (2)"/>
      <sheetName val="6.sz.tábla "/>
      <sheetName val="7. sz. tábla 1"/>
      <sheetName val="8. sz. tábla  (3)"/>
      <sheetName val="8a. sz. tábla  (4)"/>
      <sheetName val="9. sz. tábla (2)"/>
      <sheetName val="10 melléklet"/>
      <sheetName val="11. melléklet"/>
      <sheetName val="12. melléklet"/>
      <sheetName val="13.melléklet"/>
      <sheetName val="14. melléklet"/>
      <sheetName val="15. melléklet (2)"/>
      <sheetName val="16. melléklet"/>
      <sheetName val="17. melléklet"/>
      <sheetName val="18. melléklet"/>
      <sheetName val="Munka1"/>
    </sheetNames>
    <sheetDataSet>
      <sheetData sheetId="0">
        <row r="31">
          <cell r="D31">
            <v>397044292</v>
          </cell>
        </row>
        <row r="32">
          <cell r="D32">
            <v>45219810</v>
          </cell>
        </row>
      </sheetData>
      <sheetData sheetId="1">
        <row r="31">
          <cell r="M31">
            <v>447000000</v>
          </cell>
        </row>
        <row r="32">
          <cell r="D32">
            <v>420000000</v>
          </cell>
        </row>
        <row r="33">
          <cell r="D33">
            <v>27000000</v>
          </cell>
        </row>
        <row r="35">
          <cell r="M35">
            <v>840000000</v>
          </cell>
        </row>
        <row r="36">
          <cell r="D36">
            <v>840000000</v>
          </cell>
        </row>
        <row r="37">
          <cell r="D37">
            <v>52000000</v>
          </cell>
        </row>
        <row r="38">
          <cell r="M38">
            <v>384000000</v>
          </cell>
        </row>
        <row r="39">
          <cell r="D39">
            <v>384000000</v>
          </cell>
        </row>
        <row r="46">
          <cell r="M46">
            <v>447239755</v>
          </cell>
        </row>
        <row r="50">
          <cell r="M50">
            <v>14000000</v>
          </cell>
        </row>
        <row r="51">
          <cell r="D51">
            <v>35188439</v>
          </cell>
        </row>
        <row r="60">
          <cell r="M60">
            <v>509250000</v>
          </cell>
        </row>
        <row r="61">
          <cell r="M61">
            <v>0</v>
          </cell>
        </row>
        <row r="68">
          <cell r="M68">
            <v>0</v>
          </cell>
        </row>
        <row r="72">
          <cell r="M72">
            <v>608906935</v>
          </cell>
        </row>
        <row r="76">
          <cell r="M76">
            <v>1354551579</v>
          </cell>
        </row>
        <row r="79">
          <cell r="M79">
            <v>1012800000</v>
          </cell>
        </row>
      </sheetData>
      <sheetData sheetId="2">
        <row r="27">
          <cell r="J27">
            <v>601205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7">
          <cell r="D7">
            <v>1311563771</v>
          </cell>
          <cell r="H7">
            <v>605682643</v>
          </cell>
        </row>
        <row r="8">
          <cell r="D8">
            <v>1755525000</v>
          </cell>
          <cell r="H8">
            <v>124115303</v>
          </cell>
        </row>
        <row r="9">
          <cell r="D9">
            <v>755253068</v>
          </cell>
          <cell r="H9">
            <v>1002553380</v>
          </cell>
        </row>
        <row r="10">
          <cell r="D10">
            <v>0</v>
          </cell>
          <cell r="H10">
            <v>29774000</v>
          </cell>
        </row>
        <row r="11">
          <cell r="H11">
            <v>1171966248</v>
          </cell>
        </row>
        <row r="20">
          <cell r="H20">
            <v>45851776</v>
          </cell>
        </row>
        <row r="30">
          <cell r="D30">
            <v>1808340761</v>
          </cell>
          <cell r="H30">
            <v>4396480479</v>
          </cell>
        </row>
        <row r="31">
          <cell r="D31">
            <v>509250000</v>
          </cell>
          <cell r="H31">
            <v>23431060</v>
          </cell>
        </row>
        <row r="32">
          <cell r="D32">
            <v>625906935</v>
          </cell>
          <cell r="H32">
            <v>73149430</v>
          </cell>
        </row>
        <row r="33">
          <cell r="D33">
            <v>375309895</v>
          </cell>
          <cell r="H33">
            <v>518990164</v>
          </cell>
        </row>
        <row r="42">
          <cell r="H42">
            <v>1000000000</v>
          </cell>
        </row>
        <row r="43">
          <cell r="H43">
            <v>74242424</v>
          </cell>
        </row>
      </sheetData>
      <sheetData sheetId="13" refreshError="1"/>
      <sheetData sheetId="14" refreshError="1"/>
      <sheetData sheetId="15"/>
      <sheetData sheetId="16" refreshError="1"/>
      <sheetData sheetId="17"/>
      <sheetData sheetId="18" refreshError="1"/>
      <sheetData sheetId="19"/>
      <sheetData sheetId="20"/>
      <sheetData sheetId="21"/>
      <sheetData sheetId="22" refreshError="1"/>
      <sheetData sheetId="23"/>
      <sheetData sheetId="2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5"/>
  </sheetPr>
  <dimension ref="A1:J52"/>
  <sheetViews>
    <sheetView tabSelected="1" view="pageLayout" topLeftCell="A3" zoomScaleNormal="75" zoomScaleSheetLayoutView="89" workbookViewId="0">
      <selection activeCell="F8" sqref="F8"/>
    </sheetView>
  </sheetViews>
  <sheetFormatPr defaultColWidth="9.109375" defaultRowHeight="15" x14ac:dyDescent="0.25"/>
  <cols>
    <col min="1" max="1" width="40.44140625" style="18" customWidth="1"/>
    <col min="2" max="2" width="17.109375" style="332" customWidth="1"/>
    <col min="3" max="3" width="18.6640625" style="332" customWidth="1"/>
    <col min="4" max="4" width="18.109375" style="332" customWidth="1"/>
    <col min="5" max="5" width="9.109375" style="11"/>
    <col min="6" max="6" width="20" style="11" customWidth="1"/>
    <col min="7" max="16384" width="9.109375" style="11"/>
  </cols>
  <sheetData>
    <row r="1" spans="1:4" ht="15" hidden="1" customHeight="1" x14ac:dyDescent="0.25">
      <c r="A1" s="1638" t="s">
        <v>60</v>
      </c>
      <c r="B1" s="1638"/>
      <c r="C1" s="1638"/>
      <c r="D1" s="1638"/>
    </row>
    <row r="2" spans="1:4" ht="15.75" hidden="1" customHeight="1" x14ac:dyDescent="0.25">
      <c r="A2" s="1638"/>
      <c r="B2" s="1638"/>
      <c r="C2" s="1638"/>
      <c r="D2" s="1638"/>
    </row>
    <row r="3" spans="1:4" ht="31.5" customHeight="1" x14ac:dyDescent="0.25">
      <c r="A3" s="1638"/>
      <c r="B3" s="1638"/>
      <c r="C3" s="1638"/>
      <c r="D3" s="1638"/>
    </row>
    <row r="4" spans="1:4" ht="16.5" customHeight="1" thickBot="1" x14ac:dyDescent="0.35">
      <c r="A4" s="334"/>
      <c r="B4" s="334"/>
      <c r="C4" s="334"/>
      <c r="D4" s="334"/>
    </row>
    <row r="5" spans="1:4" s="12" customFormat="1" ht="56.25" customHeight="1" thickBot="1" x14ac:dyDescent="0.3">
      <c r="A5" s="294" t="s">
        <v>784</v>
      </c>
      <c r="B5" s="852" t="s">
        <v>191</v>
      </c>
      <c r="C5" s="767" t="s">
        <v>357</v>
      </c>
      <c r="D5" s="853" t="s">
        <v>358</v>
      </c>
    </row>
    <row r="6" spans="1:4" ht="30" x14ac:dyDescent="0.25">
      <c r="A6" s="292" t="s">
        <v>886</v>
      </c>
      <c r="B6" s="293">
        <f xml:space="preserve">   '2.sz.tábla   (2)'!K7</f>
        <v>1311563771</v>
      </c>
      <c r="C6" s="293">
        <f xml:space="preserve">   '2.sz.tábla   (2)'!L7</f>
        <v>1334532099</v>
      </c>
      <c r="D6" s="459">
        <f>C6-B6</f>
        <v>22968328</v>
      </c>
    </row>
    <row r="7" spans="1:4" ht="30" x14ac:dyDescent="0.25">
      <c r="A7" s="90" t="s">
        <v>887</v>
      </c>
      <c r="B7" s="173">
        <f>'2.sz.tábla   (2)'!K22</f>
        <v>1808340761</v>
      </c>
      <c r="C7" s="173">
        <f>'2.sz.tábla   (2)'!L22</f>
        <v>2042262550</v>
      </c>
      <c r="D7" s="438">
        <f>C7-B7</f>
        <v>233921789</v>
      </c>
    </row>
    <row r="8" spans="1:4" ht="21.75" customHeight="1" x14ac:dyDescent="0.25">
      <c r="A8" s="90" t="s">
        <v>888</v>
      </c>
      <c r="B8" s="173">
        <f>'2.sz.tábla   (2)'!K30</f>
        <v>1755525000</v>
      </c>
      <c r="C8" s="173">
        <f>'2.sz.tábla   (2)'!L30</f>
        <v>1755525000</v>
      </c>
      <c r="D8" s="438">
        <f t="shared" ref="D8:D52" si="0">C8-B8</f>
        <v>0</v>
      </c>
    </row>
    <row r="9" spans="1:4" ht="30" customHeight="1" x14ac:dyDescent="0.25">
      <c r="A9" s="90" t="s">
        <v>889</v>
      </c>
      <c r="B9" s="173">
        <f>'2.sz.tábla   (2)'!K43</f>
        <v>1130562963</v>
      </c>
      <c r="C9" s="173">
        <f>'2.sz.tábla   (2)'!L43</f>
        <v>1129378897</v>
      </c>
      <c r="D9" s="438">
        <f t="shared" si="0"/>
        <v>-1184066</v>
      </c>
    </row>
    <row r="10" spans="1:4" ht="30.75" customHeight="1" x14ac:dyDescent="0.25">
      <c r="A10" s="90" t="s">
        <v>890</v>
      </c>
      <c r="B10" s="173">
        <f>'2.sz.tábla   (2)'!K58</f>
        <v>509250000</v>
      </c>
      <c r="C10" s="173">
        <f>'2.sz.tábla   (2)'!L58</f>
        <v>509461023</v>
      </c>
      <c r="D10" s="438">
        <f t="shared" si="0"/>
        <v>211023</v>
      </c>
    </row>
    <row r="11" spans="1:4" ht="27" customHeight="1" x14ac:dyDescent="0.25">
      <c r="A11" s="91" t="s">
        <v>891</v>
      </c>
      <c r="B11" s="173">
        <f>'2.sz.tábla   (2)'!K66</f>
        <v>0</v>
      </c>
      <c r="C11" s="173">
        <f>'2.sz.tábla   (2)'!L66</f>
        <v>16578317</v>
      </c>
      <c r="D11" s="438">
        <f t="shared" si="0"/>
        <v>16578317</v>
      </c>
    </row>
    <row r="12" spans="1:4" ht="35.25" customHeight="1" x14ac:dyDescent="0.25">
      <c r="A12" s="91" t="s">
        <v>892</v>
      </c>
      <c r="B12" s="173">
        <f>'2.sz.tábla   (2)'!K70</f>
        <v>625906935</v>
      </c>
      <c r="C12" s="173">
        <f>'2.sz.tábla   (2)'!L70</f>
        <v>625906935</v>
      </c>
      <c r="D12" s="438">
        <f t="shared" si="0"/>
        <v>0</v>
      </c>
    </row>
    <row r="13" spans="1:4" s="14" customFormat="1" ht="24" customHeight="1" x14ac:dyDescent="0.3">
      <c r="A13" s="92" t="s">
        <v>893</v>
      </c>
      <c r="B13" s="174">
        <f>SUM(B6:B12)</f>
        <v>7141149430</v>
      </c>
      <c r="C13" s="174">
        <f>SUM(C6:C12)</f>
        <v>7413644821</v>
      </c>
      <c r="D13" s="439">
        <f t="shared" si="0"/>
        <v>272495391</v>
      </c>
    </row>
    <row r="14" spans="1:4" s="14" customFormat="1" ht="24" customHeight="1" x14ac:dyDescent="0.3">
      <c r="A14" s="93" t="s">
        <v>894</v>
      </c>
      <c r="B14" s="174"/>
      <c r="C14" s="353"/>
      <c r="D14" s="438"/>
    </row>
    <row r="15" spans="1:4" ht="48.75" customHeight="1" x14ac:dyDescent="0.25">
      <c r="A15" s="90" t="s">
        <v>798</v>
      </c>
      <c r="B15" s="173">
        <f>'2.sz.tábla   (2)'!K76</f>
        <v>1354551579</v>
      </c>
      <c r="C15" s="173">
        <f>'2.sz.tábla   (2)'!L76</f>
        <v>1691378713</v>
      </c>
      <c r="D15" s="438">
        <f t="shared" si="0"/>
        <v>336827134</v>
      </c>
    </row>
    <row r="16" spans="1:4" ht="60.75" customHeight="1" x14ac:dyDescent="0.25">
      <c r="A16" s="90" t="s">
        <v>895</v>
      </c>
      <c r="B16" s="173">
        <f>'2.sz.tábla   (2)'!K79</f>
        <v>1012800000</v>
      </c>
      <c r="C16" s="173">
        <f>'2.sz.tábla   (2)'!L79</f>
        <v>1669499723</v>
      </c>
      <c r="D16" s="438">
        <f t="shared" si="0"/>
        <v>656699723</v>
      </c>
    </row>
    <row r="17" spans="1:10" s="14" customFormat="1" ht="33" customHeight="1" x14ac:dyDescent="0.3">
      <c r="A17" s="92" t="s">
        <v>896</v>
      </c>
      <c r="B17" s="175">
        <f>SUM(B15:B16)</f>
        <v>2367351579</v>
      </c>
      <c r="C17" s="175">
        <f>SUM(C15:C16)</f>
        <v>3360878436</v>
      </c>
      <c r="D17" s="439">
        <f t="shared" si="0"/>
        <v>993526857</v>
      </c>
    </row>
    <row r="18" spans="1:10" s="14" customFormat="1" ht="18" customHeight="1" x14ac:dyDescent="0.3">
      <c r="A18" s="94" t="s">
        <v>897</v>
      </c>
      <c r="B18" s="176">
        <f>B13+B17</f>
        <v>9508501009</v>
      </c>
      <c r="C18" s="176">
        <f>C13+C17</f>
        <v>10774523257</v>
      </c>
      <c r="D18" s="439">
        <f t="shared" si="0"/>
        <v>1266022248</v>
      </c>
    </row>
    <row r="19" spans="1:10" s="14" customFormat="1" ht="14.25" customHeight="1" x14ac:dyDescent="0.3">
      <c r="A19" s="94"/>
      <c r="B19" s="173"/>
      <c r="C19" s="353"/>
      <c r="D19" s="438">
        <f t="shared" si="0"/>
        <v>0</v>
      </c>
      <c r="E19" s="13"/>
      <c r="F19" s="13"/>
      <c r="G19" s="13"/>
      <c r="H19" s="13"/>
      <c r="I19" s="13"/>
      <c r="J19" s="13"/>
    </row>
    <row r="20" spans="1:10" s="16" customFormat="1" ht="20.100000000000001" customHeight="1" x14ac:dyDescent="0.3">
      <c r="A20" s="92" t="s">
        <v>898</v>
      </c>
      <c r="B20" s="174">
        <f>SUM(B21:B23)</f>
        <v>2934091574</v>
      </c>
      <c r="C20" s="174">
        <f>SUM(C21:C23)</f>
        <v>3044820393</v>
      </c>
      <c r="D20" s="439">
        <f t="shared" si="0"/>
        <v>110728819</v>
      </c>
      <c r="E20" s="15"/>
      <c r="F20" s="15"/>
      <c r="G20" s="15"/>
      <c r="H20" s="15"/>
      <c r="I20" s="15"/>
      <c r="J20" s="15"/>
    </row>
    <row r="21" spans="1:10" s="16" customFormat="1" ht="20.100000000000001" customHeight="1" x14ac:dyDescent="0.25">
      <c r="A21" s="90" t="s">
        <v>899</v>
      </c>
      <c r="B21" s="173">
        <f>'5.tábla (2)'!B121</f>
        <v>2167234646</v>
      </c>
      <c r="C21" s="173">
        <f>'5.tábla (2)'!C121</f>
        <v>2236846938</v>
      </c>
      <c r="D21" s="438">
        <f t="shared" si="0"/>
        <v>69612292</v>
      </c>
      <c r="E21" s="15"/>
      <c r="F21" s="15"/>
      <c r="G21" s="15"/>
      <c r="H21" s="15"/>
      <c r="I21" s="15"/>
      <c r="J21" s="15"/>
    </row>
    <row r="22" spans="1:10" s="16" customFormat="1" ht="20.100000000000001" customHeight="1" x14ac:dyDescent="0.25">
      <c r="A22" s="90" t="s">
        <v>900</v>
      </c>
      <c r="B22" s="173">
        <f>'5.tábla (2)'!B20</f>
        <v>427144569</v>
      </c>
      <c r="C22" s="173">
        <f>'5.tábla (2)'!C20</f>
        <v>453694859</v>
      </c>
      <c r="D22" s="438">
        <f t="shared" si="0"/>
        <v>26550290</v>
      </c>
      <c r="E22" s="15"/>
      <c r="F22" s="15"/>
      <c r="G22" s="15"/>
      <c r="H22" s="15"/>
      <c r="I22" s="15"/>
      <c r="J22" s="15"/>
    </row>
    <row r="23" spans="1:10" s="14" customFormat="1" ht="20.100000000000001" customHeight="1" x14ac:dyDescent="0.25">
      <c r="A23" s="90" t="s">
        <v>901</v>
      </c>
      <c r="B23" s="173">
        <f>'4.sz.tábla '!AL9-'4.sz.tábla '!V9</f>
        <v>339712359</v>
      </c>
      <c r="C23" s="173">
        <f>'4.sz.tábla '!AM9-'4.sz.tábla '!W9</f>
        <v>354278596</v>
      </c>
      <c r="D23" s="438">
        <f t="shared" si="0"/>
        <v>14566237</v>
      </c>
      <c r="E23" s="17"/>
      <c r="F23" s="13"/>
      <c r="G23" s="13"/>
      <c r="H23" s="13"/>
      <c r="I23" s="13"/>
      <c r="J23" s="13"/>
    </row>
    <row r="24" spans="1:10" ht="13.5" customHeight="1" x14ac:dyDescent="0.25">
      <c r="A24" s="90"/>
      <c r="B24" s="173"/>
      <c r="C24" s="354"/>
      <c r="D24" s="438">
        <f t="shared" si="0"/>
        <v>0</v>
      </c>
    </row>
    <row r="25" spans="1:10" s="14" customFormat="1" ht="20.100000000000001" customHeight="1" x14ac:dyDescent="0.3">
      <c r="A25" s="92" t="s">
        <v>902</v>
      </c>
      <c r="B25" s="175">
        <f>SUM(B26:B28)</f>
        <v>5012051133</v>
      </c>
      <c r="C25" s="175">
        <f>SUM(C26:C28)</f>
        <v>5869120373</v>
      </c>
      <c r="D25" s="439">
        <f t="shared" si="0"/>
        <v>857069240</v>
      </c>
    </row>
    <row r="26" spans="1:10" ht="20.100000000000001" customHeight="1" x14ac:dyDescent="0.25">
      <c r="A26" s="90" t="s">
        <v>903</v>
      </c>
      <c r="B26" s="173">
        <f>'7. sz. tábla 1'!B182</f>
        <v>4915470643</v>
      </c>
      <c r="C26" s="173">
        <f>'7. sz. tábla 1'!C182</f>
        <v>5765224468</v>
      </c>
      <c r="D26" s="438">
        <f t="shared" si="0"/>
        <v>849753825</v>
      </c>
    </row>
    <row r="27" spans="1:10" s="14" customFormat="1" ht="20.100000000000001" customHeight="1" x14ac:dyDescent="0.25">
      <c r="A27" s="90" t="s">
        <v>904</v>
      </c>
      <c r="B27" s="173">
        <f>'4.sz.tábla '!V11</f>
        <v>23431060</v>
      </c>
      <c r="C27" s="173">
        <f>'4.sz.tábla '!W11</f>
        <v>30746475</v>
      </c>
      <c r="D27" s="438">
        <f t="shared" si="0"/>
        <v>7315415</v>
      </c>
    </row>
    <row r="28" spans="1:10" ht="20.100000000000001" customHeight="1" x14ac:dyDescent="0.25">
      <c r="A28" s="90" t="s">
        <v>905</v>
      </c>
      <c r="B28" s="173">
        <f>'6.sz.tábla '!B116</f>
        <v>73149430</v>
      </c>
      <c r="C28" s="173">
        <f>'6.sz.tábla '!C116</f>
        <v>73149430</v>
      </c>
      <c r="D28" s="438">
        <f t="shared" si="0"/>
        <v>0</v>
      </c>
    </row>
    <row r="29" spans="1:10" ht="12.75" customHeight="1" x14ac:dyDescent="0.3">
      <c r="A29" s="92"/>
      <c r="B29" s="173"/>
      <c r="C29" s="354"/>
      <c r="D29" s="438">
        <f t="shared" si="0"/>
        <v>0</v>
      </c>
    </row>
    <row r="30" spans="1:10" s="14" customFormat="1" ht="20.100000000000001" customHeight="1" x14ac:dyDescent="0.3">
      <c r="A30" s="92" t="s">
        <v>906</v>
      </c>
      <c r="B30" s="175">
        <f>SUM(B31:B32)</f>
        <v>442264102</v>
      </c>
      <c r="C30" s="175">
        <f>SUM(C31:C32)</f>
        <v>280488291</v>
      </c>
      <c r="D30" s="439">
        <f t="shared" si="0"/>
        <v>-161775811</v>
      </c>
    </row>
    <row r="31" spans="1:10" s="14" customFormat="1" ht="20.100000000000001" customHeight="1" x14ac:dyDescent="0.25">
      <c r="A31" s="90" t="s">
        <v>907</v>
      </c>
      <c r="B31" s="173">
        <f>389744292+800000+6500000</f>
        <v>397044292</v>
      </c>
      <c r="C31" s="352">
        <v>162835115</v>
      </c>
      <c r="D31" s="438">
        <f t="shared" si="0"/>
        <v>-234209177</v>
      </c>
    </row>
    <row r="32" spans="1:10" s="14" customFormat="1" ht="20.100000000000001" customHeight="1" x14ac:dyDescent="0.25">
      <c r="A32" s="90" t="s">
        <v>908</v>
      </c>
      <c r="B32" s="173">
        <f>B39</f>
        <v>45219810</v>
      </c>
      <c r="C32" s="173">
        <f>C39</f>
        <v>117653176</v>
      </c>
      <c r="D32" s="438">
        <f t="shared" si="0"/>
        <v>72433366</v>
      </c>
    </row>
    <row r="33" spans="1:6" s="14" customFormat="1" ht="23.25" customHeight="1" x14ac:dyDescent="0.3">
      <c r="A33" s="92" t="s">
        <v>909</v>
      </c>
      <c r="B33" s="175">
        <f>SUM(B30,B25,B20)</f>
        <v>8388406809</v>
      </c>
      <c r="C33" s="175">
        <f>SUM(C30,C25,C20)</f>
        <v>9194429057</v>
      </c>
      <c r="D33" s="439">
        <f t="shared" si="0"/>
        <v>806022248</v>
      </c>
    </row>
    <row r="34" spans="1:6" ht="20.100000000000001" customHeight="1" x14ac:dyDescent="0.25">
      <c r="A34" s="90" t="s">
        <v>910</v>
      </c>
      <c r="B34" s="173">
        <f>'7. sz. tábla 1'!B184</f>
        <v>74242424</v>
      </c>
      <c r="C34" s="173">
        <f>'7. sz. tábla 1'!C184</f>
        <v>74242424</v>
      </c>
      <c r="D34" s="438">
        <f t="shared" si="0"/>
        <v>0</v>
      </c>
    </row>
    <row r="35" spans="1:6" ht="28.5" customHeight="1" x14ac:dyDescent="0.25">
      <c r="A35" s="90" t="s">
        <v>1</v>
      </c>
      <c r="B35" s="173">
        <f>'7. sz. tábla 1'!B186</f>
        <v>45851776</v>
      </c>
      <c r="C35" s="173">
        <f>'7. sz. tábla 1'!C186</f>
        <v>45851776</v>
      </c>
      <c r="D35" s="438">
        <f t="shared" si="0"/>
        <v>0</v>
      </c>
    </row>
    <row r="36" spans="1:6" ht="22.5" customHeight="1" x14ac:dyDescent="0.25">
      <c r="A36" s="90" t="s">
        <v>832</v>
      </c>
      <c r="B36" s="173">
        <f>'7. sz. tábla 1'!B185</f>
        <v>1000000000</v>
      </c>
      <c r="C36" s="173">
        <f>'7. sz. tábla 1'!C185</f>
        <v>1460000000</v>
      </c>
      <c r="D36" s="438">
        <f t="shared" si="0"/>
        <v>460000000</v>
      </c>
    </row>
    <row r="37" spans="1:6" s="14" customFormat="1" ht="21.75" customHeight="1" x14ac:dyDescent="0.3">
      <c r="A37" s="92" t="s">
        <v>911</v>
      </c>
      <c r="B37" s="175">
        <f>SUM(B34:B36)</f>
        <v>1120094200</v>
      </c>
      <c r="C37" s="175">
        <f>SUM(C34:C36)</f>
        <v>1580094200</v>
      </c>
      <c r="D37" s="439">
        <f t="shared" si="0"/>
        <v>460000000</v>
      </c>
    </row>
    <row r="38" spans="1:6" s="14" customFormat="1" ht="20.100000000000001" customHeight="1" x14ac:dyDescent="0.3">
      <c r="A38" s="94" t="s">
        <v>912</v>
      </c>
      <c r="B38" s="176">
        <f>SUM(B33,B37)</f>
        <v>9508501009</v>
      </c>
      <c r="C38" s="176">
        <f>SUM(C33,C37)</f>
        <v>10774523257</v>
      </c>
      <c r="D38" s="439">
        <f t="shared" si="0"/>
        <v>1266022248</v>
      </c>
      <c r="F38" s="799">
        <f>D18-D38</f>
        <v>0</v>
      </c>
    </row>
    <row r="39" spans="1:6" s="16" customFormat="1" ht="20.100000000000001" customHeight="1" x14ac:dyDescent="0.3">
      <c r="A39" s="95" t="s">
        <v>913</v>
      </c>
      <c r="B39" s="177">
        <f>SUM(B40:B52)</f>
        <v>45219810</v>
      </c>
      <c r="C39" s="177">
        <f>SUM(C40:C52)</f>
        <v>117653176</v>
      </c>
      <c r="D39" s="439">
        <f t="shared" si="0"/>
        <v>72433366</v>
      </c>
    </row>
    <row r="40" spans="1:6" s="16" customFormat="1" ht="17.25" customHeight="1" x14ac:dyDescent="0.25">
      <c r="A40" s="96" t="s">
        <v>914</v>
      </c>
      <c r="B40" s="173">
        <v>660000</v>
      </c>
      <c r="C40" s="173">
        <v>660000</v>
      </c>
      <c r="D40" s="438">
        <f t="shared" si="0"/>
        <v>0</v>
      </c>
    </row>
    <row r="41" spans="1:6" s="16" customFormat="1" ht="15" customHeight="1" x14ac:dyDescent="0.25">
      <c r="A41" s="96" t="s">
        <v>915</v>
      </c>
      <c r="B41" s="173">
        <v>8412487</v>
      </c>
      <c r="C41" s="173">
        <v>8412487</v>
      </c>
      <c r="D41" s="438">
        <f t="shared" si="0"/>
        <v>0</v>
      </c>
    </row>
    <row r="42" spans="1:6" s="16" customFormat="1" ht="17.25" customHeight="1" x14ac:dyDescent="0.25">
      <c r="A42" s="96" t="s">
        <v>916</v>
      </c>
      <c r="B42" s="173">
        <v>5000000</v>
      </c>
      <c r="C42" s="173">
        <v>2483000</v>
      </c>
      <c r="D42" s="438">
        <f t="shared" si="0"/>
        <v>-2517000</v>
      </c>
    </row>
    <row r="43" spans="1:6" x14ac:dyDescent="0.25">
      <c r="A43" s="96" t="s">
        <v>917</v>
      </c>
      <c r="B43" s="173">
        <v>20904901</v>
      </c>
      <c r="C43" s="173">
        <v>20107122</v>
      </c>
      <c r="D43" s="438">
        <f t="shared" si="0"/>
        <v>-797779</v>
      </c>
    </row>
    <row r="44" spans="1:6" x14ac:dyDescent="0.25">
      <c r="A44" s="96" t="s">
        <v>918</v>
      </c>
      <c r="B44" s="173">
        <v>3000000</v>
      </c>
      <c r="C44" s="173">
        <v>3000000</v>
      </c>
      <c r="D44" s="438">
        <f t="shared" si="0"/>
        <v>0</v>
      </c>
    </row>
    <row r="45" spans="1:6" x14ac:dyDescent="0.25">
      <c r="A45" s="96" t="s">
        <v>919</v>
      </c>
      <c r="B45" s="173">
        <v>4000000</v>
      </c>
      <c r="C45" s="173">
        <v>4000000</v>
      </c>
      <c r="D45" s="438">
        <f t="shared" si="0"/>
        <v>0</v>
      </c>
    </row>
    <row r="46" spans="1:6" x14ac:dyDescent="0.25">
      <c r="A46" s="96" t="s">
        <v>339</v>
      </c>
      <c r="B46" s="173">
        <v>2186838</v>
      </c>
      <c r="C46" s="173">
        <v>2186838</v>
      </c>
      <c r="D46" s="438">
        <f t="shared" si="0"/>
        <v>0</v>
      </c>
    </row>
    <row r="47" spans="1:6" ht="27.6" x14ac:dyDescent="0.25">
      <c r="A47" s="96" t="s">
        <v>998</v>
      </c>
      <c r="B47" s="173">
        <v>0</v>
      </c>
      <c r="C47" s="173">
        <v>20000000</v>
      </c>
      <c r="D47" s="438">
        <f t="shared" si="0"/>
        <v>20000000</v>
      </c>
    </row>
    <row r="48" spans="1:6" ht="41.4" x14ac:dyDescent="0.25">
      <c r="A48" s="96" t="s">
        <v>999</v>
      </c>
      <c r="B48" s="173"/>
      <c r="C48" s="173">
        <v>54709790</v>
      </c>
      <c r="D48" s="438">
        <f t="shared" si="0"/>
        <v>54709790</v>
      </c>
    </row>
    <row r="49" spans="1:4" ht="19.5" customHeight="1" x14ac:dyDescent="0.25">
      <c r="A49" s="96" t="s">
        <v>613</v>
      </c>
      <c r="B49" s="173">
        <v>0</v>
      </c>
      <c r="C49" s="173">
        <v>1405939</v>
      </c>
      <c r="D49" s="438">
        <f t="shared" si="0"/>
        <v>1405939</v>
      </c>
    </row>
    <row r="50" spans="1:4" ht="27.6" x14ac:dyDescent="0.25">
      <c r="A50" s="96" t="s">
        <v>836</v>
      </c>
      <c r="B50" s="173">
        <v>78000</v>
      </c>
      <c r="C50" s="173">
        <v>78000</v>
      </c>
      <c r="D50" s="438">
        <f>C50-B50</f>
        <v>0</v>
      </c>
    </row>
    <row r="51" spans="1:4" ht="27.6" x14ac:dyDescent="0.25">
      <c r="A51" s="333" t="s">
        <v>340</v>
      </c>
      <c r="B51" s="173">
        <v>610000</v>
      </c>
      <c r="C51" s="173">
        <v>610000</v>
      </c>
      <c r="D51" s="438">
        <f t="shared" si="0"/>
        <v>0</v>
      </c>
    </row>
    <row r="52" spans="1:4" ht="28.2" thickBot="1" x14ac:dyDescent="0.3">
      <c r="A52" s="1182" t="s">
        <v>121</v>
      </c>
      <c r="B52" s="440">
        <v>367584</v>
      </c>
      <c r="C52" s="440">
        <v>0</v>
      </c>
      <c r="D52" s="1183">
        <f t="shared" si="0"/>
        <v>-367584</v>
      </c>
    </row>
  </sheetData>
  <sheetProtection selectLockedCells="1" selectUnlockedCells="1"/>
  <mergeCells count="1">
    <mergeCell ref="A1:D3"/>
  </mergeCells>
  <phoneticPr fontId="27" type="noConversion"/>
  <printOptions horizontalCentered="1"/>
  <pageMargins left="0.4597222222222222" right="0.57986111111111116" top="1.1201388888888888" bottom="0.98402777777777772" header="0.45" footer="0.51180555555555551"/>
  <pageSetup paperSize="9" scale="50" firstPageNumber="0" orientation="portrait" r:id="rId1"/>
  <headerFooter alignWithMargins="0">
    <oddHeader xml:space="preserve">&amp;C
1. melléklet 
az önkormányzat 2018. évi költségvetéséről szóló 11/2018. (III.01.) önkormányzati rendelethez
&amp;R
&amp;P. oldal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5"/>
  </sheetPr>
  <dimension ref="A1:P101"/>
  <sheetViews>
    <sheetView view="pageLayout" topLeftCell="B3" zoomScale="91" zoomScaleNormal="91" zoomScaleSheetLayoutView="89" zoomScalePageLayoutView="91" workbookViewId="0">
      <selection activeCell="M27" sqref="M27"/>
    </sheetView>
  </sheetViews>
  <sheetFormatPr defaultColWidth="9.109375" defaultRowHeight="13.2" x14ac:dyDescent="0.25"/>
  <cols>
    <col min="1" max="1" width="25.6640625" style="17" customWidth="1"/>
    <col min="2" max="4" width="15" style="17" customWidth="1"/>
    <col min="5" max="5" width="14.109375" style="17" customWidth="1"/>
    <col min="6" max="6" width="13.44140625" style="17" customWidth="1"/>
    <col min="7" max="7" width="16.109375" style="17" customWidth="1"/>
    <col min="8" max="8" width="12.88671875" style="17" customWidth="1"/>
    <col min="9" max="9" width="15.88671875" style="17" customWidth="1"/>
    <col min="10" max="10" width="15.109375" style="17" customWidth="1"/>
    <col min="11" max="11" width="14.44140625" style="17" bestFit="1" customWidth="1"/>
    <col min="12" max="12" width="15.33203125" style="17" customWidth="1"/>
    <col min="13" max="13" width="16.44140625" style="17" customWidth="1"/>
    <col min="14" max="14" width="16.109375" style="17" customWidth="1"/>
    <col min="15" max="15" width="9.109375" style="19"/>
    <col min="16" max="16" width="9.33203125" style="19" bestFit="1" customWidth="1"/>
    <col min="17" max="17" width="0.33203125" style="19" customWidth="1"/>
    <col min="18" max="16384" width="9.109375" style="19"/>
  </cols>
  <sheetData>
    <row r="1" spans="1:14" hidden="1" x14ac:dyDescent="0.25">
      <c r="A1" s="81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idden="1" x14ac:dyDescent="0.25">
      <c r="A2" s="82"/>
    </row>
    <row r="3" spans="1:14" ht="15.6" x14ac:dyDescent="0.3">
      <c r="A3" s="1645" t="s">
        <v>75</v>
      </c>
      <c r="B3" s="1645"/>
      <c r="C3" s="1645"/>
      <c r="D3" s="1645"/>
      <c r="E3" s="1645"/>
      <c r="F3" s="1645"/>
      <c r="G3" s="1645"/>
      <c r="H3" s="1645"/>
      <c r="I3" s="1645"/>
      <c r="J3" s="1645"/>
      <c r="K3" s="1645"/>
      <c r="L3" s="1645"/>
      <c r="M3" s="1645"/>
    </row>
    <row r="4" spans="1:14" ht="13.8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4" s="20" customFormat="1" ht="27.75" customHeight="1" thickBot="1" x14ac:dyDescent="0.3">
      <c r="A5" s="217" t="s">
        <v>784</v>
      </c>
      <c r="B5" s="1639" t="s">
        <v>920</v>
      </c>
      <c r="C5" s="1640"/>
      <c r="D5" s="1641"/>
      <c r="E5" s="1639" t="s">
        <v>664</v>
      </c>
      <c r="F5" s="1640"/>
      <c r="G5" s="1641"/>
      <c r="H5" s="1646" t="s">
        <v>921</v>
      </c>
      <c r="I5" s="1646"/>
      <c r="J5" s="1646"/>
      <c r="K5" s="1646" t="s">
        <v>922</v>
      </c>
      <c r="L5" s="1646"/>
      <c r="M5" s="1646"/>
      <c r="N5" s="41"/>
    </row>
    <row r="6" spans="1:14" s="21" customFormat="1" ht="53.25" customHeight="1" thickBot="1" x14ac:dyDescent="0.3">
      <c r="A6" s="441"/>
      <c r="B6" s="852" t="s">
        <v>191</v>
      </c>
      <c r="C6" s="767" t="s">
        <v>357</v>
      </c>
      <c r="D6" s="853" t="s">
        <v>358</v>
      </c>
      <c r="E6" s="852" t="s">
        <v>191</v>
      </c>
      <c r="F6" s="767" t="s">
        <v>357</v>
      </c>
      <c r="G6" s="853" t="s">
        <v>358</v>
      </c>
      <c r="H6" s="852" t="s">
        <v>191</v>
      </c>
      <c r="I6" s="767" t="s">
        <v>357</v>
      </c>
      <c r="J6" s="853" t="s">
        <v>358</v>
      </c>
      <c r="K6" s="852" t="s">
        <v>191</v>
      </c>
      <c r="L6" s="767" t="s">
        <v>357</v>
      </c>
      <c r="M6" s="853" t="s">
        <v>358</v>
      </c>
      <c r="N6" s="15"/>
    </row>
    <row r="7" spans="1:14" s="21" customFormat="1" ht="39.6" x14ac:dyDescent="0.25">
      <c r="A7" s="108" t="s">
        <v>886</v>
      </c>
      <c r="B7" s="863">
        <f>B8+B16+B17+B18+B19+B20</f>
        <v>1166764644</v>
      </c>
      <c r="C7" s="230">
        <f>C8+C16+C17+C18+C19+C20</f>
        <v>1181437317</v>
      </c>
      <c r="D7" s="468">
        <f t="shared" ref="D7:D13" si="0">C7-B7</f>
        <v>14672673</v>
      </c>
      <c r="E7" s="295">
        <f>E8+E16+E17+E18+E19+E20</f>
        <v>22871493</v>
      </c>
      <c r="F7" s="230">
        <f>F8+F16+F17+F18+F19+F20</f>
        <v>28474773</v>
      </c>
      <c r="G7" s="864">
        <f>F7-E7</f>
        <v>5603280</v>
      </c>
      <c r="H7" s="295">
        <f>H8+H16+H17+H18+H19+H20</f>
        <v>121927634</v>
      </c>
      <c r="I7" s="230">
        <f>I8+I16+I17+I18+I19+I20</f>
        <v>124620009</v>
      </c>
      <c r="J7" s="864">
        <f>I7-H7</f>
        <v>2692375</v>
      </c>
      <c r="K7" s="863">
        <f>K8+K16+K17+K18+K19+K20</f>
        <v>1311563771</v>
      </c>
      <c r="L7" s="230">
        <f>L8+L16+L17+L18+L19+L20</f>
        <v>1334532099</v>
      </c>
      <c r="M7" s="864">
        <f>L7-K7</f>
        <v>22968328</v>
      </c>
      <c r="N7" s="15"/>
    </row>
    <row r="8" spans="1:14" s="22" customFormat="1" ht="26.4" x14ac:dyDescent="0.25">
      <c r="A8" s="109" t="s">
        <v>923</v>
      </c>
      <c r="B8" s="865">
        <f>SUM(B9:B15)</f>
        <v>913185557</v>
      </c>
      <c r="C8" s="196">
        <f>SUM(C9:C15)</f>
        <v>930171338</v>
      </c>
      <c r="D8" s="458">
        <f t="shared" si="0"/>
        <v>16985781</v>
      </c>
      <c r="E8" s="865">
        <f>SUM(E9:E15)</f>
        <v>0</v>
      </c>
      <c r="F8" s="196">
        <f>SUM(F9:F15)</f>
        <v>0</v>
      </c>
      <c r="G8" s="458">
        <f>F8-E8</f>
        <v>0</v>
      </c>
      <c r="H8" s="865">
        <f>SUM(H9:H15)</f>
        <v>0</v>
      </c>
      <c r="I8" s="196">
        <f>SUM(I9:I15)</f>
        <v>0</v>
      </c>
      <c r="J8" s="458">
        <f>I8-H8</f>
        <v>0</v>
      </c>
      <c r="K8" s="865">
        <f>SUM(K9:K15)</f>
        <v>913185557</v>
      </c>
      <c r="L8" s="196">
        <f>SUM(L9:L15)</f>
        <v>930171338</v>
      </c>
      <c r="M8" s="866">
        <f>L8-K8</f>
        <v>16985781</v>
      </c>
      <c r="N8" s="416"/>
    </row>
    <row r="9" spans="1:14" s="22" customFormat="1" ht="26.4" x14ac:dyDescent="0.25">
      <c r="A9" s="110" t="s">
        <v>924</v>
      </c>
      <c r="B9" s="854">
        <f>'2b. tábla 2018'!E5</f>
        <v>465551718</v>
      </c>
      <c r="C9" s="855">
        <f>'2b. tábla 2018'!H5</f>
        <v>466084248</v>
      </c>
      <c r="D9" s="458">
        <f t="shared" si="0"/>
        <v>532530</v>
      </c>
      <c r="E9" s="854"/>
      <c r="F9" s="103"/>
      <c r="G9" s="858"/>
      <c r="H9" s="854"/>
      <c r="I9" s="103"/>
      <c r="J9" s="858"/>
      <c r="K9" s="472">
        <f t="shared" ref="K9:L14" si="1">SUM(B9+E9+H9)</f>
        <v>465551718</v>
      </c>
      <c r="L9" s="103">
        <f t="shared" si="1"/>
        <v>466084248</v>
      </c>
      <c r="M9" s="866">
        <f t="shared" ref="M9:M27" si="2">L9-K9</f>
        <v>532530</v>
      </c>
      <c r="N9" s="416"/>
    </row>
    <row r="10" spans="1:14" s="22" customFormat="1" ht="39.6" x14ac:dyDescent="0.25">
      <c r="A10" s="110" t="s">
        <v>925</v>
      </c>
      <c r="B10" s="854">
        <f>'2b. tábla 2018'!E30</f>
        <v>248514968</v>
      </c>
      <c r="C10" s="855">
        <f>'2b. tábla 2018'!H30</f>
        <v>248315735</v>
      </c>
      <c r="D10" s="458">
        <f t="shared" si="0"/>
        <v>-199233</v>
      </c>
      <c r="E10" s="854"/>
      <c r="F10" s="103"/>
      <c r="G10" s="858"/>
      <c r="H10" s="854"/>
      <c r="I10" s="103"/>
      <c r="J10" s="858"/>
      <c r="K10" s="472">
        <f t="shared" si="1"/>
        <v>248514968</v>
      </c>
      <c r="L10" s="103">
        <f t="shared" si="1"/>
        <v>248315735</v>
      </c>
      <c r="M10" s="866">
        <f t="shared" si="2"/>
        <v>-199233</v>
      </c>
      <c r="N10" s="416"/>
    </row>
    <row r="11" spans="1:14" s="22" customFormat="1" ht="39.6" x14ac:dyDescent="0.25">
      <c r="A11" s="111" t="s">
        <v>926</v>
      </c>
      <c r="B11" s="854">
        <f>'2b. tábla 2018'!E42</f>
        <v>182314391</v>
      </c>
      <c r="C11" s="855">
        <f>'2b. tábla 2018'!H42</f>
        <v>194146642</v>
      </c>
      <c r="D11" s="458">
        <f t="shared" si="0"/>
        <v>11832251</v>
      </c>
      <c r="E11" s="854"/>
      <c r="F11" s="103"/>
      <c r="G11" s="858"/>
      <c r="H11" s="854"/>
      <c r="I11" s="103"/>
      <c r="J11" s="858"/>
      <c r="K11" s="472">
        <f t="shared" si="1"/>
        <v>182314391</v>
      </c>
      <c r="L11" s="103">
        <f t="shared" si="1"/>
        <v>194146642</v>
      </c>
      <c r="M11" s="866">
        <f t="shared" si="2"/>
        <v>11832251</v>
      </c>
      <c r="N11" s="416"/>
    </row>
    <row r="12" spans="1:14" s="22" customFormat="1" ht="26.4" x14ac:dyDescent="0.25">
      <c r="A12" s="111" t="s">
        <v>927</v>
      </c>
      <c r="B12" s="854">
        <f>'2b. tábla 2018'!E67</f>
        <v>16804480</v>
      </c>
      <c r="C12" s="855">
        <f>'2b. tábla 2018'!H67</f>
        <v>19634671</v>
      </c>
      <c r="D12" s="458">
        <f t="shared" si="0"/>
        <v>2830191</v>
      </c>
      <c r="E12" s="854"/>
      <c r="F12" s="103"/>
      <c r="G12" s="858"/>
      <c r="H12" s="854"/>
      <c r="I12" s="103"/>
      <c r="J12" s="858"/>
      <c r="K12" s="472">
        <f t="shared" si="1"/>
        <v>16804480</v>
      </c>
      <c r="L12" s="103">
        <f t="shared" si="1"/>
        <v>19634671</v>
      </c>
      <c r="M12" s="866">
        <f t="shared" si="2"/>
        <v>2830191</v>
      </c>
      <c r="N12" s="416"/>
    </row>
    <row r="13" spans="1:14" s="21" customFormat="1" ht="39.6" x14ac:dyDescent="0.25">
      <c r="A13" s="111" t="s">
        <v>863</v>
      </c>
      <c r="B13" s="854">
        <f>'2b. tábla 2018'!E72</f>
        <v>0</v>
      </c>
      <c r="C13" s="855">
        <f>'2b. tábla 2018'!H72</f>
        <v>1990042</v>
      </c>
      <c r="D13" s="458">
        <f t="shared" si="0"/>
        <v>1990042</v>
      </c>
      <c r="E13" s="854"/>
      <c r="F13" s="103"/>
      <c r="G13" s="859"/>
      <c r="H13" s="854"/>
      <c r="I13" s="103"/>
      <c r="J13" s="859"/>
      <c r="K13" s="472">
        <f t="shared" si="1"/>
        <v>0</v>
      </c>
      <c r="L13" s="103">
        <f t="shared" si="1"/>
        <v>1990042</v>
      </c>
      <c r="M13" s="866">
        <f t="shared" si="2"/>
        <v>1990042</v>
      </c>
      <c r="N13" s="15"/>
    </row>
    <row r="14" spans="1:14" s="21" customFormat="1" ht="26.4" x14ac:dyDescent="0.25">
      <c r="A14" s="111" t="s">
        <v>876</v>
      </c>
      <c r="B14" s="854"/>
      <c r="C14" s="855"/>
      <c r="D14" s="469"/>
      <c r="E14" s="854"/>
      <c r="F14" s="103"/>
      <c r="G14" s="859"/>
      <c r="H14" s="854"/>
      <c r="I14" s="103"/>
      <c r="J14" s="859"/>
      <c r="K14" s="472">
        <f t="shared" si="1"/>
        <v>0</v>
      </c>
      <c r="L14" s="103">
        <f t="shared" si="1"/>
        <v>0</v>
      </c>
      <c r="M14" s="866">
        <f t="shared" si="2"/>
        <v>0</v>
      </c>
      <c r="N14" s="15"/>
    </row>
    <row r="15" spans="1:14" s="21" customFormat="1" x14ac:dyDescent="0.25">
      <c r="A15" s="111" t="s">
        <v>965</v>
      </c>
      <c r="B15" s="854"/>
      <c r="C15" s="855"/>
      <c r="D15" s="469"/>
      <c r="E15" s="854"/>
      <c r="F15" s="103"/>
      <c r="G15" s="859"/>
      <c r="H15" s="854"/>
      <c r="I15" s="103"/>
      <c r="J15" s="859"/>
      <c r="K15" s="114"/>
      <c r="L15" s="103"/>
      <c r="M15" s="866">
        <f t="shared" si="2"/>
        <v>0</v>
      </c>
      <c r="N15" s="15"/>
    </row>
    <row r="16" spans="1:14" s="21" customFormat="1" x14ac:dyDescent="0.25">
      <c r="A16" s="111" t="s">
        <v>805</v>
      </c>
      <c r="B16" s="854"/>
      <c r="C16" s="855"/>
      <c r="D16" s="469"/>
      <c r="E16" s="854"/>
      <c r="F16" s="103"/>
      <c r="G16" s="859"/>
      <c r="H16" s="854"/>
      <c r="I16" s="103"/>
      <c r="J16" s="859"/>
      <c r="K16" s="114"/>
      <c r="L16" s="103"/>
      <c r="M16" s="866">
        <f t="shared" si="2"/>
        <v>0</v>
      </c>
      <c r="N16" s="15"/>
    </row>
    <row r="17" spans="1:14" s="23" customFormat="1" ht="52.8" x14ac:dyDescent="0.25">
      <c r="A17" s="111" t="s">
        <v>928</v>
      </c>
      <c r="B17" s="854"/>
      <c r="C17" s="855"/>
      <c r="D17" s="469"/>
      <c r="E17" s="854"/>
      <c r="F17" s="196"/>
      <c r="G17" s="860"/>
      <c r="H17" s="854"/>
      <c r="I17" s="196"/>
      <c r="J17" s="860"/>
      <c r="K17" s="114"/>
      <c r="L17" s="103"/>
      <c r="M17" s="866">
        <f t="shared" si="2"/>
        <v>0</v>
      </c>
      <c r="N17" s="417"/>
    </row>
    <row r="18" spans="1:14" s="23" customFormat="1" ht="52.8" x14ac:dyDescent="0.25">
      <c r="A18" s="111" t="s">
        <v>929</v>
      </c>
      <c r="B18" s="854"/>
      <c r="C18" s="855"/>
      <c r="D18" s="469"/>
      <c r="E18" s="1155"/>
      <c r="F18" s="196"/>
      <c r="G18" s="860"/>
      <c r="H18" s="854"/>
      <c r="I18" s="196"/>
      <c r="J18" s="860"/>
      <c r="K18" s="114"/>
      <c r="L18" s="103"/>
      <c r="M18" s="866">
        <f t="shared" si="2"/>
        <v>0</v>
      </c>
      <c r="N18" s="417"/>
    </row>
    <row r="19" spans="1:14" s="23" customFormat="1" ht="52.8" x14ac:dyDescent="0.25">
      <c r="A19" s="111" t="s">
        <v>930</v>
      </c>
      <c r="B19" s="854"/>
      <c r="C19" s="855"/>
      <c r="D19" s="469"/>
      <c r="E19" s="1155"/>
      <c r="F19" s="196"/>
      <c r="G19" s="860"/>
      <c r="H19" s="854"/>
      <c r="I19" s="196"/>
      <c r="J19" s="860"/>
      <c r="K19" s="114"/>
      <c r="L19" s="103"/>
      <c r="M19" s="866">
        <f t="shared" si="2"/>
        <v>0</v>
      </c>
      <c r="N19" s="417"/>
    </row>
    <row r="20" spans="1:14" s="21" customFormat="1" ht="39.6" x14ac:dyDescent="0.25">
      <c r="A20" s="111" t="s">
        <v>931</v>
      </c>
      <c r="B20" s="854">
        <v>253579087</v>
      </c>
      <c r="C20" s="855">
        <v>251265979</v>
      </c>
      <c r="D20" s="469">
        <f>C20-B20</f>
        <v>-2313108</v>
      </c>
      <c r="E20" s="1155">
        <f>'2.a tábla ÚJ '!O13</f>
        <v>22871493</v>
      </c>
      <c r="F20" s="855">
        <f>'2.a tábla ÚJ '!P13</f>
        <v>28474773</v>
      </c>
      <c r="G20" s="469">
        <f>F20-E20</f>
        <v>5603280</v>
      </c>
      <c r="H20" s="1155">
        <f>'2.a tábla ÚJ '!K13</f>
        <v>121927634</v>
      </c>
      <c r="I20" s="855">
        <f>'2.a tábla ÚJ '!L13</f>
        <v>124620009</v>
      </c>
      <c r="J20" s="458">
        <f>I20-H20</f>
        <v>2692375</v>
      </c>
      <c r="K20" s="472">
        <f>B20+E20+H20</f>
        <v>398378214</v>
      </c>
      <c r="L20" s="103">
        <f>C20+F20+I20</f>
        <v>404360761</v>
      </c>
      <c r="M20" s="866">
        <f t="shared" si="2"/>
        <v>5982547</v>
      </c>
      <c r="N20" s="15"/>
    </row>
    <row r="21" spans="1:14" s="21" customFormat="1" ht="49.5" customHeight="1" x14ac:dyDescent="0.25">
      <c r="A21" s="111" t="s">
        <v>932</v>
      </c>
      <c r="B21" s="854"/>
      <c r="C21" s="855"/>
      <c r="D21" s="469"/>
      <c r="E21" s="1155"/>
      <c r="F21" s="103"/>
      <c r="G21" s="859"/>
      <c r="H21" s="1155">
        <f>'2.a tábla ÚJ '!K14</f>
        <v>117000000</v>
      </c>
      <c r="I21" s="855">
        <f>'2.a tábla ÚJ '!L14</f>
        <v>119692376</v>
      </c>
      <c r="J21" s="458">
        <f>I21-H21</f>
        <v>2692376</v>
      </c>
      <c r="K21" s="472">
        <f>B21+E21+H21</f>
        <v>117000000</v>
      </c>
      <c r="L21" s="103">
        <f>C21+F21+I21</f>
        <v>119692376</v>
      </c>
      <c r="M21" s="866">
        <f t="shared" si="2"/>
        <v>2692376</v>
      </c>
      <c r="N21" s="15"/>
    </row>
    <row r="22" spans="1:14" s="21" customFormat="1" ht="39.6" x14ac:dyDescent="0.25">
      <c r="A22" s="112" t="s">
        <v>887</v>
      </c>
      <c r="B22" s="871">
        <f>B23+B24+B25+B26+B27</f>
        <v>1808340761</v>
      </c>
      <c r="C22" s="102">
        <f>C23+C24+C25+C26+C27</f>
        <v>2041827011</v>
      </c>
      <c r="D22" s="455">
        <f>C22-B22</f>
        <v>233486250</v>
      </c>
      <c r="E22" s="113">
        <f>E23+E24+E25+E26+E27</f>
        <v>0</v>
      </c>
      <c r="F22" s="102"/>
      <c r="G22" s="859"/>
      <c r="H22" s="871">
        <f>H23+H24+H25+H26+H27</f>
        <v>0</v>
      </c>
      <c r="I22" s="102">
        <f>I23+I24+I25+I26+I27</f>
        <v>435539</v>
      </c>
      <c r="J22" s="102">
        <f>I22-H22</f>
        <v>435539</v>
      </c>
      <c r="K22" s="871">
        <f>K23+K24+K25+K26+K27</f>
        <v>1808340761</v>
      </c>
      <c r="L22" s="102">
        <f>L23+L24+L25+L26+L27</f>
        <v>2042262550</v>
      </c>
      <c r="M22" s="866">
        <f t="shared" si="2"/>
        <v>233921789</v>
      </c>
      <c r="N22" s="15"/>
    </row>
    <row r="23" spans="1:14" s="21" customFormat="1" ht="26.4" x14ac:dyDescent="0.25">
      <c r="A23" s="111" t="s">
        <v>933</v>
      </c>
      <c r="B23" s="854">
        <v>0</v>
      </c>
      <c r="C23" s="855"/>
      <c r="D23" s="469"/>
      <c r="E23" s="854"/>
      <c r="F23" s="103"/>
      <c r="G23" s="859"/>
      <c r="H23" s="854"/>
      <c r="I23" s="103"/>
      <c r="J23" s="859"/>
      <c r="K23" s="472">
        <f t="shared" ref="K23:L27" si="3">B23+E23+H23</f>
        <v>0</v>
      </c>
      <c r="L23" s="103">
        <f t="shared" si="3"/>
        <v>0</v>
      </c>
      <c r="M23" s="866">
        <f t="shared" si="2"/>
        <v>0</v>
      </c>
      <c r="N23" s="15"/>
    </row>
    <row r="24" spans="1:14" s="21" customFormat="1" ht="52.8" x14ac:dyDescent="0.25">
      <c r="A24" s="111" t="s">
        <v>934</v>
      </c>
      <c r="B24" s="854"/>
      <c r="C24" s="855"/>
      <c r="D24" s="469"/>
      <c r="E24" s="854"/>
      <c r="F24" s="103"/>
      <c r="G24" s="859"/>
      <c r="H24" s="854"/>
      <c r="I24" s="103"/>
      <c r="J24" s="859"/>
      <c r="K24" s="472">
        <f t="shared" si="3"/>
        <v>0</v>
      </c>
      <c r="L24" s="103">
        <f t="shared" si="3"/>
        <v>0</v>
      </c>
      <c r="M24" s="866">
        <f t="shared" si="2"/>
        <v>0</v>
      </c>
      <c r="N24" s="15"/>
    </row>
    <row r="25" spans="1:14" s="21" customFormat="1" ht="52.8" x14ac:dyDescent="0.25">
      <c r="A25" s="111" t="s">
        <v>935</v>
      </c>
      <c r="B25" s="854"/>
      <c r="C25" s="855"/>
      <c r="D25" s="469"/>
      <c r="E25" s="854"/>
      <c r="F25" s="103"/>
      <c r="G25" s="859"/>
      <c r="H25" s="854"/>
      <c r="I25" s="103"/>
      <c r="J25" s="859"/>
      <c r="K25" s="472">
        <f t="shared" si="3"/>
        <v>0</v>
      </c>
      <c r="L25" s="103">
        <f t="shared" si="3"/>
        <v>0</v>
      </c>
      <c r="M25" s="866">
        <f t="shared" si="2"/>
        <v>0</v>
      </c>
      <c r="N25" s="15"/>
    </row>
    <row r="26" spans="1:14" s="21" customFormat="1" ht="52.8" x14ac:dyDescent="0.25">
      <c r="A26" s="111" t="s">
        <v>936</v>
      </c>
      <c r="B26" s="854"/>
      <c r="C26" s="855"/>
      <c r="D26" s="469"/>
      <c r="E26" s="854"/>
      <c r="F26" s="103"/>
      <c r="G26" s="859"/>
      <c r="H26" s="854"/>
      <c r="I26" s="103"/>
      <c r="J26" s="859"/>
      <c r="K26" s="472">
        <f t="shared" si="3"/>
        <v>0</v>
      </c>
      <c r="L26" s="103">
        <f t="shared" si="3"/>
        <v>0</v>
      </c>
      <c r="M26" s="866">
        <f t="shared" si="2"/>
        <v>0</v>
      </c>
      <c r="N26" s="15"/>
    </row>
    <row r="27" spans="1:14" s="21" customFormat="1" ht="40.200000000000003" thickBot="1" x14ac:dyDescent="0.3">
      <c r="A27" s="396" t="s">
        <v>806</v>
      </c>
      <c r="B27" s="856">
        <v>1808340761</v>
      </c>
      <c r="C27" s="857">
        <v>2041827011</v>
      </c>
      <c r="D27" s="486">
        <f>C27-B27</f>
        <v>233486250</v>
      </c>
      <c r="E27" s="861"/>
      <c r="F27" s="415"/>
      <c r="G27" s="862"/>
      <c r="H27" s="873">
        <f>'2.a tábla ÚJ '!K16</f>
        <v>0</v>
      </c>
      <c r="I27" s="415">
        <f>'2.a tábla ÚJ '!L16</f>
        <v>435539</v>
      </c>
      <c r="J27" s="457">
        <f>'2.a tábla ÚJ '!M16</f>
        <v>435539</v>
      </c>
      <c r="K27" s="873">
        <f t="shared" si="3"/>
        <v>1808340761</v>
      </c>
      <c r="L27" s="415">
        <f t="shared" si="3"/>
        <v>2042262550</v>
      </c>
      <c r="M27" s="1637">
        <f t="shared" si="2"/>
        <v>233921789</v>
      </c>
      <c r="N27" s="15"/>
    </row>
    <row r="28" spans="1:14" s="21" customFormat="1" ht="27" customHeight="1" thickBot="1" x14ac:dyDescent="0.3">
      <c r="A28" s="441" t="s">
        <v>784</v>
      </c>
      <c r="B28" s="1639" t="s">
        <v>920</v>
      </c>
      <c r="C28" s="1640"/>
      <c r="D28" s="1641"/>
      <c r="E28" s="1639" t="s">
        <v>664</v>
      </c>
      <c r="F28" s="1640"/>
      <c r="G28" s="1641"/>
      <c r="H28" s="1647" t="s">
        <v>921</v>
      </c>
      <c r="I28" s="1648"/>
      <c r="J28" s="1649"/>
      <c r="K28" s="1647" t="s">
        <v>922</v>
      </c>
      <c r="L28" s="1648"/>
      <c r="M28" s="1649"/>
      <c r="N28" s="15"/>
    </row>
    <row r="29" spans="1:14" s="21" customFormat="1" ht="54" customHeight="1" thickBot="1" x14ac:dyDescent="0.3">
      <c r="A29" s="806"/>
      <c r="B29" s="1213" t="s">
        <v>191</v>
      </c>
      <c r="C29" s="767" t="s">
        <v>357</v>
      </c>
      <c r="D29" s="853" t="s">
        <v>358</v>
      </c>
      <c r="E29" s="852" t="s">
        <v>191</v>
      </c>
      <c r="F29" s="767" t="s">
        <v>357</v>
      </c>
      <c r="G29" s="853" t="s">
        <v>358</v>
      </c>
      <c r="H29" s="852" t="s">
        <v>191</v>
      </c>
      <c r="I29" s="767" t="s">
        <v>357</v>
      </c>
      <c r="J29" s="853" t="s">
        <v>358</v>
      </c>
      <c r="K29" s="852" t="s">
        <v>191</v>
      </c>
      <c r="L29" s="767" t="s">
        <v>357</v>
      </c>
      <c r="M29" s="853" t="s">
        <v>358</v>
      </c>
      <c r="N29" s="15"/>
    </row>
    <row r="30" spans="1:14" s="21" customFormat="1" ht="25.5" customHeight="1" x14ac:dyDescent="0.25">
      <c r="A30" s="831" t="s">
        <v>888</v>
      </c>
      <c r="B30" s="863">
        <f>B31+B34+B42</f>
        <v>1754525000</v>
      </c>
      <c r="C30" s="230">
        <f>C31+C34+C42</f>
        <v>1754525000</v>
      </c>
      <c r="D30" s="468">
        <f>C30-B30</f>
        <v>0</v>
      </c>
      <c r="E30" s="863">
        <f>E31+E34+E42</f>
        <v>1000000</v>
      </c>
      <c r="F30" s="230">
        <f>F31+F34+F42</f>
        <v>1000000</v>
      </c>
      <c r="G30" s="468">
        <f>F30-E30</f>
        <v>0</v>
      </c>
      <c r="H30" s="863">
        <f>H31+H34+H42</f>
        <v>0</v>
      </c>
      <c r="I30" s="230">
        <f>I31+I34+I42</f>
        <v>0</v>
      </c>
      <c r="J30" s="468">
        <f>I30-H30</f>
        <v>0</v>
      </c>
      <c r="K30" s="863">
        <f t="shared" ref="K30:L57" si="4">SUM(B30+E30+H30)</f>
        <v>1755525000</v>
      </c>
      <c r="L30" s="230">
        <f t="shared" ref="L30:L57" si="5">SUM(C30+F30+I30)</f>
        <v>1755525000</v>
      </c>
      <c r="M30" s="468">
        <f>L30-K30</f>
        <v>0</v>
      </c>
      <c r="N30" s="418"/>
    </row>
    <row r="31" spans="1:14" s="21" customFormat="1" x14ac:dyDescent="0.25">
      <c r="A31" s="821" t="s">
        <v>938</v>
      </c>
      <c r="B31" s="472">
        <f>SUM(B32:B33)</f>
        <v>447000000</v>
      </c>
      <c r="C31" s="103">
        <f>SUM(C32:C33)</f>
        <v>447000000</v>
      </c>
      <c r="D31" s="456">
        <f t="shared" ref="D31:D63" si="6">C31-B31</f>
        <v>0</v>
      </c>
      <c r="E31" s="472">
        <f>SUM(E32:E33)</f>
        <v>0</v>
      </c>
      <c r="F31" s="103">
        <f>SUM(F32:F33)</f>
        <v>0</v>
      </c>
      <c r="G31" s="456">
        <f t="shared" ref="G31:G58" si="7">F31-E31</f>
        <v>0</v>
      </c>
      <c r="H31" s="472">
        <f>SUM(H32:H33)</f>
        <v>0</v>
      </c>
      <c r="I31" s="103">
        <f>SUM(I32:I33)</f>
        <v>0</v>
      </c>
      <c r="J31" s="456">
        <f t="shared" ref="J31:J58" si="8">I31-H31</f>
        <v>0</v>
      </c>
      <c r="K31" s="472">
        <f t="shared" si="4"/>
        <v>447000000</v>
      </c>
      <c r="L31" s="103">
        <f t="shared" si="4"/>
        <v>447000000</v>
      </c>
      <c r="M31" s="456">
        <f t="shared" ref="M31:M58" si="9">L31-K31</f>
        <v>0</v>
      </c>
      <c r="N31" s="15"/>
    </row>
    <row r="32" spans="1:14" s="21" customFormat="1" x14ac:dyDescent="0.25">
      <c r="A32" s="447" t="s">
        <v>939</v>
      </c>
      <c r="B32" s="870">
        <v>420000000</v>
      </c>
      <c r="C32" s="1214">
        <v>420000000</v>
      </c>
      <c r="D32" s="456">
        <f t="shared" si="6"/>
        <v>0</v>
      </c>
      <c r="E32" s="870"/>
      <c r="F32" s="868"/>
      <c r="G32" s="456">
        <f t="shared" si="7"/>
        <v>0</v>
      </c>
      <c r="H32" s="870"/>
      <c r="I32" s="868"/>
      <c r="J32" s="456">
        <f t="shared" si="8"/>
        <v>0</v>
      </c>
      <c r="K32" s="472">
        <f t="shared" si="4"/>
        <v>420000000</v>
      </c>
      <c r="L32" s="103">
        <f t="shared" si="4"/>
        <v>420000000</v>
      </c>
      <c r="M32" s="456">
        <f t="shared" si="9"/>
        <v>0</v>
      </c>
      <c r="N32" s="15"/>
    </row>
    <row r="33" spans="1:14" s="21" customFormat="1" x14ac:dyDescent="0.25">
      <c r="A33" s="447" t="s">
        <v>940</v>
      </c>
      <c r="B33" s="870">
        <v>27000000</v>
      </c>
      <c r="C33" s="1214">
        <v>27000000</v>
      </c>
      <c r="D33" s="456">
        <f t="shared" si="6"/>
        <v>0</v>
      </c>
      <c r="E33" s="870"/>
      <c r="F33" s="868"/>
      <c r="G33" s="456">
        <f t="shared" si="7"/>
        <v>0</v>
      </c>
      <c r="H33" s="870"/>
      <c r="I33" s="868"/>
      <c r="J33" s="456">
        <f t="shared" si="8"/>
        <v>0</v>
      </c>
      <c r="K33" s="472">
        <f t="shared" si="4"/>
        <v>27000000</v>
      </c>
      <c r="L33" s="103">
        <f t="shared" si="4"/>
        <v>27000000</v>
      </c>
      <c r="M33" s="456">
        <f t="shared" si="9"/>
        <v>0</v>
      </c>
      <c r="N33" s="15"/>
    </row>
    <row r="34" spans="1:14" s="21" customFormat="1" ht="27" customHeight="1" x14ac:dyDescent="0.25">
      <c r="A34" s="821" t="s">
        <v>941</v>
      </c>
      <c r="B34" s="472">
        <f>B35+B37+B38</f>
        <v>1276000000</v>
      </c>
      <c r="C34" s="103">
        <f>C35+C37+C38</f>
        <v>1276000000</v>
      </c>
      <c r="D34" s="456">
        <f t="shared" si="6"/>
        <v>0</v>
      </c>
      <c r="E34" s="472">
        <f>E35+E37+E38</f>
        <v>0</v>
      </c>
      <c r="F34" s="103">
        <f>F35+F37+F38</f>
        <v>0</v>
      </c>
      <c r="G34" s="456">
        <f t="shared" si="7"/>
        <v>0</v>
      </c>
      <c r="H34" s="472">
        <f>H35+H37+H38</f>
        <v>0</v>
      </c>
      <c r="I34" s="103">
        <f>I35+I37+I38</f>
        <v>0</v>
      </c>
      <c r="J34" s="456">
        <f t="shared" si="8"/>
        <v>0</v>
      </c>
      <c r="K34" s="472">
        <f t="shared" si="4"/>
        <v>1276000000</v>
      </c>
      <c r="L34" s="103">
        <f t="shared" si="4"/>
        <v>1276000000</v>
      </c>
      <c r="M34" s="456">
        <f t="shared" si="9"/>
        <v>0</v>
      </c>
      <c r="N34" s="15"/>
    </row>
    <row r="35" spans="1:14" s="21" customFormat="1" ht="25.5" customHeight="1" x14ac:dyDescent="0.25">
      <c r="A35" s="821" t="s">
        <v>942</v>
      </c>
      <c r="B35" s="472">
        <f>SUM(B36)</f>
        <v>840000000</v>
      </c>
      <c r="C35" s="103">
        <f>SUM(C36)</f>
        <v>840000000</v>
      </c>
      <c r="D35" s="456">
        <f t="shared" si="6"/>
        <v>0</v>
      </c>
      <c r="E35" s="870"/>
      <c r="F35" s="868"/>
      <c r="G35" s="456">
        <f t="shared" si="7"/>
        <v>0</v>
      </c>
      <c r="H35" s="870"/>
      <c r="I35" s="868"/>
      <c r="J35" s="456">
        <f t="shared" si="8"/>
        <v>0</v>
      </c>
      <c r="K35" s="472">
        <f t="shared" si="4"/>
        <v>840000000</v>
      </c>
      <c r="L35" s="103">
        <f t="shared" si="4"/>
        <v>840000000</v>
      </c>
      <c r="M35" s="456">
        <f t="shared" si="9"/>
        <v>0</v>
      </c>
      <c r="N35" s="15"/>
    </row>
    <row r="36" spans="1:14" s="21" customFormat="1" x14ac:dyDescent="0.25">
      <c r="A36" s="821" t="s">
        <v>943</v>
      </c>
      <c r="B36" s="870">
        <v>840000000</v>
      </c>
      <c r="C36" s="1214">
        <v>840000000</v>
      </c>
      <c r="D36" s="456">
        <f t="shared" si="6"/>
        <v>0</v>
      </c>
      <c r="E36" s="870"/>
      <c r="F36" s="868"/>
      <c r="G36" s="456">
        <f t="shared" si="7"/>
        <v>0</v>
      </c>
      <c r="H36" s="870"/>
      <c r="I36" s="868"/>
      <c r="J36" s="456">
        <f t="shared" si="8"/>
        <v>0</v>
      </c>
      <c r="K36" s="472">
        <f t="shared" si="4"/>
        <v>840000000</v>
      </c>
      <c r="L36" s="103">
        <f t="shared" si="4"/>
        <v>840000000</v>
      </c>
      <c r="M36" s="456">
        <f t="shared" si="9"/>
        <v>0</v>
      </c>
      <c r="N36" s="15"/>
    </row>
    <row r="37" spans="1:14" s="21" customFormat="1" x14ac:dyDescent="0.25">
      <c r="A37" s="821" t="s">
        <v>944</v>
      </c>
      <c r="B37" s="870">
        <v>52000000</v>
      </c>
      <c r="C37" s="1214">
        <v>52000000</v>
      </c>
      <c r="D37" s="456">
        <f t="shared" si="6"/>
        <v>0</v>
      </c>
      <c r="E37" s="870"/>
      <c r="F37" s="868"/>
      <c r="G37" s="456">
        <f t="shared" si="7"/>
        <v>0</v>
      </c>
      <c r="H37" s="870"/>
      <c r="I37" s="868"/>
      <c r="J37" s="456">
        <f t="shared" si="8"/>
        <v>0</v>
      </c>
      <c r="K37" s="472">
        <f t="shared" si="4"/>
        <v>52000000</v>
      </c>
      <c r="L37" s="103">
        <f t="shared" si="4"/>
        <v>52000000</v>
      </c>
      <c r="M37" s="456">
        <f t="shared" si="9"/>
        <v>0</v>
      </c>
      <c r="N37" s="15"/>
    </row>
    <row r="38" spans="1:14" s="21" customFormat="1" ht="26.4" x14ac:dyDescent="0.25">
      <c r="A38" s="821" t="s">
        <v>945</v>
      </c>
      <c r="B38" s="472">
        <f>SUM(B39:B41)</f>
        <v>384000000</v>
      </c>
      <c r="C38" s="103">
        <f>SUM(C39:C41)</f>
        <v>384000000</v>
      </c>
      <c r="D38" s="456">
        <f t="shared" si="6"/>
        <v>0</v>
      </c>
      <c r="E38" s="472">
        <f>SUM(E39:E41)</f>
        <v>0</v>
      </c>
      <c r="F38" s="103">
        <f>SUM(F39:F41)</f>
        <v>0</v>
      </c>
      <c r="G38" s="456">
        <f t="shared" si="7"/>
        <v>0</v>
      </c>
      <c r="H38" s="472">
        <f>SUM(H39:H41)</f>
        <v>0</v>
      </c>
      <c r="I38" s="103">
        <f>SUM(I39:I41)</f>
        <v>0</v>
      </c>
      <c r="J38" s="456">
        <f t="shared" si="8"/>
        <v>0</v>
      </c>
      <c r="K38" s="472">
        <f t="shared" si="4"/>
        <v>384000000</v>
      </c>
      <c r="L38" s="103">
        <f t="shared" si="4"/>
        <v>384000000</v>
      </c>
      <c r="M38" s="456">
        <f t="shared" si="9"/>
        <v>0</v>
      </c>
      <c r="N38" s="15"/>
    </row>
    <row r="39" spans="1:14" s="21" customFormat="1" x14ac:dyDescent="0.25">
      <c r="A39" s="821" t="s">
        <v>946</v>
      </c>
      <c r="B39" s="870">
        <v>384000000</v>
      </c>
      <c r="C39" s="1214">
        <v>384000000</v>
      </c>
      <c r="D39" s="456">
        <f t="shared" si="6"/>
        <v>0</v>
      </c>
      <c r="E39" s="870"/>
      <c r="F39" s="868"/>
      <c r="G39" s="456">
        <f t="shared" si="7"/>
        <v>0</v>
      </c>
      <c r="H39" s="870"/>
      <c r="I39" s="868"/>
      <c r="J39" s="456">
        <f t="shared" si="8"/>
        <v>0</v>
      </c>
      <c r="K39" s="472">
        <f t="shared" si="4"/>
        <v>384000000</v>
      </c>
      <c r="L39" s="103">
        <f t="shared" si="4"/>
        <v>384000000</v>
      </c>
      <c r="M39" s="456">
        <f t="shared" si="9"/>
        <v>0</v>
      </c>
      <c r="N39" s="15"/>
    </row>
    <row r="40" spans="1:14" s="21" customFormat="1" x14ac:dyDescent="0.25">
      <c r="A40" s="821" t="s">
        <v>947</v>
      </c>
      <c r="B40" s="870"/>
      <c r="C40" s="868"/>
      <c r="D40" s="456">
        <f t="shared" si="6"/>
        <v>0</v>
      </c>
      <c r="E40" s="870"/>
      <c r="F40" s="868"/>
      <c r="G40" s="456">
        <f t="shared" si="7"/>
        <v>0</v>
      </c>
      <c r="H40" s="870"/>
      <c r="I40" s="868"/>
      <c r="J40" s="456">
        <f t="shared" si="8"/>
        <v>0</v>
      </c>
      <c r="K40" s="472">
        <f t="shared" si="4"/>
        <v>0</v>
      </c>
      <c r="L40" s="103">
        <f t="shared" si="5"/>
        <v>0</v>
      </c>
      <c r="M40" s="456">
        <f t="shared" si="9"/>
        <v>0</v>
      </c>
      <c r="N40" s="15"/>
    </row>
    <row r="41" spans="1:14" s="21" customFormat="1" x14ac:dyDescent="0.25">
      <c r="A41" s="821" t="s">
        <v>786</v>
      </c>
      <c r="B41" s="870"/>
      <c r="C41" s="868"/>
      <c r="D41" s="456">
        <f t="shared" si="6"/>
        <v>0</v>
      </c>
      <c r="E41" s="870"/>
      <c r="F41" s="868"/>
      <c r="G41" s="456">
        <f t="shared" si="7"/>
        <v>0</v>
      </c>
      <c r="H41" s="870"/>
      <c r="I41" s="868"/>
      <c r="J41" s="456">
        <f t="shared" si="8"/>
        <v>0</v>
      </c>
      <c r="K41" s="472">
        <f t="shared" si="4"/>
        <v>0</v>
      </c>
      <c r="L41" s="103">
        <f t="shared" si="5"/>
        <v>0</v>
      </c>
      <c r="M41" s="456">
        <f t="shared" si="9"/>
        <v>0</v>
      </c>
      <c r="N41" s="15"/>
    </row>
    <row r="42" spans="1:14" s="21" customFormat="1" ht="39.6" x14ac:dyDescent="0.25">
      <c r="A42" s="821" t="s">
        <v>338</v>
      </c>
      <c r="B42" s="870">
        <v>31525000</v>
      </c>
      <c r="C42" s="1214">
        <v>31525000</v>
      </c>
      <c r="D42" s="456">
        <f t="shared" si="6"/>
        <v>0</v>
      </c>
      <c r="E42" s="472">
        <f>'2.a tábla ÚJ '!O20</f>
        <v>1000000</v>
      </c>
      <c r="F42" s="103">
        <f>'2.a tábla ÚJ '!P20</f>
        <v>1000000</v>
      </c>
      <c r="G42" s="456">
        <f t="shared" si="7"/>
        <v>0</v>
      </c>
      <c r="H42" s="870"/>
      <c r="I42" s="868"/>
      <c r="J42" s="456">
        <f t="shared" si="8"/>
        <v>0</v>
      </c>
      <c r="K42" s="472">
        <f t="shared" si="4"/>
        <v>32525000</v>
      </c>
      <c r="L42" s="103">
        <f t="shared" si="5"/>
        <v>32525000</v>
      </c>
      <c r="M42" s="456">
        <f t="shared" si="9"/>
        <v>0</v>
      </c>
      <c r="N42" s="15"/>
    </row>
    <row r="43" spans="1:14" s="25" customFormat="1" ht="25.5" customHeight="1" x14ac:dyDescent="0.25">
      <c r="A43" s="820" t="s">
        <v>889</v>
      </c>
      <c r="B43" s="871">
        <f>B44+B45+B47+B48+B51+B52+B53+B54+B57+B55+B56</f>
        <v>1057959432</v>
      </c>
      <c r="C43" s="102">
        <f>C44+C45+C47+C48+C51+C52+C53+C54+C57+C55+C56</f>
        <v>1052444839</v>
      </c>
      <c r="D43" s="455">
        <f t="shared" si="6"/>
        <v>-5514593</v>
      </c>
      <c r="E43" s="871">
        <f>E44+E45+E47+E48+E51+E52+E53+E54+E57+E55+E56</f>
        <v>25146000</v>
      </c>
      <c r="F43" s="102">
        <f>F44+F45+F47+F48+F51+F52+F53+F54+F57+F55+F56</f>
        <v>29476527</v>
      </c>
      <c r="G43" s="455">
        <f t="shared" si="7"/>
        <v>4330527</v>
      </c>
      <c r="H43" s="871">
        <f>H44+H45+H47+H48+H51+H52+H53+H54+H57+H55+H56</f>
        <v>47457531</v>
      </c>
      <c r="I43" s="102">
        <f>I44+I45+I47+I48+I51+I52+I53+I54+I57+I55+I56</f>
        <v>47457531</v>
      </c>
      <c r="J43" s="455">
        <f t="shared" si="8"/>
        <v>0</v>
      </c>
      <c r="K43" s="871">
        <f t="shared" si="4"/>
        <v>1130562963</v>
      </c>
      <c r="L43" s="102">
        <f t="shared" si="5"/>
        <v>1129378897</v>
      </c>
      <c r="M43" s="455">
        <f t="shared" si="9"/>
        <v>-1184066</v>
      </c>
      <c r="N43" s="419"/>
    </row>
    <row r="44" spans="1:14" s="26" customFormat="1" ht="25.5" customHeight="1" x14ac:dyDescent="0.25">
      <c r="A44" s="447" t="s">
        <v>864</v>
      </c>
      <c r="B44" s="870">
        <v>0</v>
      </c>
      <c r="C44" s="868"/>
      <c r="D44" s="456">
        <f t="shared" si="6"/>
        <v>0</v>
      </c>
      <c r="E44" s="870"/>
      <c r="F44" s="868"/>
      <c r="G44" s="456">
        <f t="shared" si="7"/>
        <v>0</v>
      </c>
      <c r="H44" s="870"/>
      <c r="I44" s="868"/>
      <c r="J44" s="456">
        <f t="shared" si="8"/>
        <v>0</v>
      </c>
      <c r="K44" s="472">
        <f t="shared" si="4"/>
        <v>0</v>
      </c>
      <c r="L44" s="103">
        <f t="shared" si="5"/>
        <v>0</v>
      </c>
      <c r="M44" s="456">
        <f t="shared" si="9"/>
        <v>0</v>
      </c>
      <c r="N44" s="420"/>
    </row>
    <row r="45" spans="1:14" s="27" customFormat="1" ht="22.5" customHeight="1" x14ac:dyDescent="0.25">
      <c r="A45" s="447" t="s">
        <v>865</v>
      </c>
      <c r="B45" s="870">
        <v>443139755</v>
      </c>
      <c r="C45" s="1214">
        <v>443139755</v>
      </c>
      <c r="D45" s="456">
        <f t="shared" si="6"/>
        <v>0</v>
      </c>
      <c r="E45" s="472">
        <f>'2.a tábla ÚJ '!O23</f>
        <v>17850000</v>
      </c>
      <c r="F45" s="103">
        <f>'2.a tábla ÚJ '!P23</f>
        <v>17850000</v>
      </c>
      <c r="G45" s="456">
        <f t="shared" si="7"/>
        <v>0</v>
      </c>
      <c r="H45" s="472">
        <f>'2.a tábla ÚJ '!K23</f>
        <v>42947000</v>
      </c>
      <c r="I45" s="103">
        <f>'2.a tábla ÚJ '!L23</f>
        <v>42947000</v>
      </c>
      <c r="J45" s="456">
        <f t="shared" si="8"/>
        <v>0</v>
      </c>
      <c r="K45" s="472">
        <f t="shared" si="4"/>
        <v>503936755</v>
      </c>
      <c r="L45" s="103">
        <f t="shared" si="5"/>
        <v>503936755</v>
      </c>
      <c r="M45" s="456">
        <f t="shared" si="9"/>
        <v>0</v>
      </c>
      <c r="N45" s="421"/>
    </row>
    <row r="46" spans="1:14" s="27" customFormat="1" ht="22.5" customHeight="1" x14ac:dyDescent="0.25">
      <c r="A46" s="447" t="s">
        <v>704</v>
      </c>
      <c r="B46" s="870">
        <v>440739755</v>
      </c>
      <c r="C46" s="1214">
        <v>440739755</v>
      </c>
      <c r="D46" s="456">
        <f t="shared" si="6"/>
        <v>0</v>
      </c>
      <c r="E46" s="472">
        <f>'2.a tábla ÚJ '!O24</f>
        <v>6500000</v>
      </c>
      <c r="F46" s="103">
        <f>'2.a tábla ÚJ '!P24</f>
        <v>6500000</v>
      </c>
      <c r="G46" s="456">
        <f t="shared" si="7"/>
        <v>0</v>
      </c>
      <c r="H46" s="472">
        <f>'2.a tábla ÚJ '!K24</f>
        <v>0</v>
      </c>
      <c r="I46" s="103">
        <f>'2.a tábla ÚJ '!L24</f>
        <v>0</v>
      </c>
      <c r="J46" s="456">
        <f t="shared" si="8"/>
        <v>0</v>
      </c>
      <c r="K46" s="472">
        <f t="shared" si="4"/>
        <v>447239755</v>
      </c>
      <c r="L46" s="103">
        <f t="shared" si="5"/>
        <v>447239755</v>
      </c>
      <c r="M46" s="456">
        <f t="shared" si="9"/>
        <v>0</v>
      </c>
      <c r="N46" s="421"/>
    </row>
    <row r="47" spans="1:14" s="27" customFormat="1" ht="24.75" customHeight="1" x14ac:dyDescent="0.25">
      <c r="A47" s="821" t="s">
        <v>950</v>
      </c>
      <c r="B47" s="870">
        <v>4300946</v>
      </c>
      <c r="C47" s="1214">
        <v>4300946</v>
      </c>
      <c r="D47" s="456">
        <f t="shared" si="6"/>
        <v>0</v>
      </c>
      <c r="E47" s="472">
        <f>'2.a tábla ÚJ '!O25</f>
        <v>1950000</v>
      </c>
      <c r="F47" s="103">
        <f>'2.a tábla ÚJ '!P25</f>
        <v>6223550</v>
      </c>
      <c r="G47" s="456">
        <f t="shared" si="7"/>
        <v>4273550</v>
      </c>
      <c r="H47" s="472">
        <f>'2.a tábla ÚJ '!K25</f>
        <v>0</v>
      </c>
      <c r="I47" s="103">
        <f>'2.a tábla ÚJ '!L25</f>
        <v>0</v>
      </c>
      <c r="J47" s="456">
        <f t="shared" si="8"/>
        <v>0</v>
      </c>
      <c r="K47" s="472">
        <f t="shared" si="4"/>
        <v>6250946</v>
      </c>
      <c r="L47" s="103">
        <f t="shared" si="5"/>
        <v>10524496</v>
      </c>
      <c r="M47" s="456">
        <f t="shared" si="9"/>
        <v>4273550</v>
      </c>
      <c r="N47" s="421"/>
    </row>
    <row r="48" spans="1:14" s="27" customFormat="1" ht="22.5" customHeight="1" x14ac:dyDescent="0.25">
      <c r="A48" s="832" t="s">
        <v>951</v>
      </c>
      <c r="B48" s="472">
        <f>SUM(B49:B50)</f>
        <v>19109000</v>
      </c>
      <c r="C48" s="1215">
        <f>SUM(C49:C50)</f>
        <v>19109000</v>
      </c>
      <c r="D48" s="456">
        <f t="shared" si="6"/>
        <v>0</v>
      </c>
      <c r="E48" s="472"/>
      <c r="F48" s="103"/>
      <c r="G48" s="456"/>
      <c r="H48" s="472">
        <f>'2.a tábla ÚJ '!K26</f>
        <v>0</v>
      </c>
      <c r="I48" s="103">
        <f>'2.a tábla ÚJ '!L26</f>
        <v>0</v>
      </c>
      <c r="J48" s="456"/>
      <c r="K48" s="472">
        <f t="shared" si="4"/>
        <v>19109000</v>
      </c>
      <c r="L48" s="103">
        <f t="shared" si="5"/>
        <v>19109000</v>
      </c>
      <c r="M48" s="456"/>
      <c r="N48" s="421"/>
    </row>
    <row r="49" spans="1:14" s="27" customFormat="1" ht="20.25" customHeight="1" x14ac:dyDescent="0.25">
      <c r="A49" s="450" t="s">
        <v>862</v>
      </c>
      <c r="B49" s="870">
        <v>5109000</v>
      </c>
      <c r="C49" s="1214">
        <v>5109000</v>
      </c>
      <c r="D49" s="456">
        <f t="shared" si="6"/>
        <v>0</v>
      </c>
      <c r="E49" s="472"/>
      <c r="F49" s="103"/>
      <c r="G49" s="456"/>
      <c r="H49" s="472"/>
      <c r="I49" s="103"/>
      <c r="J49" s="456"/>
      <c r="K49" s="472">
        <f t="shared" si="4"/>
        <v>5109000</v>
      </c>
      <c r="L49" s="103">
        <f t="shared" si="5"/>
        <v>5109000</v>
      </c>
      <c r="M49" s="456"/>
      <c r="N49" s="421"/>
    </row>
    <row r="50" spans="1:14" s="27" customFormat="1" ht="24.75" customHeight="1" x14ac:dyDescent="0.25">
      <c r="A50" s="450" t="s">
        <v>952</v>
      </c>
      <c r="B50" s="870">
        <v>14000000</v>
      </c>
      <c r="C50" s="1214">
        <v>14000000</v>
      </c>
      <c r="D50" s="456">
        <f t="shared" si="6"/>
        <v>0</v>
      </c>
      <c r="E50" s="472"/>
      <c r="F50" s="103"/>
      <c r="G50" s="456"/>
      <c r="H50" s="472"/>
      <c r="I50" s="103"/>
      <c r="J50" s="456"/>
      <c r="K50" s="472">
        <f t="shared" si="4"/>
        <v>14000000</v>
      </c>
      <c r="L50" s="103">
        <f t="shared" si="5"/>
        <v>14000000</v>
      </c>
      <c r="M50" s="456"/>
      <c r="N50" s="421"/>
    </row>
    <row r="51" spans="1:14" s="27" customFormat="1" ht="19.5" customHeight="1" x14ac:dyDescent="0.25">
      <c r="A51" s="450" t="s">
        <v>953</v>
      </c>
      <c r="B51" s="870">
        <v>35188439</v>
      </c>
      <c r="C51" s="1214">
        <v>35188439</v>
      </c>
      <c r="D51" s="456">
        <f t="shared" si="6"/>
        <v>0</v>
      </c>
      <c r="E51" s="472"/>
      <c r="F51" s="103"/>
      <c r="G51" s="456"/>
      <c r="H51" s="472">
        <f>'2.a tábla ÚJ '!K27</f>
        <v>601205</v>
      </c>
      <c r="I51" s="103">
        <f>'2.a tábla ÚJ '!L27</f>
        <v>601205</v>
      </c>
      <c r="J51" s="456"/>
      <c r="K51" s="472">
        <f t="shared" si="4"/>
        <v>35789644</v>
      </c>
      <c r="L51" s="103">
        <f t="shared" si="5"/>
        <v>35789644</v>
      </c>
      <c r="M51" s="456"/>
      <c r="N51" s="421"/>
    </row>
    <row r="52" spans="1:14" s="27" customFormat="1" ht="22.5" customHeight="1" x14ac:dyDescent="0.25">
      <c r="A52" s="447" t="s">
        <v>954</v>
      </c>
      <c r="B52" s="870">
        <v>126812288</v>
      </c>
      <c r="C52" s="1214">
        <v>126812288</v>
      </c>
      <c r="D52" s="456">
        <f t="shared" si="6"/>
        <v>0</v>
      </c>
      <c r="E52" s="472">
        <f>'2.a tábla ÚJ '!O28</f>
        <v>5346000</v>
      </c>
      <c r="F52" s="103">
        <f>'2.a tábla ÚJ '!P28</f>
        <v>5402977</v>
      </c>
      <c r="G52" s="456">
        <f t="shared" si="7"/>
        <v>56977</v>
      </c>
      <c r="H52" s="472">
        <f>'2.a tábla ÚJ '!K28</f>
        <v>2251326</v>
      </c>
      <c r="I52" s="103">
        <f>'2.a tábla ÚJ '!L28</f>
        <v>2251326</v>
      </c>
      <c r="J52" s="456">
        <f t="shared" si="8"/>
        <v>0</v>
      </c>
      <c r="K52" s="472">
        <f t="shared" si="4"/>
        <v>134409614</v>
      </c>
      <c r="L52" s="103">
        <f t="shared" si="5"/>
        <v>134466591</v>
      </c>
      <c r="M52" s="456">
        <f t="shared" si="9"/>
        <v>56977</v>
      </c>
      <c r="N52" s="421"/>
    </row>
    <row r="53" spans="1:14" s="27" customFormat="1" ht="20.25" customHeight="1" x14ac:dyDescent="0.25">
      <c r="A53" s="447" t="s">
        <v>955</v>
      </c>
      <c r="B53" s="870">
        <v>387734004</v>
      </c>
      <c r="C53" s="868">
        <v>382219411</v>
      </c>
      <c r="D53" s="456">
        <f t="shared" si="6"/>
        <v>-5514593</v>
      </c>
      <c r="E53" s="870"/>
      <c r="F53" s="868"/>
      <c r="G53" s="456"/>
      <c r="H53" s="472">
        <f>'2.a tábla ÚJ '!K29</f>
        <v>1638000</v>
      </c>
      <c r="I53" s="103">
        <f>'2.a tábla ÚJ '!L29</f>
        <v>1638000</v>
      </c>
      <c r="J53" s="456"/>
      <c r="K53" s="472">
        <f t="shared" si="4"/>
        <v>389372004</v>
      </c>
      <c r="L53" s="103">
        <f t="shared" si="5"/>
        <v>383857411</v>
      </c>
      <c r="M53" s="456"/>
      <c r="N53" s="421"/>
    </row>
    <row r="54" spans="1:14" s="27" customFormat="1" ht="15" customHeight="1" x14ac:dyDescent="0.25">
      <c r="A54" s="447" t="s">
        <v>956</v>
      </c>
      <c r="B54" s="870">
        <v>40175000</v>
      </c>
      <c r="C54" s="1214">
        <v>40175000</v>
      </c>
      <c r="D54" s="456">
        <f t="shared" si="6"/>
        <v>0</v>
      </c>
      <c r="E54" s="870"/>
      <c r="F54" s="868"/>
      <c r="G54" s="456"/>
      <c r="H54" s="472">
        <f>'2.a tábla ÚJ '!K30</f>
        <v>0</v>
      </c>
      <c r="I54" s="103">
        <f>'2.a tábla ÚJ '!L30</f>
        <v>0</v>
      </c>
      <c r="J54" s="456"/>
      <c r="K54" s="472">
        <f t="shared" si="4"/>
        <v>40175000</v>
      </c>
      <c r="L54" s="103">
        <f t="shared" si="4"/>
        <v>40175000</v>
      </c>
      <c r="M54" s="456"/>
      <c r="N54" s="421"/>
    </row>
    <row r="55" spans="1:14" s="27" customFormat="1" ht="26.25" customHeight="1" x14ac:dyDescent="0.25">
      <c r="A55" s="447" t="s">
        <v>868</v>
      </c>
      <c r="B55" s="870"/>
      <c r="C55" s="1214"/>
      <c r="D55" s="456">
        <f t="shared" si="6"/>
        <v>0</v>
      </c>
      <c r="E55" s="870"/>
      <c r="F55" s="868"/>
      <c r="G55" s="456"/>
      <c r="H55" s="472">
        <f>'2.a tábla ÚJ '!K31</f>
        <v>0</v>
      </c>
      <c r="I55" s="103">
        <f>'2.a tábla ÚJ '!L31</f>
        <v>0</v>
      </c>
      <c r="J55" s="456"/>
      <c r="K55" s="472">
        <f t="shared" si="4"/>
        <v>0</v>
      </c>
      <c r="L55" s="103">
        <f t="shared" si="5"/>
        <v>0</v>
      </c>
      <c r="M55" s="456"/>
      <c r="N55" s="421"/>
    </row>
    <row r="56" spans="1:14" s="27" customFormat="1" ht="26.25" customHeight="1" x14ac:dyDescent="0.25">
      <c r="A56" s="447" t="s">
        <v>866</v>
      </c>
      <c r="B56" s="870"/>
      <c r="C56" s="1214"/>
      <c r="D56" s="456">
        <f t="shared" si="6"/>
        <v>0</v>
      </c>
      <c r="E56" s="870"/>
      <c r="F56" s="868"/>
      <c r="G56" s="456"/>
      <c r="H56" s="472">
        <f>'2.a tábla ÚJ '!K32</f>
        <v>0</v>
      </c>
      <c r="I56" s="103">
        <f>'2.a tábla ÚJ '!L32</f>
        <v>0</v>
      </c>
      <c r="J56" s="456"/>
      <c r="K56" s="472">
        <f t="shared" si="4"/>
        <v>0</v>
      </c>
      <c r="L56" s="103">
        <f t="shared" si="5"/>
        <v>0</v>
      </c>
      <c r="M56" s="456"/>
      <c r="N56" s="421"/>
    </row>
    <row r="57" spans="1:14" s="27" customFormat="1" ht="26.4" x14ac:dyDescent="0.25">
      <c r="A57" s="450" t="s">
        <v>867</v>
      </c>
      <c r="B57" s="870">
        <v>1500000</v>
      </c>
      <c r="C57" s="1214">
        <v>1500000</v>
      </c>
      <c r="D57" s="456">
        <f t="shared" si="6"/>
        <v>0</v>
      </c>
      <c r="E57" s="870"/>
      <c r="F57" s="868"/>
      <c r="G57" s="456"/>
      <c r="H57" s="472">
        <f>'2.a tábla ÚJ '!K33</f>
        <v>20000</v>
      </c>
      <c r="I57" s="103">
        <f>'2.a tábla ÚJ '!L33</f>
        <v>20000</v>
      </c>
      <c r="J57" s="456"/>
      <c r="K57" s="472">
        <f t="shared" si="4"/>
        <v>1520000</v>
      </c>
      <c r="L57" s="103">
        <f t="shared" si="5"/>
        <v>1520000</v>
      </c>
      <c r="M57" s="456"/>
      <c r="N57" s="421"/>
    </row>
    <row r="58" spans="1:14" s="25" customFormat="1" ht="25.5" customHeight="1" x14ac:dyDescent="0.25">
      <c r="A58" s="824" t="s">
        <v>890</v>
      </c>
      <c r="B58" s="871">
        <f>SUM(B59:B63)</f>
        <v>509250000</v>
      </c>
      <c r="C58" s="102">
        <f>SUM(C59:C63)</f>
        <v>509250000</v>
      </c>
      <c r="D58" s="455">
        <f t="shared" si="6"/>
        <v>0</v>
      </c>
      <c r="E58" s="871">
        <f>SUM(E59:E63)</f>
        <v>0</v>
      </c>
      <c r="F58" s="102">
        <f>SUM(F59:F63)</f>
        <v>211023</v>
      </c>
      <c r="G58" s="455">
        <f t="shared" si="7"/>
        <v>211023</v>
      </c>
      <c r="H58" s="871">
        <f>SUM(H59:H63)</f>
        <v>0</v>
      </c>
      <c r="I58" s="102">
        <f>SUM(I59:I63)</f>
        <v>0</v>
      </c>
      <c r="J58" s="455">
        <f t="shared" si="8"/>
        <v>0</v>
      </c>
      <c r="K58" s="871">
        <f>SUM(K59:K63)</f>
        <v>509250000</v>
      </c>
      <c r="L58" s="102">
        <f>SUM(L59:L63)</f>
        <v>509461023</v>
      </c>
      <c r="M58" s="455">
        <f t="shared" si="9"/>
        <v>211023</v>
      </c>
      <c r="N58" s="419"/>
    </row>
    <row r="59" spans="1:14" s="25" customFormat="1" ht="27.75" customHeight="1" x14ac:dyDescent="0.25">
      <c r="A59" s="821" t="s">
        <v>957</v>
      </c>
      <c r="B59" s="870"/>
      <c r="C59" s="868"/>
      <c r="D59" s="456">
        <f t="shared" si="6"/>
        <v>0</v>
      </c>
      <c r="E59" s="870"/>
      <c r="F59" s="868"/>
      <c r="G59" s="456"/>
      <c r="H59" s="870"/>
      <c r="I59" s="868"/>
      <c r="J59" s="456"/>
      <c r="K59" s="871"/>
      <c r="L59" s="102"/>
      <c r="M59" s="456"/>
      <c r="N59" s="419"/>
    </row>
    <row r="60" spans="1:14" s="27" customFormat="1" ht="14.25" customHeight="1" x14ac:dyDescent="0.25">
      <c r="A60" s="821" t="s">
        <v>958</v>
      </c>
      <c r="B60" s="870">
        <v>509250000</v>
      </c>
      <c r="C60" s="1214">
        <v>509250000</v>
      </c>
      <c r="D60" s="456">
        <f t="shared" si="6"/>
        <v>0</v>
      </c>
      <c r="E60" s="870"/>
      <c r="F60" s="868"/>
      <c r="G60" s="456"/>
      <c r="H60" s="870"/>
      <c r="I60" s="868"/>
      <c r="J60" s="456"/>
      <c r="K60" s="472">
        <f t="shared" ref="K60:L63" si="10">B60+H60+E60</f>
        <v>509250000</v>
      </c>
      <c r="L60" s="103">
        <f t="shared" si="10"/>
        <v>509250000</v>
      </c>
      <c r="M60" s="456"/>
      <c r="N60" s="421"/>
    </row>
    <row r="61" spans="1:14" s="27" customFormat="1" ht="27" customHeight="1" x14ac:dyDescent="0.25">
      <c r="A61" s="833" t="s">
        <v>959</v>
      </c>
      <c r="B61" s="870"/>
      <c r="C61" s="868"/>
      <c r="D61" s="456">
        <f t="shared" si="6"/>
        <v>0</v>
      </c>
      <c r="E61" s="870"/>
      <c r="F61" s="868">
        <f>'2.a tábla ÚJ '!P37</f>
        <v>211023</v>
      </c>
      <c r="G61" s="456">
        <f>F61-E61</f>
        <v>211023</v>
      </c>
      <c r="H61" s="870"/>
      <c r="I61" s="868"/>
      <c r="J61" s="456"/>
      <c r="K61" s="472">
        <f t="shared" si="10"/>
        <v>0</v>
      </c>
      <c r="L61" s="103">
        <f t="shared" si="10"/>
        <v>211023</v>
      </c>
      <c r="M61" s="456"/>
      <c r="N61" s="421"/>
    </row>
    <row r="62" spans="1:14" s="27" customFormat="1" ht="23.25" customHeight="1" x14ac:dyDescent="0.25">
      <c r="A62" s="821" t="s">
        <v>960</v>
      </c>
      <c r="B62" s="870"/>
      <c r="C62" s="868"/>
      <c r="D62" s="456">
        <f t="shared" si="6"/>
        <v>0</v>
      </c>
      <c r="E62" s="870"/>
      <c r="F62" s="868"/>
      <c r="G62" s="456"/>
      <c r="H62" s="870"/>
      <c r="I62" s="868"/>
      <c r="J62" s="456"/>
      <c r="K62" s="472">
        <f t="shared" si="10"/>
        <v>0</v>
      </c>
      <c r="L62" s="103">
        <f t="shared" si="10"/>
        <v>0</v>
      </c>
      <c r="M62" s="456"/>
      <c r="N62" s="421"/>
    </row>
    <row r="63" spans="1:14" s="27" customFormat="1" ht="40.200000000000003" thickBot="1" x14ac:dyDescent="0.3">
      <c r="A63" s="834" t="s">
        <v>961</v>
      </c>
      <c r="B63" s="872"/>
      <c r="C63" s="869"/>
      <c r="D63" s="457">
        <f t="shared" si="6"/>
        <v>0</v>
      </c>
      <c r="E63" s="872"/>
      <c r="F63" s="869"/>
      <c r="G63" s="457"/>
      <c r="H63" s="872"/>
      <c r="I63" s="869"/>
      <c r="J63" s="457"/>
      <c r="K63" s="873">
        <f t="shared" si="10"/>
        <v>0</v>
      </c>
      <c r="L63" s="415">
        <f t="shared" si="10"/>
        <v>0</v>
      </c>
      <c r="M63" s="457"/>
      <c r="N63" s="421"/>
    </row>
    <row r="64" spans="1:14" s="27" customFormat="1" ht="26.25" customHeight="1" thickBot="1" x14ac:dyDescent="0.3">
      <c r="A64" s="805" t="s">
        <v>784</v>
      </c>
      <c r="B64" s="1639" t="s">
        <v>920</v>
      </c>
      <c r="C64" s="1640"/>
      <c r="D64" s="1641"/>
      <c r="E64" s="1639" t="s">
        <v>664</v>
      </c>
      <c r="F64" s="1640"/>
      <c r="G64" s="1641"/>
      <c r="H64" s="1642" t="s">
        <v>921</v>
      </c>
      <c r="I64" s="1643"/>
      <c r="J64" s="1644"/>
      <c r="K64" s="1642" t="s">
        <v>922</v>
      </c>
      <c r="L64" s="1643"/>
      <c r="M64" s="1644"/>
      <c r="N64" s="421"/>
    </row>
    <row r="65" spans="1:16" s="27" customFormat="1" ht="39" customHeight="1" thickBot="1" x14ac:dyDescent="0.3">
      <c r="A65" s="805"/>
      <c r="B65" s="852" t="s">
        <v>191</v>
      </c>
      <c r="C65" s="767" t="s">
        <v>357</v>
      </c>
      <c r="D65" s="853" t="s">
        <v>358</v>
      </c>
      <c r="E65" s="852" t="s">
        <v>191</v>
      </c>
      <c r="F65" s="767" t="s">
        <v>357</v>
      </c>
      <c r="G65" s="853" t="s">
        <v>358</v>
      </c>
      <c r="H65" s="852" t="s">
        <v>191</v>
      </c>
      <c r="I65" s="767" t="s">
        <v>357</v>
      </c>
      <c r="J65" s="853" t="s">
        <v>358</v>
      </c>
      <c r="K65" s="852" t="s">
        <v>191</v>
      </c>
      <c r="L65" s="767" t="s">
        <v>357</v>
      </c>
      <c r="M65" s="853" t="s">
        <v>358</v>
      </c>
      <c r="N65" s="421"/>
    </row>
    <row r="66" spans="1:16" s="25" customFormat="1" ht="24.75" customHeight="1" x14ac:dyDescent="0.25">
      <c r="A66" s="820" t="s">
        <v>891</v>
      </c>
      <c r="B66" s="863">
        <f>SUM(B67:B69)</f>
        <v>0</v>
      </c>
      <c r="C66" s="230">
        <f>SUM(C67:C69)</f>
        <v>16578317</v>
      </c>
      <c r="D66" s="468">
        <f>C66-B66</f>
        <v>16578317</v>
      </c>
      <c r="E66" s="295">
        <f>SUM(E67:E69)</f>
        <v>0</v>
      </c>
      <c r="F66" s="230">
        <f>SUM(F67:F69)</f>
        <v>0</v>
      </c>
      <c r="G66" s="468">
        <f>F66-E66</f>
        <v>0</v>
      </c>
      <c r="H66" s="295">
        <f>SUM(H67:H69)</f>
        <v>0</v>
      </c>
      <c r="I66" s="230">
        <f>SUM(I67:I69)</f>
        <v>0</v>
      </c>
      <c r="J66" s="468">
        <f>I66-H66</f>
        <v>0</v>
      </c>
      <c r="K66" s="295">
        <f>SUM(K67:K69)</f>
        <v>0</v>
      </c>
      <c r="L66" s="230">
        <f>SUM(L67:L69)</f>
        <v>16578317</v>
      </c>
      <c r="M66" s="468">
        <f>L66-K66</f>
        <v>16578317</v>
      </c>
      <c r="N66" s="419"/>
    </row>
    <row r="67" spans="1:16" s="25" customFormat="1" ht="34.5" customHeight="1" x14ac:dyDescent="0.25">
      <c r="A67" s="821" t="s">
        <v>445</v>
      </c>
      <c r="B67" s="870"/>
      <c r="C67" s="868"/>
      <c r="D67" s="470"/>
      <c r="E67" s="867"/>
      <c r="F67" s="868"/>
      <c r="G67" s="470"/>
      <c r="H67" s="867"/>
      <c r="I67" s="868"/>
      <c r="J67" s="470"/>
      <c r="K67" s="114">
        <f>B67+E67+H67</f>
        <v>0</v>
      </c>
      <c r="L67" s="103">
        <f>C67+F67+I67</f>
        <v>0</v>
      </c>
      <c r="M67" s="470"/>
      <c r="N67" s="419"/>
    </row>
    <row r="68" spans="1:16" s="27" customFormat="1" ht="60" customHeight="1" x14ac:dyDescent="0.25">
      <c r="A68" s="822" t="s">
        <v>446</v>
      </c>
      <c r="B68" s="870"/>
      <c r="C68" s="868">
        <v>15000000</v>
      </c>
      <c r="D68" s="456">
        <f t="shared" ref="D68:D69" si="11">C68-B68</f>
        <v>15000000</v>
      </c>
      <c r="E68" s="867"/>
      <c r="F68" s="868"/>
      <c r="G68" s="470"/>
      <c r="H68" s="867"/>
      <c r="I68" s="868"/>
      <c r="J68" s="470"/>
      <c r="K68" s="114">
        <f>B68+E68+H68</f>
        <v>0</v>
      </c>
      <c r="L68" s="103">
        <f>C68+F68+I68</f>
        <v>15000000</v>
      </c>
      <c r="M68" s="470"/>
      <c r="N68" s="422"/>
    </row>
    <row r="69" spans="1:16" s="27" customFormat="1" ht="27" customHeight="1" x14ac:dyDescent="0.25">
      <c r="A69" s="444" t="s">
        <v>447</v>
      </c>
      <c r="B69" s="870"/>
      <c r="C69" s="868">
        <v>1578317</v>
      </c>
      <c r="D69" s="456">
        <f t="shared" si="11"/>
        <v>1578317</v>
      </c>
      <c r="E69" s="867"/>
      <c r="F69" s="868"/>
      <c r="G69" s="470"/>
      <c r="H69" s="867"/>
      <c r="I69" s="868"/>
      <c r="J69" s="470"/>
      <c r="K69" s="114">
        <f>SUM(B69+E69+H69)</f>
        <v>0</v>
      </c>
      <c r="L69" s="103">
        <f>SUM(C69+F69+I69)</f>
        <v>1578317</v>
      </c>
      <c r="M69" s="470"/>
      <c r="N69" s="421"/>
    </row>
    <row r="70" spans="1:16" s="25" customFormat="1" ht="22.5" customHeight="1" x14ac:dyDescent="0.25">
      <c r="A70" s="823" t="s">
        <v>892</v>
      </c>
      <c r="B70" s="871">
        <f>SUM(B71:B73)</f>
        <v>625906935</v>
      </c>
      <c r="C70" s="102">
        <f>SUM(C71:C73)</f>
        <v>625906935</v>
      </c>
      <c r="D70" s="455">
        <f>C70-B70</f>
        <v>0</v>
      </c>
      <c r="E70" s="113">
        <f>SUM(E71:E73)</f>
        <v>0</v>
      </c>
      <c r="F70" s="102">
        <f>SUM(F71:F73)</f>
        <v>0</v>
      </c>
      <c r="G70" s="455">
        <f>F70-E70</f>
        <v>0</v>
      </c>
      <c r="H70" s="113">
        <f>SUM(H71:H73)</f>
        <v>0</v>
      </c>
      <c r="I70" s="102">
        <f>SUM(I71:I73)</f>
        <v>0</v>
      </c>
      <c r="J70" s="455">
        <f>I70-H70</f>
        <v>0</v>
      </c>
      <c r="K70" s="871">
        <f>SUM(K71:K73)</f>
        <v>625906935</v>
      </c>
      <c r="L70" s="102">
        <f>SUM(L71:L73)</f>
        <v>625906935</v>
      </c>
      <c r="M70" s="455">
        <f>L70-K70</f>
        <v>0</v>
      </c>
      <c r="N70" s="423"/>
    </row>
    <row r="71" spans="1:16" s="27" customFormat="1" ht="59.25" customHeight="1" x14ac:dyDescent="0.25">
      <c r="A71" s="821" t="s">
        <v>448</v>
      </c>
      <c r="B71" s="870"/>
      <c r="C71" s="868"/>
      <c r="D71" s="470"/>
      <c r="E71" s="867"/>
      <c r="F71" s="868"/>
      <c r="G71" s="470"/>
      <c r="H71" s="867"/>
      <c r="I71" s="868"/>
      <c r="J71" s="470"/>
      <c r="K71" s="114">
        <f t="shared" ref="K71:L73" si="12">B71+E71+H71</f>
        <v>0</v>
      </c>
      <c r="L71" s="103">
        <f t="shared" si="12"/>
        <v>0</v>
      </c>
      <c r="M71" s="470"/>
      <c r="N71" s="421"/>
    </row>
    <row r="72" spans="1:16" s="27" customFormat="1" ht="64.5" customHeight="1" x14ac:dyDescent="0.25">
      <c r="A72" s="821" t="s">
        <v>449</v>
      </c>
      <c r="B72" s="870">
        <v>608906935</v>
      </c>
      <c r="C72" s="868">
        <v>608906935</v>
      </c>
      <c r="D72" s="470">
        <f>C72-B72</f>
        <v>0</v>
      </c>
      <c r="E72" s="867"/>
      <c r="F72" s="868"/>
      <c r="G72" s="470">
        <f>F72-E72</f>
        <v>0</v>
      </c>
      <c r="H72" s="867"/>
      <c r="I72" s="868"/>
      <c r="J72" s="470">
        <f>I72-H72</f>
        <v>0</v>
      </c>
      <c r="K72" s="114">
        <f t="shared" si="12"/>
        <v>608906935</v>
      </c>
      <c r="L72" s="103">
        <f t="shared" si="12"/>
        <v>608906935</v>
      </c>
      <c r="M72" s="470">
        <f>L72-K72</f>
        <v>0</v>
      </c>
      <c r="N72" s="421"/>
    </row>
    <row r="73" spans="1:16" s="27" customFormat="1" ht="24.75" customHeight="1" x14ac:dyDescent="0.25">
      <c r="A73" s="821" t="s">
        <v>450</v>
      </c>
      <c r="B73" s="870">
        <v>17000000</v>
      </c>
      <c r="C73" s="868">
        <v>17000000</v>
      </c>
      <c r="D73" s="470">
        <f t="shared" ref="D73:D93" si="13">C73-B73</f>
        <v>0</v>
      </c>
      <c r="E73" s="867"/>
      <c r="F73" s="868"/>
      <c r="G73" s="470">
        <f t="shared" ref="G73:G93" si="14">F73-E73</f>
        <v>0</v>
      </c>
      <c r="H73" s="867"/>
      <c r="I73" s="868"/>
      <c r="J73" s="470">
        <f t="shared" ref="J73:J93" si="15">I73-H73</f>
        <v>0</v>
      </c>
      <c r="K73" s="114">
        <f t="shared" si="12"/>
        <v>17000000</v>
      </c>
      <c r="L73" s="103">
        <f t="shared" si="12"/>
        <v>17000000</v>
      </c>
      <c r="M73" s="470">
        <f t="shared" ref="M73:M93" si="16">L73-K73</f>
        <v>0</v>
      </c>
      <c r="N73" s="421"/>
    </row>
    <row r="74" spans="1:16" s="25" customFormat="1" ht="24.75" customHeight="1" x14ac:dyDescent="0.25">
      <c r="A74" s="824" t="s">
        <v>893</v>
      </c>
      <c r="B74" s="871">
        <f>B70+B66+B58+B43+B30+B22+B7</f>
        <v>6922746772</v>
      </c>
      <c r="C74" s="102">
        <f>C70+C66+C58+C43+C30+C22+C7</f>
        <v>7181969419</v>
      </c>
      <c r="D74" s="473">
        <f t="shared" si="13"/>
        <v>259222647</v>
      </c>
      <c r="E74" s="113">
        <f>E70+E66+E58+E43+E30+E22+E7</f>
        <v>49017493</v>
      </c>
      <c r="F74" s="102">
        <f>F70+F66+F58+F43+F30+F22+F7</f>
        <v>59162323</v>
      </c>
      <c r="G74" s="473">
        <f t="shared" si="14"/>
        <v>10144830</v>
      </c>
      <c r="H74" s="113">
        <f>H70+H66+H58+H43+H30+H22+H7</f>
        <v>169385165</v>
      </c>
      <c r="I74" s="102">
        <f>I70+I66+I58+I43+I30+I22+I7</f>
        <v>172513079</v>
      </c>
      <c r="J74" s="473">
        <f t="shared" si="15"/>
        <v>3127914</v>
      </c>
      <c r="K74" s="113">
        <f>K70+K66+K58+K43+K30+K22+K7</f>
        <v>7141149430</v>
      </c>
      <c r="L74" s="102">
        <f>L70+L66+L58+L43+L30+L22+L7</f>
        <v>7413644821</v>
      </c>
      <c r="M74" s="473">
        <f t="shared" si="16"/>
        <v>272495391</v>
      </c>
      <c r="N74" s="419">
        <f>B74+E74+H74</f>
        <v>7141149430</v>
      </c>
      <c r="P74" s="24"/>
    </row>
    <row r="75" spans="1:16" s="25" customFormat="1" ht="24.75" customHeight="1" x14ac:dyDescent="0.25">
      <c r="A75" s="825" t="s">
        <v>894</v>
      </c>
      <c r="B75" s="871">
        <f>B76+B79</f>
        <v>2366899089</v>
      </c>
      <c r="C75" s="102">
        <f>C76+C79</f>
        <v>3307323496</v>
      </c>
      <c r="D75" s="473">
        <f t="shared" si="13"/>
        <v>940424407</v>
      </c>
      <c r="E75" s="871">
        <f>E76+E79</f>
        <v>0</v>
      </c>
      <c r="F75" s="102">
        <f>F76+F79</f>
        <v>36290988</v>
      </c>
      <c r="G75" s="473">
        <f t="shared" si="14"/>
        <v>36290988</v>
      </c>
      <c r="H75" s="871">
        <f>H76+H79</f>
        <v>452490</v>
      </c>
      <c r="I75" s="102">
        <f>I76+I79</f>
        <v>17263952</v>
      </c>
      <c r="J75" s="473">
        <f t="shared" si="15"/>
        <v>16811462</v>
      </c>
      <c r="K75" s="113">
        <f>K76+K79</f>
        <v>2367351579</v>
      </c>
      <c r="L75" s="102">
        <f>L76+L79</f>
        <v>3360878436</v>
      </c>
      <c r="M75" s="473">
        <f t="shared" si="16"/>
        <v>993526857</v>
      </c>
      <c r="N75" s="419"/>
      <c r="P75" s="24"/>
    </row>
    <row r="76" spans="1:16" s="25" customFormat="1" ht="46.5" customHeight="1" x14ac:dyDescent="0.25">
      <c r="A76" s="825" t="s">
        <v>451</v>
      </c>
      <c r="B76" s="871">
        <f>SUM(B77:B78)</f>
        <v>1354099089</v>
      </c>
      <c r="C76" s="102">
        <f>SUM(C77:C78)</f>
        <v>1637823773</v>
      </c>
      <c r="D76" s="473">
        <f t="shared" si="13"/>
        <v>283724684</v>
      </c>
      <c r="E76" s="871">
        <f>SUM(E77:E78)</f>
        <v>0</v>
      </c>
      <c r="F76" s="102">
        <f>SUM(F77:F78)</f>
        <v>36290988</v>
      </c>
      <c r="G76" s="473">
        <f t="shared" si="14"/>
        <v>36290988</v>
      </c>
      <c r="H76" s="871">
        <f>SUM(H77:H78)</f>
        <v>452490</v>
      </c>
      <c r="I76" s="102">
        <f>SUM(I77:I78)</f>
        <v>17263952</v>
      </c>
      <c r="J76" s="473">
        <f t="shared" si="15"/>
        <v>16811462</v>
      </c>
      <c r="K76" s="113">
        <f>B76+H76+E76</f>
        <v>1354551579</v>
      </c>
      <c r="L76" s="102">
        <f>C76+I76+F76</f>
        <v>1691378713</v>
      </c>
      <c r="M76" s="473">
        <f t="shared" si="16"/>
        <v>336827134</v>
      </c>
      <c r="N76" s="419"/>
    </row>
    <row r="77" spans="1:16" s="27" customFormat="1" ht="66" customHeight="1" x14ac:dyDescent="0.25">
      <c r="A77" s="825" t="s">
        <v>8</v>
      </c>
      <c r="B77" s="870">
        <v>176681574</v>
      </c>
      <c r="C77" s="868">
        <v>454730120</v>
      </c>
      <c r="D77" s="470">
        <f t="shared" si="13"/>
        <v>278048546</v>
      </c>
      <c r="E77" s="472">
        <f>'2.a tábla ÚJ '!O47</f>
        <v>0</v>
      </c>
      <c r="F77" s="103">
        <f>'2.a tábla ÚJ '!P47</f>
        <v>31465031</v>
      </c>
      <c r="G77" s="470">
        <f t="shared" si="14"/>
        <v>31465031</v>
      </c>
      <c r="H77" s="472">
        <f>'2.a tábla ÚJ '!K47</f>
        <v>452490</v>
      </c>
      <c r="I77" s="103">
        <f>'2.a tábla ÚJ '!L47</f>
        <v>16822962</v>
      </c>
      <c r="J77" s="470">
        <f t="shared" si="15"/>
        <v>16370472</v>
      </c>
      <c r="K77" s="114">
        <f>B77+E77+H77</f>
        <v>177134064</v>
      </c>
      <c r="L77" s="103">
        <f>C77+F77+I77</f>
        <v>503018113</v>
      </c>
      <c r="M77" s="470">
        <f t="shared" si="16"/>
        <v>325884049</v>
      </c>
      <c r="N77" s="422"/>
    </row>
    <row r="78" spans="1:16" s="27" customFormat="1" ht="72" customHeight="1" x14ac:dyDescent="0.25">
      <c r="A78" s="821" t="s">
        <v>452</v>
      </c>
      <c r="B78" s="870">
        <v>1177417515</v>
      </c>
      <c r="C78" s="868">
        <v>1183093653</v>
      </c>
      <c r="D78" s="470">
        <f t="shared" si="13"/>
        <v>5676138</v>
      </c>
      <c r="E78" s="472">
        <f>'2.a tábla ÚJ '!O48</f>
        <v>0</v>
      </c>
      <c r="F78" s="103">
        <f>'2.a tábla ÚJ '!P48</f>
        <v>4825957</v>
      </c>
      <c r="G78" s="470">
        <f t="shared" si="14"/>
        <v>4825957</v>
      </c>
      <c r="H78" s="114">
        <f>'2.a tábla ÚJ '!K48</f>
        <v>0</v>
      </c>
      <c r="I78" s="103">
        <f>'2.a tábla ÚJ '!L48</f>
        <v>440990</v>
      </c>
      <c r="J78" s="470">
        <f t="shared" si="15"/>
        <v>440990</v>
      </c>
      <c r="K78" s="472">
        <f>B78+E78+H78</f>
        <v>1177417515</v>
      </c>
      <c r="L78" s="103">
        <f>C78+F78+I78</f>
        <v>1188360600</v>
      </c>
      <c r="M78" s="470">
        <f t="shared" si="16"/>
        <v>10943085</v>
      </c>
      <c r="N78" s="421"/>
    </row>
    <row r="79" spans="1:16" s="25" customFormat="1" ht="51" customHeight="1" x14ac:dyDescent="0.25">
      <c r="A79" s="826" t="s">
        <v>453</v>
      </c>
      <c r="B79" s="871">
        <f>B80+B84+B89+B90</f>
        <v>1012800000</v>
      </c>
      <c r="C79" s="102">
        <f>C80+C84+C89+C90</f>
        <v>1669499723</v>
      </c>
      <c r="D79" s="473">
        <f t="shared" si="13"/>
        <v>656699723</v>
      </c>
      <c r="E79" s="871">
        <f>E80+E84+E89+E90</f>
        <v>0</v>
      </c>
      <c r="F79" s="102">
        <f>F80+F84+F89+F90</f>
        <v>0</v>
      </c>
      <c r="G79" s="473">
        <f t="shared" si="14"/>
        <v>0</v>
      </c>
      <c r="H79" s="113">
        <f>H80+H84+H89+H90</f>
        <v>0</v>
      </c>
      <c r="I79" s="102">
        <f>I80+I84+I89+I90</f>
        <v>0</v>
      </c>
      <c r="J79" s="473">
        <f t="shared" si="15"/>
        <v>0</v>
      </c>
      <c r="K79" s="113">
        <f>K80+K84+K89+K90</f>
        <v>1012800000</v>
      </c>
      <c r="L79" s="102">
        <f>L80+L84+L89+L90</f>
        <v>1669499723</v>
      </c>
      <c r="M79" s="473">
        <f t="shared" si="16"/>
        <v>656699723</v>
      </c>
      <c r="N79" s="424"/>
    </row>
    <row r="80" spans="1:16" s="25" customFormat="1" ht="38.25" customHeight="1" x14ac:dyDescent="0.25">
      <c r="A80" s="824" t="s">
        <v>454</v>
      </c>
      <c r="B80" s="871">
        <f>SUM(B81:B83)</f>
        <v>0</v>
      </c>
      <c r="C80" s="102">
        <f>SUM(C81:C83)</f>
        <v>0</v>
      </c>
      <c r="D80" s="473">
        <f t="shared" si="13"/>
        <v>0</v>
      </c>
      <c r="E80" s="871">
        <f>SUM(E81:E83)</f>
        <v>0</v>
      </c>
      <c r="F80" s="102">
        <f>SUM(F81:F83)</f>
        <v>0</v>
      </c>
      <c r="G80" s="473">
        <f t="shared" si="14"/>
        <v>0</v>
      </c>
      <c r="H80" s="113">
        <f>SUM(H81:H83)</f>
        <v>0</v>
      </c>
      <c r="I80" s="102">
        <f>SUM(I81:I83)</f>
        <v>0</v>
      </c>
      <c r="J80" s="473">
        <f t="shared" si="15"/>
        <v>0</v>
      </c>
      <c r="K80" s="113">
        <f>SUM(K81:K83)</f>
        <v>0</v>
      </c>
      <c r="L80" s="102">
        <f>SUM(L81:L83)</f>
        <v>0</v>
      </c>
      <c r="M80" s="473">
        <f t="shared" si="16"/>
        <v>0</v>
      </c>
      <c r="N80" s="424"/>
    </row>
    <row r="81" spans="1:14" s="27" customFormat="1" ht="23.25" customHeight="1" x14ac:dyDescent="0.25">
      <c r="A81" s="821" t="s">
        <v>455</v>
      </c>
      <c r="B81" s="870"/>
      <c r="C81" s="868"/>
      <c r="D81" s="470">
        <f t="shared" si="13"/>
        <v>0</v>
      </c>
      <c r="E81" s="867"/>
      <c r="F81" s="868"/>
      <c r="G81" s="470">
        <f t="shared" si="14"/>
        <v>0</v>
      </c>
      <c r="H81" s="867"/>
      <c r="I81" s="868"/>
      <c r="J81" s="470">
        <f t="shared" si="15"/>
        <v>0</v>
      </c>
      <c r="K81" s="114">
        <f t="shared" ref="K81:K90" si="17">B81+H81</f>
        <v>0</v>
      </c>
      <c r="L81" s="103">
        <f t="shared" ref="L81:L90" si="18">C81+I81</f>
        <v>0</v>
      </c>
      <c r="M81" s="470">
        <f t="shared" si="16"/>
        <v>0</v>
      </c>
      <c r="N81" s="424"/>
    </row>
    <row r="82" spans="1:14" s="27" customFormat="1" ht="39.6" x14ac:dyDescent="0.25">
      <c r="A82" s="821" t="s">
        <v>456</v>
      </c>
      <c r="B82" s="870"/>
      <c r="C82" s="868"/>
      <c r="D82" s="470">
        <f t="shared" si="13"/>
        <v>0</v>
      </c>
      <c r="E82" s="867"/>
      <c r="F82" s="868"/>
      <c r="G82" s="470">
        <f t="shared" si="14"/>
        <v>0</v>
      </c>
      <c r="H82" s="867"/>
      <c r="I82" s="868"/>
      <c r="J82" s="470">
        <f t="shared" si="15"/>
        <v>0</v>
      </c>
      <c r="K82" s="114">
        <f t="shared" si="17"/>
        <v>0</v>
      </c>
      <c r="L82" s="103">
        <f t="shared" si="18"/>
        <v>0</v>
      </c>
      <c r="M82" s="470">
        <f t="shared" si="16"/>
        <v>0</v>
      </c>
      <c r="N82" s="424"/>
    </row>
    <row r="83" spans="1:14" s="27" customFormat="1" ht="23.25" customHeight="1" x14ac:dyDescent="0.25">
      <c r="A83" s="821" t="s">
        <v>457</v>
      </c>
      <c r="B83" s="870"/>
      <c r="C83" s="868"/>
      <c r="D83" s="470">
        <f t="shared" si="13"/>
        <v>0</v>
      </c>
      <c r="E83" s="867"/>
      <c r="F83" s="868"/>
      <c r="G83" s="470">
        <f t="shared" si="14"/>
        <v>0</v>
      </c>
      <c r="H83" s="867"/>
      <c r="I83" s="868"/>
      <c r="J83" s="470">
        <f t="shared" si="15"/>
        <v>0</v>
      </c>
      <c r="K83" s="114">
        <f t="shared" si="17"/>
        <v>0</v>
      </c>
      <c r="L83" s="103">
        <f t="shared" si="18"/>
        <v>0</v>
      </c>
      <c r="M83" s="470">
        <f t="shared" si="16"/>
        <v>0</v>
      </c>
      <c r="N83" s="424"/>
    </row>
    <row r="84" spans="1:14" s="25" customFormat="1" ht="27" customHeight="1" x14ac:dyDescent="0.25">
      <c r="A84" s="824" t="s">
        <v>458</v>
      </c>
      <c r="B84" s="871">
        <f>SUM(B85:B88)</f>
        <v>1000000000</v>
      </c>
      <c r="C84" s="102">
        <f>SUM(C85:C88)</f>
        <v>1656699723</v>
      </c>
      <c r="D84" s="473">
        <f t="shared" si="13"/>
        <v>656699723</v>
      </c>
      <c r="E84" s="113">
        <f>SUM(E85:E88)</f>
        <v>0</v>
      </c>
      <c r="F84" s="102">
        <f>SUM(F85:F88)</f>
        <v>0</v>
      </c>
      <c r="G84" s="473">
        <f t="shared" si="14"/>
        <v>0</v>
      </c>
      <c r="H84" s="113">
        <f>SUM(H85:H88)</f>
        <v>0</v>
      </c>
      <c r="I84" s="102">
        <f>SUM(I85:I88)</f>
        <v>0</v>
      </c>
      <c r="J84" s="473">
        <f t="shared" si="15"/>
        <v>0</v>
      </c>
      <c r="K84" s="113">
        <f t="shared" si="17"/>
        <v>1000000000</v>
      </c>
      <c r="L84" s="102">
        <f t="shared" si="18"/>
        <v>1656699723</v>
      </c>
      <c r="M84" s="473">
        <f t="shared" si="16"/>
        <v>656699723</v>
      </c>
      <c r="N84" s="423"/>
    </row>
    <row r="85" spans="1:14" s="27" customFormat="1" ht="39.6" x14ac:dyDescent="0.25">
      <c r="A85" s="827" t="s">
        <v>459</v>
      </c>
      <c r="B85" s="870">
        <v>1000000000</v>
      </c>
      <c r="C85" s="868">
        <v>1656699723</v>
      </c>
      <c r="D85" s="470">
        <f t="shared" si="13"/>
        <v>656699723</v>
      </c>
      <c r="E85" s="867"/>
      <c r="F85" s="868"/>
      <c r="G85" s="470"/>
      <c r="H85" s="867"/>
      <c r="I85" s="868"/>
      <c r="J85" s="470"/>
      <c r="K85" s="114">
        <f t="shared" si="17"/>
        <v>1000000000</v>
      </c>
      <c r="L85" s="103">
        <f t="shared" si="18"/>
        <v>1656699723</v>
      </c>
      <c r="M85" s="470">
        <f t="shared" si="16"/>
        <v>656699723</v>
      </c>
      <c r="N85" s="421"/>
    </row>
    <row r="86" spans="1:14" s="27" customFormat="1" ht="23.25" customHeight="1" x14ac:dyDescent="0.25">
      <c r="A86" s="447" t="s">
        <v>460</v>
      </c>
      <c r="B86" s="870"/>
      <c r="C86" s="868"/>
      <c r="D86" s="470">
        <f t="shared" si="13"/>
        <v>0</v>
      </c>
      <c r="E86" s="867"/>
      <c r="F86" s="868"/>
      <c r="G86" s="470"/>
      <c r="H86" s="867"/>
      <c r="I86" s="868"/>
      <c r="J86" s="470"/>
      <c r="K86" s="114">
        <f t="shared" si="17"/>
        <v>0</v>
      </c>
      <c r="L86" s="103">
        <f t="shared" si="18"/>
        <v>0</v>
      </c>
      <c r="M86" s="470">
        <f t="shared" si="16"/>
        <v>0</v>
      </c>
      <c r="N86" s="421"/>
    </row>
    <row r="87" spans="1:14" s="25" customFormat="1" ht="39.6" x14ac:dyDescent="0.25">
      <c r="A87" s="828" t="s">
        <v>461</v>
      </c>
      <c r="B87" s="870"/>
      <c r="C87" s="868"/>
      <c r="D87" s="470">
        <f t="shared" si="13"/>
        <v>0</v>
      </c>
      <c r="E87" s="867"/>
      <c r="F87" s="868"/>
      <c r="G87" s="470"/>
      <c r="H87" s="867"/>
      <c r="I87" s="868"/>
      <c r="J87" s="470"/>
      <c r="K87" s="114">
        <f t="shared" si="17"/>
        <v>0</v>
      </c>
      <c r="L87" s="103">
        <f t="shared" si="18"/>
        <v>0</v>
      </c>
      <c r="M87" s="470">
        <f t="shared" si="16"/>
        <v>0</v>
      </c>
      <c r="N87" s="423"/>
    </row>
    <row r="88" spans="1:14" s="25" customFormat="1" ht="25.5" customHeight="1" x14ac:dyDescent="0.25">
      <c r="A88" s="828" t="s">
        <v>462</v>
      </c>
      <c r="B88" s="870"/>
      <c r="C88" s="868"/>
      <c r="D88" s="470">
        <f t="shared" si="13"/>
        <v>0</v>
      </c>
      <c r="E88" s="867"/>
      <c r="F88" s="868"/>
      <c r="G88" s="470"/>
      <c r="H88" s="867"/>
      <c r="I88" s="868"/>
      <c r="J88" s="470"/>
      <c r="K88" s="114">
        <f t="shared" si="17"/>
        <v>0</v>
      </c>
      <c r="L88" s="103">
        <f t="shared" si="18"/>
        <v>0</v>
      </c>
      <c r="M88" s="470">
        <f t="shared" si="16"/>
        <v>0</v>
      </c>
      <c r="N88" s="423"/>
    </row>
    <row r="89" spans="1:14" s="25" customFormat="1" ht="17.25" customHeight="1" x14ac:dyDescent="0.25">
      <c r="A89" s="829" t="s">
        <v>685</v>
      </c>
      <c r="B89" s="1216"/>
      <c r="C89" s="875"/>
      <c r="D89" s="473">
        <f t="shared" si="13"/>
        <v>0</v>
      </c>
      <c r="E89" s="874"/>
      <c r="F89" s="875"/>
      <c r="G89" s="473"/>
      <c r="H89" s="874"/>
      <c r="I89" s="875"/>
      <c r="J89" s="473"/>
      <c r="K89" s="113">
        <f t="shared" si="17"/>
        <v>0</v>
      </c>
      <c r="L89" s="102">
        <f t="shared" si="18"/>
        <v>0</v>
      </c>
      <c r="M89" s="473">
        <f t="shared" si="16"/>
        <v>0</v>
      </c>
      <c r="N89" s="423"/>
    </row>
    <row r="90" spans="1:14" s="25" customFormat="1" ht="25.5" customHeight="1" x14ac:dyDescent="0.25">
      <c r="A90" s="829" t="s">
        <v>817</v>
      </c>
      <c r="B90" s="1216">
        <v>12800000</v>
      </c>
      <c r="C90" s="875">
        <v>12800000</v>
      </c>
      <c r="D90" s="473">
        <f t="shared" si="13"/>
        <v>0</v>
      </c>
      <c r="E90" s="874"/>
      <c r="F90" s="875"/>
      <c r="G90" s="473"/>
      <c r="H90" s="874"/>
      <c r="I90" s="875"/>
      <c r="J90" s="473"/>
      <c r="K90" s="113">
        <f t="shared" si="17"/>
        <v>12800000</v>
      </c>
      <c r="L90" s="102">
        <f t="shared" si="18"/>
        <v>12800000</v>
      </c>
      <c r="M90" s="473">
        <f t="shared" si="16"/>
        <v>0</v>
      </c>
      <c r="N90" s="423"/>
    </row>
    <row r="91" spans="1:14" s="25" customFormat="1" ht="27" customHeight="1" x14ac:dyDescent="0.25">
      <c r="A91" s="829" t="s">
        <v>463</v>
      </c>
      <c r="B91" s="871">
        <f>B79+B76</f>
        <v>2366899089</v>
      </c>
      <c r="C91" s="102">
        <f>C79+C76</f>
        <v>3307323496</v>
      </c>
      <c r="D91" s="473">
        <f t="shared" si="13"/>
        <v>940424407</v>
      </c>
      <c r="E91" s="113">
        <f>E79+E76</f>
        <v>0</v>
      </c>
      <c r="F91" s="102">
        <f>F79+F76</f>
        <v>36290988</v>
      </c>
      <c r="G91" s="473">
        <f t="shared" si="14"/>
        <v>36290988</v>
      </c>
      <c r="H91" s="113">
        <f>H79+H76</f>
        <v>452490</v>
      </c>
      <c r="I91" s="102">
        <f>I79+I76</f>
        <v>17263952</v>
      </c>
      <c r="J91" s="473">
        <f t="shared" si="15"/>
        <v>16811462</v>
      </c>
      <c r="K91" s="113">
        <f>B91+H91+E91:E94</f>
        <v>2367351579</v>
      </c>
      <c r="L91" s="102">
        <f>C91+I91+F91:F94</f>
        <v>3360878436</v>
      </c>
      <c r="M91" s="473">
        <f t="shared" si="16"/>
        <v>993526857</v>
      </c>
      <c r="N91" s="423"/>
    </row>
    <row r="92" spans="1:14" s="25" customFormat="1" ht="15" customHeight="1" x14ac:dyDescent="0.25">
      <c r="A92" s="824" t="s">
        <v>464</v>
      </c>
      <c r="B92" s="871">
        <f>B74+B91</f>
        <v>9289645861</v>
      </c>
      <c r="C92" s="102">
        <f>C74+C91</f>
        <v>10489292915</v>
      </c>
      <c r="D92" s="473">
        <f t="shared" si="13"/>
        <v>1199647054</v>
      </c>
      <c r="E92" s="871">
        <f>E74+E91</f>
        <v>49017493</v>
      </c>
      <c r="F92" s="102">
        <f>F74+F91</f>
        <v>95453311</v>
      </c>
      <c r="G92" s="473">
        <f t="shared" si="14"/>
        <v>46435818</v>
      </c>
      <c r="H92" s="113">
        <f>H74+H91</f>
        <v>169837655</v>
      </c>
      <c r="I92" s="102">
        <f>I74+I91</f>
        <v>189777031</v>
      </c>
      <c r="J92" s="473">
        <f t="shared" si="15"/>
        <v>19939376</v>
      </c>
      <c r="K92" s="113">
        <f>B92+H92+E92</f>
        <v>9508501009</v>
      </c>
      <c r="L92" s="102">
        <f>C92+I92+F92</f>
        <v>10774523257</v>
      </c>
      <c r="M92" s="473">
        <f t="shared" si="16"/>
        <v>1266022248</v>
      </c>
      <c r="N92" s="419">
        <f>K91+K74</f>
        <v>9508501009</v>
      </c>
    </row>
    <row r="93" spans="1:14" x14ac:dyDescent="0.25">
      <c r="A93" s="830" t="s">
        <v>807</v>
      </c>
      <c r="B93" s="1156">
        <f>'2.a tábla ÚJ '!O58+'2.a tábla ÚJ '!O60</f>
        <v>23</v>
      </c>
      <c r="C93" s="296">
        <f>'2.a tábla ÚJ '!P58+'2.a tábla ÚJ '!P60</f>
        <v>23</v>
      </c>
      <c r="D93" s="1238">
        <f t="shared" si="13"/>
        <v>0</v>
      </c>
      <c r="E93" s="1156">
        <f>'2.a tábla ÚJ '!O57</f>
        <v>76</v>
      </c>
      <c r="F93" s="296">
        <f>'2.a tábla ÚJ '!P57</f>
        <v>75</v>
      </c>
      <c r="G93" s="1238">
        <f t="shared" si="14"/>
        <v>-1</v>
      </c>
      <c r="H93" s="1156">
        <f>'2.a tábla ÚJ '!K57</f>
        <v>63.5</v>
      </c>
      <c r="I93" s="296">
        <f>'2.a tábla ÚJ '!L57</f>
        <v>63.5</v>
      </c>
      <c r="J93" s="1238">
        <f t="shared" si="15"/>
        <v>0</v>
      </c>
      <c r="K93" s="218">
        <f>B93+H93+E93</f>
        <v>162.5</v>
      </c>
      <c r="L93" s="296">
        <f>C93+I93+F93</f>
        <v>161.5</v>
      </c>
      <c r="M93" s="1238">
        <f t="shared" si="16"/>
        <v>-1</v>
      </c>
    </row>
    <row r="94" spans="1:14" ht="13.8" thickBot="1" x14ac:dyDescent="0.3">
      <c r="A94" s="454" t="s">
        <v>465</v>
      </c>
      <c r="B94" s="179">
        <f>'2.a tábla ÚJ '!O60</f>
        <v>20</v>
      </c>
      <c r="C94" s="178">
        <f>'2.a tábla ÚJ '!P60</f>
        <v>20</v>
      </c>
      <c r="D94" s="474">
        <f>C94-B94</f>
        <v>0</v>
      </c>
      <c r="E94" s="1157">
        <f>'2.a tábla ÚJ '!O56</f>
        <v>0</v>
      </c>
      <c r="F94" s="178">
        <f>'2.a tábla ÚJ '!P56</f>
        <v>0</v>
      </c>
      <c r="G94" s="474">
        <f>F94-E94</f>
        <v>0</v>
      </c>
      <c r="H94" s="1157">
        <f>'2.a tábla ÚJ '!K56</f>
        <v>5</v>
      </c>
      <c r="I94" s="178">
        <f>'2.a tábla ÚJ '!L56</f>
        <v>5</v>
      </c>
      <c r="J94" s="474">
        <f>I94-H94</f>
        <v>0</v>
      </c>
      <c r="K94" s="179">
        <f>B94+H94</f>
        <v>25</v>
      </c>
      <c r="L94" s="178">
        <f>C94+I94</f>
        <v>25</v>
      </c>
      <c r="M94" s="474">
        <f>L94-K94</f>
        <v>0</v>
      </c>
      <c r="N94" s="45"/>
    </row>
    <row r="95" spans="1:14" x14ac:dyDescent="0.25">
      <c r="B95" s="169"/>
      <c r="C95" s="169"/>
      <c r="D95" s="169"/>
      <c r="E95" s="169"/>
      <c r="G95" s="169"/>
      <c r="H95" s="169"/>
      <c r="I95" s="169"/>
      <c r="J95" s="169"/>
      <c r="L95" s="169"/>
    </row>
    <row r="96" spans="1:14" x14ac:dyDescent="0.25">
      <c r="B96" s="169"/>
      <c r="C96" s="169"/>
      <c r="D96" s="169"/>
      <c r="E96" s="169"/>
      <c r="G96" s="169"/>
      <c r="H96" s="169"/>
      <c r="I96" s="193"/>
      <c r="J96" s="169"/>
      <c r="K96" s="169"/>
      <c r="L96" s="169"/>
    </row>
    <row r="97" spans="2:12" x14ac:dyDescent="0.25">
      <c r="B97" s="169"/>
      <c r="C97" s="169"/>
      <c r="D97" s="169"/>
      <c r="E97" s="169"/>
      <c r="G97" s="169"/>
      <c r="H97" s="169"/>
      <c r="I97" s="193"/>
      <c r="J97" s="169"/>
      <c r="K97" s="169"/>
      <c r="L97" s="169"/>
    </row>
    <row r="98" spans="2:12" x14ac:dyDescent="0.25">
      <c r="B98" s="169"/>
      <c r="C98" s="169"/>
      <c r="D98" s="169"/>
      <c r="E98" s="169"/>
      <c r="G98" s="169"/>
      <c r="H98" s="169"/>
      <c r="I98" s="193"/>
      <c r="J98" s="169"/>
      <c r="K98" s="169"/>
      <c r="L98" s="169"/>
    </row>
    <row r="99" spans="2:12" x14ac:dyDescent="0.25">
      <c r="B99" s="169"/>
      <c r="C99" s="169"/>
      <c r="D99" s="169"/>
      <c r="E99" s="169"/>
      <c r="G99" s="169"/>
      <c r="H99" s="169"/>
      <c r="I99" s="193"/>
      <c r="J99" s="169"/>
      <c r="K99" s="169"/>
      <c r="L99" s="169"/>
    </row>
    <row r="100" spans="2:12" x14ac:dyDescent="0.25">
      <c r="B100" s="169"/>
      <c r="C100" s="169"/>
      <c r="D100" s="169"/>
      <c r="I100" s="193"/>
      <c r="J100" s="169"/>
      <c r="K100" s="169"/>
      <c r="L100" s="169"/>
    </row>
    <row r="101" spans="2:12" x14ac:dyDescent="0.25">
      <c r="J101" s="169"/>
      <c r="K101" s="169"/>
      <c r="L101" s="169"/>
    </row>
  </sheetData>
  <sheetProtection selectLockedCells="1" selectUnlockedCells="1"/>
  <mergeCells count="13">
    <mergeCell ref="B64:D64"/>
    <mergeCell ref="E64:G64"/>
    <mergeCell ref="H64:J64"/>
    <mergeCell ref="K64:M64"/>
    <mergeCell ref="A3:M3"/>
    <mergeCell ref="B5:D5"/>
    <mergeCell ref="E5:G5"/>
    <mergeCell ref="H5:J5"/>
    <mergeCell ref="K5:M5"/>
    <mergeCell ref="B28:D28"/>
    <mergeCell ref="E28:G28"/>
    <mergeCell ref="H28:J28"/>
    <mergeCell ref="K28:M28"/>
  </mergeCells>
  <phoneticPr fontId="27" type="noConversion"/>
  <printOptions horizontalCentered="1" gridLines="1"/>
  <pageMargins left="0.43307086614173229" right="0.43307086614173229" top="0.98425196850393704" bottom="0.23622047244094491" header="0.27559055118110237" footer="0.51181102362204722"/>
  <pageSetup paperSize="9" scale="47" firstPageNumber="0" fitToHeight="0" orientation="landscape" r:id="rId1"/>
  <headerFooter alignWithMargins="0">
    <oddHeader xml:space="preserve">&amp;C
2. melléklet 
az önkormányzat 2018. évi költségvetéséről szóló 11/2018. (III.01.) önkormányzati rendelethez&amp;R&amp;12
&amp;P. oldal
</oddHeader>
  </headerFooter>
  <rowBreaks count="2" manualBreakCount="2">
    <brk id="27" max="12" man="1"/>
    <brk id="63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0"/>
  </sheetPr>
  <dimension ref="A1:GK61"/>
  <sheetViews>
    <sheetView view="pageLayout" topLeftCell="A3" zoomScale="84" zoomScaleNormal="84" zoomScaleSheetLayoutView="89" zoomScalePageLayoutView="84" workbookViewId="0">
      <selection activeCell="T26" sqref="T26"/>
    </sheetView>
  </sheetViews>
  <sheetFormatPr defaultColWidth="9.109375" defaultRowHeight="13.8" x14ac:dyDescent="0.25"/>
  <cols>
    <col min="1" max="1" width="41.44140625" style="17" customWidth="1"/>
    <col min="2" max="2" width="11.44140625" style="30" customWidth="1"/>
    <col min="3" max="3" width="12.6640625" style="30" customWidth="1"/>
    <col min="4" max="4" width="15.88671875" style="30" customWidth="1"/>
    <col min="5" max="6" width="13" style="30" customWidth="1"/>
    <col min="7" max="7" width="15.33203125" style="30" customWidth="1"/>
    <col min="8" max="8" width="13.6640625" style="31" customWidth="1"/>
    <col min="9" max="9" width="12.44140625" style="31" customWidth="1"/>
    <col min="10" max="10" width="16.5546875" style="31" bestFit="1" customWidth="1"/>
    <col min="11" max="11" width="14" style="30" customWidth="1"/>
    <col min="12" max="12" width="12.88671875" style="30" customWidth="1"/>
    <col min="13" max="13" width="17.109375" style="30" customWidth="1"/>
    <col min="14" max="14" width="1.44140625" style="30" customWidth="1"/>
    <col min="15" max="15" width="12.6640625" style="30" customWidth="1"/>
    <col min="16" max="16" width="14.44140625" style="30" customWidth="1"/>
    <col min="17" max="17" width="16.109375" style="30" customWidth="1"/>
    <col min="18" max="18" width="11.44140625" style="30" bestFit="1" customWidth="1"/>
    <col min="19" max="19" width="9.33203125" style="30" bestFit="1" customWidth="1"/>
    <col min="20" max="119" width="9.109375" style="30"/>
    <col min="120" max="193" width="9.109375" style="19"/>
    <col min="194" max="16384" width="9.109375" style="10"/>
  </cols>
  <sheetData>
    <row r="1" spans="1:119" ht="12.75" hidden="1" customHeight="1" x14ac:dyDescent="0.25">
      <c r="A1" s="80"/>
      <c r="B1" s="28"/>
      <c r="C1" s="28"/>
      <c r="D1" s="28"/>
      <c r="E1" s="28"/>
      <c r="F1" s="28"/>
      <c r="G1" s="28"/>
      <c r="H1" s="29"/>
      <c r="I1" s="29"/>
      <c r="J1" s="29"/>
      <c r="K1" s="28"/>
      <c r="L1" s="28"/>
      <c r="M1" s="28"/>
    </row>
    <row r="2" spans="1:119" ht="12.75" hidden="1" customHeight="1" x14ac:dyDescent="0.25"/>
    <row r="3" spans="1:119" ht="12.75" customHeight="1" x14ac:dyDescent="0.25"/>
    <row r="4" spans="1:119" ht="12.75" customHeight="1" x14ac:dyDescent="0.25"/>
    <row r="5" spans="1:119" ht="6" customHeight="1" x14ac:dyDescent="0.25"/>
    <row r="6" spans="1:119" ht="25.5" customHeight="1" x14ac:dyDescent="0.3">
      <c r="A6" s="1645" t="s">
        <v>74</v>
      </c>
      <c r="B6" s="1645"/>
      <c r="C6" s="1645"/>
      <c r="D6" s="1645"/>
      <c r="E6" s="1645"/>
      <c r="F6" s="1645"/>
      <c r="G6" s="1645"/>
      <c r="H6" s="1645"/>
      <c r="I6" s="1645"/>
      <c r="J6" s="1645"/>
      <c r="K6" s="1645"/>
      <c r="L6" s="1645"/>
      <c r="M6" s="1645"/>
      <c r="N6" s="1645"/>
      <c r="O6" s="1645"/>
      <c r="P6" s="1645"/>
      <c r="Q6" s="1645"/>
    </row>
    <row r="7" spans="1:119" ht="12.75" customHeight="1" x14ac:dyDescent="0.25"/>
    <row r="8" spans="1:119" ht="12.75" customHeight="1" x14ac:dyDescent="0.25"/>
    <row r="9" spans="1:119" ht="12.75" customHeight="1" thickBot="1" x14ac:dyDescent="0.3"/>
    <row r="10" spans="1:119" s="20" customFormat="1" ht="45.75" customHeight="1" thickBot="1" x14ac:dyDescent="0.3">
      <c r="A10" s="1650" t="s">
        <v>784</v>
      </c>
      <c r="B10" s="1652" t="s">
        <v>667</v>
      </c>
      <c r="C10" s="1653"/>
      <c r="D10" s="1654"/>
      <c r="E10" s="1652" t="s">
        <v>127</v>
      </c>
      <c r="F10" s="1653"/>
      <c r="G10" s="1654"/>
      <c r="H10" s="1655" t="s">
        <v>137</v>
      </c>
      <c r="I10" s="1656"/>
      <c r="J10" s="1657"/>
      <c r="K10" s="1652" t="s">
        <v>466</v>
      </c>
      <c r="L10" s="1658"/>
      <c r="M10" s="1654"/>
      <c r="N10" s="442"/>
      <c r="O10" s="1652" t="s">
        <v>664</v>
      </c>
      <c r="P10" s="1653"/>
      <c r="Q10" s="1654"/>
      <c r="R10" s="963"/>
      <c r="S10" s="963"/>
      <c r="T10" s="963"/>
      <c r="U10" s="963"/>
      <c r="V10" s="963"/>
      <c r="W10" s="963"/>
      <c r="X10" s="963"/>
      <c r="Y10" s="963"/>
      <c r="Z10" s="963"/>
      <c r="AA10" s="963"/>
      <c r="AB10" s="963"/>
      <c r="AC10" s="963"/>
      <c r="AD10" s="963"/>
      <c r="AE10" s="963"/>
      <c r="AF10" s="963"/>
      <c r="AG10" s="963"/>
      <c r="AH10" s="963"/>
      <c r="AI10" s="963"/>
      <c r="AJ10" s="963"/>
      <c r="AK10" s="963"/>
      <c r="AL10" s="963"/>
      <c r="AM10" s="963"/>
      <c r="AN10" s="963"/>
      <c r="AO10" s="963"/>
      <c r="AP10" s="963"/>
      <c r="AQ10" s="963"/>
      <c r="AR10" s="963"/>
      <c r="AS10" s="963"/>
      <c r="AT10" s="963"/>
      <c r="AU10" s="963"/>
      <c r="AV10" s="963"/>
      <c r="AW10" s="963"/>
      <c r="AX10" s="963"/>
      <c r="AY10" s="963"/>
      <c r="AZ10" s="963"/>
      <c r="BA10" s="963"/>
      <c r="BB10" s="963"/>
      <c r="BC10" s="963"/>
      <c r="BD10" s="963"/>
      <c r="BE10" s="963"/>
      <c r="BF10" s="963"/>
      <c r="BG10" s="963"/>
      <c r="BH10" s="963"/>
      <c r="BI10" s="963"/>
      <c r="BJ10" s="963"/>
      <c r="BK10" s="963"/>
      <c r="BL10" s="963"/>
      <c r="BM10" s="963"/>
      <c r="BN10" s="963"/>
      <c r="BO10" s="963"/>
      <c r="BP10" s="963"/>
      <c r="BQ10" s="963"/>
      <c r="BR10" s="963"/>
      <c r="BS10" s="963"/>
      <c r="BT10" s="963"/>
      <c r="BU10" s="963"/>
      <c r="BV10" s="963"/>
      <c r="BW10" s="963"/>
      <c r="BX10" s="963"/>
      <c r="BY10" s="963"/>
      <c r="BZ10" s="963"/>
      <c r="CA10" s="963"/>
      <c r="CB10" s="963"/>
      <c r="CC10" s="963"/>
      <c r="CD10" s="963"/>
      <c r="CE10" s="963"/>
      <c r="CF10" s="963"/>
      <c r="CG10" s="963"/>
      <c r="CH10" s="963"/>
      <c r="CI10" s="963"/>
      <c r="CJ10" s="963"/>
      <c r="CK10" s="963"/>
      <c r="CL10" s="963"/>
      <c r="CM10" s="963"/>
      <c r="CN10" s="963"/>
      <c r="CO10" s="963"/>
      <c r="CP10" s="963"/>
      <c r="CQ10" s="963"/>
      <c r="CR10" s="963"/>
      <c r="CS10" s="963"/>
      <c r="CT10" s="963"/>
      <c r="CU10" s="963"/>
      <c r="CV10" s="963"/>
      <c r="CW10" s="963"/>
      <c r="CX10" s="963"/>
      <c r="CY10" s="963"/>
      <c r="CZ10" s="963"/>
      <c r="DA10" s="963"/>
      <c r="DB10" s="963"/>
      <c r="DC10" s="963"/>
      <c r="DD10" s="963"/>
      <c r="DE10" s="963"/>
      <c r="DF10" s="963"/>
      <c r="DG10" s="963"/>
      <c r="DH10" s="963"/>
      <c r="DI10" s="963"/>
      <c r="DJ10" s="963"/>
      <c r="DK10" s="963"/>
      <c r="DL10" s="963"/>
      <c r="DM10" s="963"/>
      <c r="DN10" s="963"/>
      <c r="DO10" s="963"/>
    </row>
    <row r="11" spans="1:119" s="25" customFormat="1" ht="59.25" customHeight="1" thickBot="1" x14ac:dyDescent="0.3">
      <c r="A11" s="1651"/>
      <c r="B11" s="852" t="s">
        <v>191</v>
      </c>
      <c r="C11" s="767" t="s">
        <v>357</v>
      </c>
      <c r="D11" s="853" t="s">
        <v>358</v>
      </c>
      <c r="E11" s="852" t="s">
        <v>191</v>
      </c>
      <c r="F11" s="767" t="s">
        <v>357</v>
      </c>
      <c r="G11" s="853" t="s">
        <v>358</v>
      </c>
      <c r="H11" s="852" t="s">
        <v>191</v>
      </c>
      <c r="I11" s="767" t="s">
        <v>357</v>
      </c>
      <c r="J11" s="853" t="s">
        <v>358</v>
      </c>
      <c r="K11" s="852" t="s">
        <v>191</v>
      </c>
      <c r="L11" s="767" t="s">
        <v>357</v>
      </c>
      <c r="M11" s="853" t="s">
        <v>358</v>
      </c>
      <c r="N11" s="397"/>
      <c r="O11" s="852" t="s">
        <v>191</v>
      </c>
      <c r="P11" s="767" t="s">
        <v>357</v>
      </c>
      <c r="Q11" s="853" t="s">
        <v>358</v>
      </c>
      <c r="R11" s="964"/>
      <c r="S11" s="964"/>
      <c r="T11" s="964"/>
      <c r="U11" s="964"/>
      <c r="V11" s="964"/>
      <c r="W11" s="964"/>
      <c r="X11" s="964"/>
      <c r="Y11" s="964"/>
      <c r="Z11" s="964"/>
      <c r="AA11" s="964"/>
      <c r="AB11" s="964"/>
      <c r="AC11" s="964"/>
      <c r="AD11" s="964"/>
      <c r="AE11" s="964"/>
      <c r="AF11" s="964"/>
      <c r="AG11" s="964"/>
      <c r="AH11" s="964"/>
      <c r="AI11" s="964"/>
      <c r="AJ11" s="964"/>
      <c r="AK11" s="964"/>
      <c r="AL11" s="964"/>
      <c r="AM11" s="964"/>
      <c r="AN11" s="964"/>
      <c r="AO11" s="964"/>
      <c r="AP11" s="964"/>
      <c r="AQ11" s="964"/>
      <c r="AR11" s="964"/>
      <c r="AS11" s="964"/>
      <c r="AT11" s="964"/>
      <c r="AU11" s="964"/>
      <c r="AV11" s="964"/>
      <c r="AW11" s="964"/>
      <c r="AX11" s="964"/>
      <c r="AY11" s="964"/>
      <c r="AZ11" s="964"/>
      <c r="BA11" s="964"/>
      <c r="BB11" s="964"/>
      <c r="BC11" s="964"/>
      <c r="BD11" s="964"/>
      <c r="BE11" s="964"/>
      <c r="BF11" s="964"/>
      <c r="BG11" s="964"/>
      <c r="BH11" s="964"/>
      <c r="BI11" s="964"/>
      <c r="BJ11" s="964"/>
      <c r="BK11" s="964"/>
      <c r="BL11" s="964"/>
      <c r="BM11" s="964"/>
      <c r="BN11" s="964"/>
      <c r="BO11" s="964"/>
      <c r="BP11" s="964"/>
      <c r="BQ11" s="964"/>
      <c r="BR11" s="964"/>
      <c r="BS11" s="964"/>
      <c r="BT11" s="964"/>
      <c r="BU11" s="964"/>
      <c r="BV11" s="964"/>
      <c r="BW11" s="964"/>
      <c r="BX11" s="964"/>
      <c r="BY11" s="964"/>
      <c r="BZ11" s="964"/>
      <c r="CA11" s="964"/>
      <c r="CB11" s="964"/>
      <c r="CC11" s="964"/>
      <c r="CD11" s="964"/>
      <c r="CE11" s="964"/>
      <c r="CF11" s="964"/>
      <c r="CG11" s="964"/>
      <c r="CH11" s="964"/>
      <c r="CI11" s="964"/>
      <c r="CJ11" s="964"/>
      <c r="CK11" s="964"/>
      <c r="CL11" s="964"/>
      <c r="CM11" s="964"/>
      <c r="CN11" s="964"/>
      <c r="CO11" s="964"/>
      <c r="CP11" s="964"/>
      <c r="CQ11" s="964"/>
      <c r="CR11" s="964"/>
      <c r="CS11" s="964"/>
      <c r="CT11" s="964"/>
      <c r="CU11" s="964"/>
      <c r="CV11" s="964"/>
      <c r="CW11" s="964"/>
      <c r="CX11" s="964"/>
      <c r="CY11" s="964"/>
      <c r="CZ11" s="964"/>
      <c r="DA11" s="964"/>
      <c r="DB11" s="964"/>
      <c r="DC11" s="964"/>
      <c r="DD11" s="964"/>
      <c r="DE11" s="964"/>
      <c r="DF11" s="964"/>
      <c r="DG11" s="964"/>
      <c r="DH11" s="964"/>
      <c r="DI11" s="964"/>
      <c r="DJ11" s="964"/>
      <c r="DK11" s="964"/>
      <c r="DL11" s="964"/>
      <c r="DM11" s="964"/>
      <c r="DN11" s="964"/>
      <c r="DO11" s="964"/>
    </row>
    <row r="12" spans="1:119" s="21" customFormat="1" ht="26.4" x14ac:dyDescent="0.25">
      <c r="A12" s="443" t="s">
        <v>467</v>
      </c>
      <c r="B12" s="184">
        <f>B13</f>
        <v>984271</v>
      </c>
      <c r="C12" s="185">
        <f>C13</f>
        <v>984271</v>
      </c>
      <c r="D12" s="965">
        <f>C12-B12</f>
        <v>0</v>
      </c>
      <c r="E12" s="184">
        <f>E13</f>
        <v>118878941</v>
      </c>
      <c r="F12" s="185">
        <f>F13</f>
        <v>121571316</v>
      </c>
      <c r="G12" s="965">
        <f>F12-E12</f>
        <v>2692375</v>
      </c>
      <c r="H12" s="184">
        <f>H13</f>
        <v>2064422</v>
      </c>
      <c r="I12" s="185">
        <f>I13</f>
        <v>2064422</v>
      </c>
      <c r="J12" s="965">
        <f>I12-H12</f>
        <v>0</v>
      </c>
      <c r="K12" s="184">
        <f>K13</f>
        <v>121927634</v>
      </c>
      <c r="L12" s="185">
        <f>L13</f>
        <v>124620009</v>
      </c>
      <c r="M12" s="965">
        <f>L12-K12</f>
        <v>2692375</v>
      </c>
      <c r="N12" s="201">
        <f>N13+N16</f>
        <v>0</v>
      </c>
      <c r="O12" s="184">
        <f>O13+O16</f>
        <v>22871493</v>
      </c>
      <c r="P12" s="185">
        <f>P13+P16</f>
        <v>28474773</v>
      </c>
      <c r="Q12" s="965">
        <f>P12-O12</f>
        <v>5603280</v>
      </c>
      <c r="R12" s="966"/>
      <c r="S12" s="966"/>
      <c r="T12" s="966"/>
      <c r="U12" s="966"/>
      <c r="V12" s="966"/>
      <c r="W12" s="966"/>
      <c r="X12" s="966"/>
      <c r="Y12" s="966"/>
      <c r="Z12" s="966"/>
      <c r="AA12" s="966"/>
      <c r="AB12" s="966"/>
      <c r="AC12" s="966"/>
      <c r="AD12" s="966"/>
      <c r="AE12" s="966"/>
      <c r="AF12" s="966"/>
      <c r="AG12" s="966"/>
      <c r="AH12" s="966"/>
      <c r="AI12" s="966"/>
      <c r="AJ12" s="966"/>
      <c r="AK12" s="966"/>
      <c r="AL12" s="966"/>
      <c r="AM12" s="966"/>
      <c r="AN12" s="966"/>
      <c r="AO12" s="966"/>
      <c r="AP12" s="966"/>
      <c r="AQ12" s="966"/>
      <c r="AR12" s="966"/>
      <c r="AS12" s="966"/>
      <c r="AT12" s="966"/>
      <c r="AU12" s="966"/>
      <c r="AV12" s="966"/>
      <c r="AW12" s="966"/>
      <c r="AX12" s="966"/>
      <c r="AY12" s="966"/>
      <c r="AZ12" s="966"/>
      <c r="BA12" s="966"/>
      <c r="BB12" s="966"/>
      <c r="BC12" s="966"/>
      <c r="BD12" s="966"/>
      <c r="BE12" s="966"/>
      <c r="BF12" s="966"/>
      <c r="BG12" s="966"/>
      <c r="BH12" s="966"/>
      <c r="BI12" s="966"/>
      <c r="BJ12" s="966"/>
      <c r="BK12" s="966"/>
      <c r="BL12" s="966"/>
      <c r="BM12" s="966"/>
      <c r="BN12" s="966"/>
      <c r="BO12" s="966"/>
      <c r="BP12" s="966"/>
      <c r="BQ12" s="966"/>
      <c r="BR12" s="966"/>
      <c r="BS12" s="966"/>
      <c r="BT12" s="966"/>
      <c r="BU12" s="966"/>
      <c r="BV12" s="966"/>
      <c r="BW12" s="966"/>
      <c r="BX12" s="966"/>
      <c r="BY12" s="966"/>
      <c r="BZ12" s="966"/>
      <c r="CA12" s="966"/>
      <c r="CB12" s="966"/>
      <c r="CC12" s="966"/>
      <c r="CD12" s="966"/>
      <c r="CE12" s="966"/>
      <c r="CF12" s="966"/>
      <c r="CG12" s="966"/>
      <c r="CH12" s="966"/>
      <c r="CI12" s="966"/>
      <c r="CJ12" s="966"/>
      <c r="CK12" s="966"/>
      <c r="CL12" s="966"/>
      <c r="CM12" s="966"/>
      <c r="CN12" s="966"/>
      <c r="CO12" s="966"/>
      <c r="CP12" s="966"/>
      <c r="CQ12" s="966"/>
      <c r="CR12" s="966"/>
      <c r="CS12" s="966"/>
      <c r="CT12" s="966"/>
      <c r="CU12" s="966"/>
      <c r="CV12" s="966"/>
      <c r="CW12" s="966"/>
      <c r="CX12" s="966"/>
      <c r="CY12" s="966"/>
      <c r="CZ12" s="966"/>
      <c r="DA12" s="966"/>
      <c r="DB12" s="966"/>
      <c r="DC12" s="966"/>
      <c r="DD12" s="966"/>
      <c r="DE12" s="966"/>
      <c r="DF12" s="966"/>
      <c r="DG12" s="966"/>
      <c r="DH12" s="966"/>
      <c r="DI12" s="966"/>
      <c r="DJ12" s="966"/>
      <c r="DK12" s="966"/>
      <c r="DL12" s="966"/>
      <c r="DM12" s="966"/>
      <c r="DN12" s="966"/>
      <c r="DO12" s="966"/>
    </row>
    <row r="13" spans="1:119" s="20" customFormat="1" ht="26.4" x14ac:dyDescent="0.25">
      <c r="A13" s="444" t="s">
        <v>931</v>
      </c>
      <c r="B13" s="181">
        <v>984271</v>
      </c>
      <c r="C13" s="166">
        <v>984271</v>
      </c>
      <c r="D13" s="967">
        <f>C13-B13</f>
        <v>0</v>
      </c>
      <c r="E13" s="181">
        <v>118878941</v>
      </c>
      <c r="F13" s="166">
        <v>121571316</v>
      </c>
      <c r="G13" s="967">
        <f>F13-E13</f>
        <v>2692375</v>
      </c>
      <c r="H13" s="181">
        <v>2064422</v>
      </c>
      <c r="I13" s="166">
        <v>2064422</v>
      </c>
      <c r="J13" s="967">
        <f>I13-H13</f>
        <v>0</v>
      </c>
      <c r="K13" s="181">
        <f t="shared" ref="K13:L20" si="0">B13+E13+H13</f>
        <v>121927634</v>
      </c>
      <c r="L13" s="166">
        <f t="shared" si="0"/>
        <v>124620009</v>
      </c>
      <c r="M13" s="967">
        <f>L13-K13</f>
        <v>2692375</v>
      </c>
      <c r="N13" s="202"/>
      <c r="O13" s="181">
        <v>22871493</v>
      </c>
      <c r="P13" s="166">
        <v>28474773</v>
      </c>
      <c r="Q13" s="967">
        <f>P13-O13</f>
        <v>5603280</v>
      </c>
      <c r="R13" s="963"/>
      <c r="S13" s="963"/>
      <c r="T13" s="963"/>
      <c r="U13" s="963"/>
      <c r="V13" s="963"/>
      <c r="W13" s="963"/>
      <c r="X13" s="963"/>
      <c r="Y13" s="963"/>
      <c r="Z13" s="963"/>
      <c r="AA13" s="963"/>
      <c r="AB13" s="963"/>
      <c r="AC13" s="963"/>
      <c r="AD13" s="963"/>
      <c r="AE13" s="963"/>
      <c r="AF13" s="963"/>
      <c r="AG13" s="963"/>
      <c r="AH13" s="963"/>
      <c r="AI13" s="963"/>
      <c r="AJ13" s="963"/>
      <c r="AK13" s="963"/>
      <c r="AL13" s="963"/>
      <c r="AM13" s="963"/>
      <c r="AN13" s="963"/>
      <c r="AO13" s="963"/>
      <c r="AP13" s="963"/>
      <c r="AQ13" s="963"/>
      <c r="AR13" s="963"/>
      <c r="AS13" s="963"/>
      <c r="AT13" s="963"/>
      <c r="AU13" s="963"/>
      <c r="AV13" s="963"/>
      <c r="AW13" s="963"/>
      <c r="AX13" s="963"/>
      <c r="AY13" s="963"/>
      <c r="AZ13" s="963"/>
      <c r="BA13" s="963"/>
      <c r="BB13" s="963"/>
      <c r="BC13" s="963"/>
      <c r="BD13" s="963"/>
      <c r="BE13" s="963"/>
      <c r="BF13" s="963"/>
      <c r="BG13" s="963"/>
      <c r="BH13" s="963"/>
      <c r="BI13" s="963"/>
      <c r="BJ13" s="963"/>
      <c r="BK13" s="963"/>
      <c r="BL13" s="963"/>
      <c r="BM13" s="963"/>
      <c r="BN13" s="963"/>
      <c r="BO13" s="963"/>
      <c r="BP13" s="963"/>
      <c r="BQ13" s="963"/>
      <c r="BR13" s="963"/>
      <c r="BS13" s="963"/>
      <c r="BT13" s="963"/>
      <c r="BU13" s="963"/>
      <c r="BV13" s="963"/>
      <c r="BW13" s="963"/>
      <c r="BX13" s="963"/>
      <c r="BY13" s="963"/>
      <c r="BZ13" s="963"/>
      <c r="CA13" s="963"/>
      <c r="CB13" s="963"/>
      <c r="CC13" s="963"/>
      <c r="CD13" s="963"/>
      <c r="CE13" s="963"/>
      <c r="CF13" s="963"/>
      <c r="CG13" s="963"/>
      <c r="CH13" s="963"/>
      <c r="CI13" s="963"/>
      <c r="CJ13" s="963"/>
      <c r="CK13" s="963"/>
      <c r="CL13" s="963"/>
      <c r="CM13" s="963"/>
      <c r="CN13" s="963"/>
      <c r="CO13" s="963"/>
      <c r="CP13" s="963"/>
      <c r="CQ13" s="963"/>
      <c r="CR13" s="963"/>
      <c r="CS13" s="963"/>
      <c r="CT13" s="963"/>
      <c r="CU13" s="963"/>
      <c r="CV13" s="963"/>
      <c r="CW13" s="963"/>
      <c r="CX13" s="963"/>
      <c r="CY13" s="963"/>
      <c r="CZ13" s="963"/>
      <c r="DA13" s="963"/>
      <c r="DB13" s="963"/>
      <c r="DC13" s="963"/>
      <c r="DD13" s="963"/>
      <c r="DE13" s="963"/>
      <c r="DF13" s="963"/>
      <c r="DG13" s="963"/>
      <c r="DH13" s="963"/>
      <c r="DI13" s="963"/>
      <c r="DJ13" s="963"/>
      <c r="DK13" s="963"/>
      <c r="DL13" s="963"/>
      <c r="DM13" s="963"/>
      <c r="DN13" s="963"/>
      <c r="DO13" s="963"/>
    </row>
    <row r="14" spans="1:119" s="20" customFormat="1" ht="22.5" customHeight="1" x14ac:dyDescent="0.25">
      <c r="A14" s="444" t="s">
        <v>932</v>
      </c>
      <c r="B14" s="181"/>
      <c r="C14" s="166"/>
      <c r="D14" s="967">
        <f t="shared" ref="D14:D60" si="1">C14-B14</f>
        <v>0</v>
      </c>
      <c r="E14" s="181">
        <v>117000000</v>
      </c>
      <c r="F14" s="166">
        <v>119692376</v>
      </c>
      <c r="G14" s="967">
        <f t="shared" ref="G14:G60" si="2">F14-E14</f>
        <v>2692376</v>
      </c>
      <c r="H14" s="181"/>
      <c r="I14" s="166"/>
      <c r="J14" s="967">
        <f t="shared" ref="J14:J60" si="3">I14-H14</f>
        <v>0</v>
      </c>
      <c r="K14" s="181">
        <f t="shared" si="0"/>
        <v>117000000</v>
      </c>
      <c r="L14" s="166">
        <f t="shared" si="0"/>
        <v>119692376</v>
      </c>
      <c r="M14" s="967">
        <f t="shared" ref="M14:M60" si="4">L14-K14</f>
        <v>2692376</v>
      </c>
      <c r="N14" s="202"/>
      <c r="O14" s="181"/>
      <c r="P14" s="166"/>
      <c r="Q14" s="967">
        <f t="shared" ref="Q14:Q60" si="5">P14-O14</f>
        <v>0</v>
      </c>
      <c r="R14" s="963"/>
      <c r="S14" s="963"/>
      <c r="T14" s="963"/>
      <c r="U14" s="963"/>
      <c r="V14" s="963"/>
      <c r="W14" s="963"/>
      <c r="X14" s="963"/>
      <c r="Y14" s="963"/>
      <c r="Z14" s="963"/>
      <c r="AA14" s="963"/>
      <c r="AB14" s="963"/>
      <c r="AC14" s="963"/>
      <c r="AD14" s="963"/>
      <c r="AE14" s="963"/>
      <c r="AF14" s="963"/>
      <c r="AG14" s="963"/>
      <c r="AH14" s="963"/>
      <c r="AI14" s="963"/>
      <c r="AJ14" s="963"/>
      <c r="AK14" s="963"/>
      <c r="AL14" s="963"/>
      <c r="AM14" s="963"/>
      <c r="AN14" s="963"/>
      <c r="AO14" s="963"/>
      <c r="AP14" s="963"/>
      <c r="AQ14" s="963"/>
      <c r="AR14" s="963"/>
      <c r="AS14" s="963"/>
      <c r="AT14" s="963"/>
      <c r="AU14" s="963"/>
      <c r="AV14" s="963"/>
      <c r="AW14" s="963"/>
      <c r="AX14" s="963"/>
      <c r="AY14" s="963"/>
      <c r="AZ14" s="963"/>
      <c r="BA14" s="963"/>
      <c r="BB14" s="963"/>
      <c r="BC14" s="963"/>
      <c r="BD14" s="963"/>
      <c r="BE14" s="963"/>
      <c r="BF14" s="963"/>
      <c r="BG14" s="963"/>
      <c r="BH14" s="963"/>
      <c r="BI14" s="963"/>
      <c r="BJ14" s="963"/>
      <c r="BK14" s="963"/>
      <c r="BL14" s="963"/>
      <c r="BM14" s="963"/>
      <c r="BN14" s="963"/>
      <c r="BO14" s="963"/>
      <c r="BP14" s="963"/>
      <c r="BQ14" s="963"/>
      <c r="BR14" s="963"/>
      <c r="BS14" s="963"/>
      <c r="BT14" s="963"/>
      <c r="BU14" s="963"/>
      <c r="BV14" s="963"/>
      <c r="BW14" s="963"/>
      <c r="BX14" s="963"/>
      <c r="BY14" s="963"/>
      <c r="BZ14" s="963"/>
      <c r="CA14" s="963"/>
      <c r="CB14" s="963"/>
      <c r="CC14" s="963"/>
      <c r="CD14" s="963"/>
      <c r="CE14" s="963"/>
      <c r="CF14" s="963"/>
      <c r="CG14" s="963"/>
      <c r="CH14" s="963"/>
      <c r="CI14" s="963"/>
      <c r="CJ14" s="963"/>
      <c r="CK14" s="963"/>
      <c r="CL14" s="963"/>
      <c r="CM14" s="963"/>
      <c r="CN14" s="963"/>
      <c r="CO14" s="963"/>
      <c r="CP14" s="963"/>
      <c r="CQ14" s="963"/>
      <c r="CR14" s="963"/>
      <c r="CS14" s="963"/>
      <c r="CT14" s="963"/>
      <c r="CU14" s="963"/>
      <c r="CV14" s="963"/>
      <c r="CW14" s="963"/>
      <c r="CX14" s="963"/>
      <c r="CY14" s="963"/>
      <c r="CZ14" s="963"/>
      <c r="DA14" s="963"/>
      <c r="DB14" s="963"/>
      <c r="DC14" s="963"/>
      <c r="DD14" s="963"/>
      <c r="DE14" s="963"/>
      <c r="DF14" s="963"/>
      <c r="DG14" s="963"/>
      <c r="DH14" s="963"/>
      <c r="DI14" s="963"/>
      <c r="DJ14" s="963"/>
      <c r="DK14" s="963"/>
      <c r="DL14" s="963"/>
      <c r="DM14" s="963"/>
      <c r="DN14" s="963"/>
      <c r="DO14" s="963"/>
    </row>
    <row r="15" spans="1:119" s="21" customFormat="1" ht="23.25" customHeight="1" x14ac:dyDescent="0.25">
      <c r="A15" s="445" t="s">
        <v>887</v>
      </c>
      <c r="B15" s="180">
        <f>B16</f>
        <v>0</v>
      </c>
      <c r="C15" s="133">
        <f>C16</f>
        <v>0</v>
      </c>
      <c r="D15" s="968">
        <f t="shared" si="1"/>
        <v>0</v>
      </c>
      <c r="E15" s="180">
        <f>E16</f>
        <v>0</v>
      </c>
      <c r="F15" s="133">
        <f>F16</f>
        <v>435539</v>
      </c>
      <c r="G15" s="968">
        <f t="shared" si="2"/>
        <v>435539</v>
      </c>
      <c r="H15" s="180">
        <f>H16</f>
        <v>0</v>
      </c>
      <c r="I15" s="133">
        <f>I16</f>
        <v>0</v>
      </c>
      <c r="J15" s="968">
        <f t="shared" si="3"/>
        <v>0</v>
      </c>
      <c r="K15" s="180">
        <f t="shared" si="0"/>
        <v>0</v>
      </c>
      <c r="L15" s="133">
        <f t="shared" si="0"/>
        <v>435539</v>
      </c>
      <c r="M15" s="968">
        <f t="shared" si="4"/>
        <v>435539</v>
      </c>
      <c r="N15" s="197">
        <f>N16</f>
        <v>0</v>
      </c>
      <c r="O15" s="180"/>
      <c r="P15" s="133"/>
      <c r="Q15" s="968">
        <f t="shared" si="5"/>
        <v>0</v>
      </c>
      <c r="R15" s="966"/>
      <c r="S15" s="966"/>
      <c r="T15" s="966"/>
      <c r="U15" s="966"/>
      <c r="V15" s="966"/>
      <c r="W15" s="966"/>
      <c r="X15" s="966"/>
      <c r="Y15" s="966"/>
      <c r="Z15" s="966"/>
      <c r="AA15" s="966"/>
      <c r="AB15" s="966"/>
      <c r="AC15" s="966"/>
      <c r="AD15" s="966"/>
      <c r="AE15" s="966"/>
      <c r="AF15" s="966"/>
      <c r="AG15" s="966"/>
      <c r="AH15" s="966"/>
      <c r="AI15" s="966"/>
      <c r="AJ15" s="966"/>
      <c r="AK15" s="966"/>
      <c r="AL15" s="966"/>
      <c r="AM15" s="966"/>
      <c r="AN15" s="966"/>
      <c r="AO15" s="966"/>
      <c r="AP15" s="966"/>
      <c r="AQ15" s="966"/>
      <c r="AR15" s="966"/>
      <c r="AS15" s="966"/>
      <c r="AT15" s="966"/>
      <c r="AU15" s="966"/>
      <c r="AV15" s="966"/>
      <c r="AW15" s="966"/>
      <c r="AX15" s="966"/>
      <c r="AY15" s="966"/>
      <c r="AZ15" s="966"/>
      <c r="BA15" s="966"/>
      <c r="BB15" s="966"/>
      <c r="BC15" s="966"/>
      <c r="BD15" s="966"/>
      <c r="BE15" s="966"/>
      <c r="BF15" s="966"/>
      <c r="BG15" s="966"/>
      <c r="BH15" s="966"/>
      <c r="BI15" s="966"/>
      <c r="BJ15" s="966"/>
      <c r="BK15" s="966"/>
      <c r="BL15" s="966"/>
      <c r="BM15" s="966"/>
      <c r="BN15" s="966"/>
      <c r="BO15" s="966"/>
      <c r="BP15" s="966"/>
      <c r="BQ15" s="966"/>
      <c r="BR15" s="966"/>
      <c r="BS15" s="966"/>
      <c r="BT15" s="966"/>
      <c r="BU15" s="966"/>
      <c r="BV15" s="966"/>
      <c r="BW15" s="966"/>
      <c r="BX15" s="966"/>
      <c r="BY15" s="966"/>
      <c r="BZ15" s="966"/>
      <c r="CA15" s="966"/>
      <c r="CB15" s="966"/>
      <c r="CC15" s="966"/>
      <c r="CD15" s="966"/>
      <c r="CE15" s="966"/>
      <c r="CF15" s="966"/>
      <c r="CG15" s="966"/>
      <c r="CH15" s="966"/>
      <c r="CI15" s="966"/>
      <c r="CJ15" s="966"/>
      <c r="CK15" s="966"/>
      <c r="CL15" s="966"/>
      <c r="CM15" s="966"/>
      <c r="CN15" s="966"/>
      <c r="CO15" s="966"/>
      <c r="CP15" s="966"/>
      <c r="CQ15" s="966"/>
      <c r="CR15" s="966"/>
      <c r="CS15" s="966"/>
      <c r="CT15" s="966"/>
      <c r="CU15" s="966"/>
      <c r="CV15" s="966"/>
      <c r="CW15" s="966"/>
      <c r="CX15" s="966"/>
      <c r="CY15" s="966"/>
      <c r="CZ15" s="966"/>
      <c r="DA15" s="966"/>
      <c r="DB15" s="966"/>
      <c r="DC15" s="966"/>
      <c r="DD15" s="966"/>
      <c r="DE15" s="966"/>
      <c r="DF15" s="966"/>
      <c r="DG15" s="966"/>
      <c r="DH15" s="966"/>
      <c r="DI15" s="966"/>
      <c r="DJ15" s="966"/>
      <c r="DK15" s="966"/>
      <c r="DL15" s="966"/>
      <c r="DM15" s="966"/>
      <c r="DN15" s="966"/>
      <c r="DO15" s="966"/>
    </row>
    <row r="16" spans="1:119" s="20" customFormat="1" ht="26.4" x14ac:dyDescent="0.25">
      <c r="A16" s="444" t="s">
        <v>937</v>
      </c>
      <c r="B16" s="181"/>
      <c r="C16" s="166"/>
      <c r="D16" s="967">
        <f t="shared" si="1"/>
        <v>0</v>
      </c>
      <c r="E16" s="181"/>
      <c r="F16" s="166">
        <v>435539</v>
      </c>
      <c r="G16" s="967">
        <f t="shared" si="2"/>
        <v>435539</v>
      </c>
      <c r="H16" s="181"/>
      <c r="I16" s="166"/>
      <c r="J16" s="967">
        <f t="shared" si="3"/>
        <v>0</v>
      </c>
      <c r="K16" s="181">
        <f t="shared" si="0"/>
        <v>0</v>
      </c>
      <c r="L16" s="166">
        <f t="shared" si="0"/>
        <v>435539</v>
      </c>
      <c r="M16" s="967">
        <f t="shared" si="4"/>
        <v>435539</v>
      </c>
      <c r="N16" s="202"/>
      <c r="O16" s="181"/>
      <c r="P16" s="166"/>
      <c r="Q16" s="967">
        <f t="shared" si="5"/>
        <v>0</v>
      </c>
      <c r="R16" s="963"/>
      <c r="S16" s="963"/>
      <c r="T16" s="963"/>
      <c r="U16" s="963"/>
      <c r="V16" s="963"/>
      <c r="W16" s="963"/>
      <c r="X16" s="963"/>
      <c r="Y16" s="963"/>
      <c r="Z16" s="963"/>
      <c r="AA16" s="963"/>
      <c r="AB16" s="963"/>
      <c r="AC16" s="963"/>
      <c r="AD16" s="963"/>
      <c r="AE16" s="963"/>
      <c r="AF16" s="963"/>
      <c r="AG16" s="963"/>
      <c r="AH16" s="963"/>
      <c r="AI16" s="963"/>
      <c r="AJ16" s="963"/>
      <c r="AK16" s="963"/>
      <c r="AL16" s="963"/>
      <c r="AM16" s="963"/>
      <c r="AN16" s="963"/>
      <c r="AO16" s="963"/>
      <c r="AP16" s="963"/>
      <c r="AQ16" s="963"/>
      <c r="AR16" s="963"/>
      <c r="AS16" s="963"/>
      <c r="AT16" s="963"/>
      <c r="AU16" s="963"/>
      <c r="AV16" s="963"/>
      <c r="AW16" s="963"/>
      <c r="AX16" s="963"/>
      <c r="AY16" s="963"/>
      <c r="AZ16" s="963"/>
      <c r="BA16" s="963"/>
      <c r="BB16" s="963"/>
      <c r="BC16" s="963"/>
      <c r="BD16" s="963"/>
      <c r="BE16" s="963"/>
      <c r="BF16" s="963"/>
      <c r="BG16" s="963"/>
      <c r="BH16" s="963"/>
      <c r="BI16" s="963"/>
      <c r="BJ16" s="963"/>
      <c r="BK16" s="963"/>
      <c r="BL16" s="963"/>
      <c r="BM16" s="963"/>
      <c r="BN16" s="963"/>
      <c r="BO16" s="963"/>
      <c r="BP16" s="963"/>
      <c r="BQ16" s="963"/>
      <c r="BR16" s="963"/>
      <c r="BS16" s="963"/>
      <c r="BT16" s="963"/>
      <c r="BU16" s="963"/>
      <c r="BV16" s="963"/>
      <c r="BW16" s="963"/>
      <c r="BX16" s="963"/>
      <c r="BY16" s="963"/>
      <c r="BZ16" s="963"/>
      <c r="CA16" s="963"/>
      <c r="CB16" s="963"/>
      <c r="CC16" s="963"/>
      <c r="CD16" s="963"/>
      <c r="CE16" s="963"/>
      <c r="CF16" s="963"/>
      <c r="CG16" s="963"/>
      <c r="CH16" s="963"/>
      <c r="CI16" s="963"/>
      <c r="CJ16" s="963"/>
      <c r="CK16" s="963"/>
      <c r="CL16" s="963"/>
      <c r="CM16" s="963"/>
      <c r="CN16" s="963"/>
      <c r="CO16" s="963"/>
      <c r="CP16" s="963"/>
      <c r="CQ16" s="963"/>
      <c r="CR16" s="963"/>
      <c r="CS16" s="963"/>
      <c r="CT16" s="963"/>
      <c r="CU16" s="963"/>
      <c r="CV16" s="963"/>
      <c r="CW16" s="963"/>
      <c r="CX16" s="963"/>
      <c r="CY16" s="963"/>
      <c r="CZ16" s="963"/>
      <c r="DA16" s="963"/>
      <c r="DB16" s="963"/>
      <c r="DC16" s="963"/>
      <c r="DD16" s="963"/>
      <c r="DE16" s="963"/>
      <c r="DF16" s="963"/>
      <c r="DG16" s="963"/>
      <c r="DH16" s="963"/>
      <c r="DI16" s="963"/>
      <c r="DJ16" s="963"/>
      <c r="DK16" s="963"/>
      <c r="DL16" s="963"/>
      <c r="DM16" s="963"/>
      <c r="DN16" s="963"/>
      <c r="DO16" s="963"/>
    </row>
    <row r="17" spans="1:119" s="21" customFormat="1" x14ac:dyDescent="0.25">
      <c r="A17" s="446" t="s">
        <v>468</v>
      </c>
      <c r="B17" s="180"/>
      <c r="C17" s="133"/>
      <c r="D17" s="968">
        <f t="shared" si="1"/>
        <v>0</v>
      </c>
      <c r="E17" s="180"/>
      <c r="F17" s="133"/>
      <c r="G17" s="968">
        <f t="shared" si="2"/>
        <v>0</v>
      </c>
      <c r="H17" s="180"/>
      <c r="I17" s="133"/>
      <c r="J17" s="968">
        <f t="shared" si="3"/>
        <v>0</v>
      </c>
      <c r="K17" s="180">
        <f t="shared" si="0"/>
        <v>0</v>
      </c>
      <c r="L17" s="133">
        <f t="shared" si="0"/>
        <v>0</v>
      </c>
      <c r="M17" s="968">
        <f t="shared" si="4"/>
        <v>0</v>
      </c>
      <c r="N17" s="197" t="e">
        <f>#REF!+#REF!+#REF!+#REF!+#REF!</f>
        <v>#REF!</v>
      </c>
      <c r="O17" s="207">
        <f>SUM(O18:O20)</f>
        <v>1000000</v>
      </c>
      <c r="P17" s="88">
        <f>SUM(P18:P20)</f>
        <v>1000000</v>
      </c>
      <c r="Q17" s="968">
        <f t="shared" si="5"/>
        <v>0</v>
      </c>
      <c r="R17" s="966"/>
      <c r="S17" s="966"/>
      <c r="T17" s="966"/>
      <c r="U17" s="966"/>
      <c r="V17" s="966"/>
      <c r="W17" s="966"/>
      <c r="X17" s="966"/>
      <c r="Y17" s="966"/>
      <c r="Z17" s="966"/>
      <c r="AA17" s="966"/>
      <c r="AB17" s="966"/>
      <c r="AC17" s="966"/>
      <c r="AD17" s="966"/>
      <c r="AE17" s="966"/>
      <c r="AF17" s="966"/>
      <c r="AG17" s="966"/>
      <c r="AH17" s="966"/>
      <c r="AI17" s="966"/>
      <c r="AJ17" s="966"/>
      <c r="AK17" s="966"/>
      <c r="AL17" s="966"/>
      <c r="AM17" s="966"/>
      <c r="AN17" s="966"/>
      <c r="AO17" s="966"/>
      <c r="AP17" s="966"/>
      <c r="AQ17" s="966"/>
      <c r="AR17" s="966"/>
      <c r="AS17" s="966"/>
      <c r="AT17" s="966"/>
      <c r="AU17" s="966"/>
      <c r="AV17" s="966"/>
      <c r="AW17" s="966"/>
      <c r="AX17" s="966"/>
      <c r="AY17" s="966"/>
      <c r="AZ17" s="966"/>
      <c r="BA17" s="966"/>
      <c r="BB17" s="966"/>
      <c r="BC17" s="966"/>
      <c r="BD17" s="966"/>
      <c r="BE17" s="966"/>
      <c r="BF17" s="966"/>
      <c r="BG17" s="966"/>
      <c r="BH17" s="966"/>
      <c r="BI17" s="966"/>
      <c r="BJ17" s="966"/>
      <c r="BK17" s="966"/>
      <c r="BL17" s="966"/>
      <c r="BM17" s="966"/>
      <c r="BN17" s="966"/>
      <c r="BO17" s="966"/>
      <c r="BP17" s="966"/>
      <c r="BQ17" s="966"/>
      <c r="BR17" s="966"/>
      <c r="BS17" s="966"/>
      <c r="BT17" s="966"/>
      <c r="BU17" s="966"/>
      <c r="BV17" s="966"/>
      <c r="BW17" s="966"/>
      <c r="BX17" s="966"/>
      <c r="BY17" s="966"/>
      <c r="BZ17" s="966"/>
      <c r="CA17" s="966"/>
      <c r="CB17" s="966"/>
      <c r="CC17" s="966"/>
      <c r="CD17" s="966"/>
      <c r="CE17" s="966"/>
      <c r="CF17" s="966"/>
      <c r="CG17" s="966"/>
      <c r="CH17" s="966"/>
      <c r="CI17" s="966"/>
      <c r="CJ17" s="966"/>
      <c r="CK17" s="966"/>
      <c r="CL17" s="966"/>
      <c r="CM17" s="966"/>
      <c r="CN17" s="966"/>
      <c r="CO17" s="966"/>
      <c r="CP17" s="966"/>
      <c r="CQ17" s="966"/>
      <c r="CR17" s="966"/>
      <c r="CS17" s="966"/>
      <c r="CT17" s="966"/>
      <c r="CU17" s="966"/>
      <c r="CV17" s="966"/>
      <c r="CW17" s="966"/>
      <c r="CX17" s="966"/>
      <c r="CY17" s="966"/>
      <c r="CZ17" s="966"/>
      <c r="DA17" s="966"/>
      <c r="DB17" s="966"/>
      <c r="DC17" s="966"/>
      <c r="DD17" s="966"/>
      <c r="DE17" s="966"/>
      <c r="DF17" s="966"/>
      <c r="DG17" s="966"/>
      <c r="DH17" s="966"/>
      <c r="DI17" s="966"/>
      <c r="DJ17" s="966"/>
      <c r="DK17" s="966"/>
      <c r="DL17" s="966"/>
      <c r="DM17" s="966"/>
      <c r="DN17" s="966"/>
      <c r="DO17" s="966"/>
    </row>
    <row r="18" spans="1:119" s="20" customFormat="1" x14ac:dyDescent="0.25">
      <c r="A18" s="444" t="s">
        <v>938</v>
      </c>
      <c r="B18" s="181"/>
      <c r="C18" s="166"/>
      <c r="D18" s="967">
        <f t="shared" si="1"/>
        <v>0</v>
      </c>
      <c r="E18" s="181"/>
      <c r="F18" s="166"/>
      <c r="G18" s="967">
        <f t="shared" si="2"/>
        <v>0</v>
      </c>
      <c r="H18" s="181"/>
      <c r="I18" s="166"/>
      <c r="J18" s="967">
        <f t="shared" si="3"/>
        <v>0</v>
      </c>
      <c r="K18" s="181">
        <f t="shared" si="0"/>
        <v>0</v>
      </c>
      <c r="L18" s="166">
        <f t="shared" si="0"/>
        <v>0</v>
      </c>
      <c r="M18" s="967">
        <f t="shared" si="4"/>
        <v>0</v>
      </c>
      <c r="N18" s="203" t="e">
        <f>#REF!+#REF!+#REF!+#REF!+#REF!+#REF!+#REF!+#REF!+#REF!+#REF!+#REF!+#REF!+#REF!+#REF!+#REF!</f>
        <v>#REF!</v>
      </c>
      <c r="O18" s="181"/>
      <c r="P18" s="166"/>
      <c r="Q18" s="967">
        <f t="shared" si="5"/>
        <v>0</v>
      </c>
      <c r="R18" s="963"/>
      <c r="S18" s="963"/>
      <c r="T18" s="963"/>
      <c r="U18" s="963"/>
      <c r="V18" s="963"/>
      <c r="W18" s="963"/>
      <c r="X18" s="963"/>
      <c r="Y18" s="963"/>
      <c r="Z18" s="963"/>
      <c r="AA18" s="963"/>
      <c r="AB18" s="963"/>
      <c r="AC18" s="963"/>
      <c r="AD18" s="963"/>
      <c r="AE18" s="963"/>
      <c r="AF18" s="963"/>
      <c r="AG18" s="963"/>
      <c r="AH18" s="963"/>
      <c r="AI18" s="963"/>
      <c r="AJ18" s="963"/>
      <c r="AK18" s="963"/>
      <c r="AL18" s="963"/>
      <c r="AM18" s="963"/>
      <c r="AN18" s="963"/>
      <c r="AO18" s="963"/>
      <c r="AP18" s="963"/>
      <c r="AQ18" s="963"/>
      <c r="AR18" s="963"/>
      <c r="AS18" s="963"/>
      <c r="AT18" s="963"/>
      <c r="AU18" s="963"/>
      <c r="AV18" s="963"/>
      <c r="AW18" s="963"/>
      <c r="AX18" s="963"/>
      <c r="AY18" s="963"/>
      <c r="AZ18" s="963"/>
      <c r="BA18" s="963"/>
      <c r="BB18" s="963"/>
      <c r="BC18" s="963"/>
      <c r="BD18" s="963"/>
      <c r="BE18" s="963"/>
      <c r="BF18" s="963"/>
      <c r="BG18" s="963"/>
      <c r="BH18" s="963"/>
      <c r="BI18" s="963"/>
      <c r="BJ18" s="963"/>
      <c r="BK18" s="963"/>
      <c r="BL18" s="963"/>
      <c r="BM18" s="963"/>
      <c r="BN18" s="963"/>
      <c r="BO18" s="963"/>
      <c r="BP18" s="963"/>
      <c r="BQ18" s="963"/>
      <c r="BR18" s="963"/>
      <c r="BS18" s="963"/>
      <c r="BT18" s="963"/>
      <c r="BU18" s="963"/>
      <c r="BV18" s="963"/>
      <c r="BW18" s="963"/>
      <c r="BX18" s="963"/>
      <c r="BY18" s="963"/>
      <c r="BZ18" s="963"/>
      <c r="CA18" s="963"/>
      <c r="CB18" s="963"/>
      <c r="CC18" s="963"/>
      <c r="CD18" s="963"/>
      <c r="CE18" s="963"/>
      <c r="CF18" s="963"/>
      <c r="CG18" s="963"/>
      <c r="CH18" s="963"/>
      <c r="CI18" s="963"/>
      <c r="CJ18" s="963"/>
      <c r="CK18" s="963"/>
      <c r="CL18" s="963"/>
      <c r="CM18" s="963"/>
      <c r="CN18" s="963"/>
      <c r="CO18" s="963"/>
      <c r="CP18" s="963"/>
      <c r="CQ18" s="963"/>
      <c r="CR18" s="963"/>
      <c r="CS18" s="963"/>
      <c r="CT18" s="963"/>
      <c r="CU18" s="963"/>
      <c r="CV18" s="963"/>
      <c r="CW18" s="963"/>
      <c r="CX18" s="963"/>
      <c r="CY18" s="963"/>
      <c r="CZ18" s="963"/>
      <c r="DA18" s="963"/>
      <c r="DB18" s="963"/>
      <c r="DC18" s="963"/>
      <c r="DD18" s="963"/>
      <c r="DE18" s="963"/>
      <c r="DF18" s="963"/>
      <c r="DG18" s="963"/>
      <c r="DH18" s="963"/>
      <c r="DI18" s="963"/>
      <c r="DJ18" s="963"/>
      <c r="DK18" s="963"/>
      <c r="DL18" s="963"/>
      <c r="DM18" s="963"/>
      <c r="DN18" s="963"/>
      <c r="DO18" s="963"/>
    </row>
    <row r="19" spans="1:119" s="20" customFormat="1" x14ac:dyDescent="0.25">
      <c r="A19" s="444" t="s">
        <v>941</v>
      </c>
      <c r="B19" s="181"/>
      <c r="C19" s="166"/>
      <c r="D19" s="967">
        <f t="shared" si="1"/>
        <v>0</v>
      </c>
      <c r="E19" s="181"/>
      <c r="F19" s="166"/>
      <c r="G19" s="967">
        <f t="shared" si="2"/>
        <v>0</v>
      </c>
      <c r="H19" s="181"/>
      <c r="I19" s="166"/>
      <c r="J19" s="967">
        <f t="shared" si="3"/>
        <v>0</v>
      </c>
      <c r="K19" s="181">
        <f t="shared" si="0"/>
        <v>0</v>
      </c>
      <c r="L19" s="166">
        <f t="shared" si="0"/>
        <v>0</v>
      </c>
      <c r="M19" s="967">
        <f t="shared" si="4"/>
        <v>0</v>
      </c>
      <c r="N19" s="202"/>
      <c r="O19" s="1158"/>
      <c r="P19" s="166"/>
      <c r="Q19" s="967">
        <f t="shared" si="5"/>
        <v>0</v>
      </c>
      <c r="R19" s="963"/>
      <c r="S19" s="963"/>
      <c r="T19" s="963"/>
      <c r="U19" s="963"/>
      <c r="V19" s="963"/>
      <c r="W19" s="963"/>
      <c r="X19" s="963"/>
      <c r="Y19" s="963"/>
      <c r="Z19" s="963"/>
      <c r="AA19" s="963"/>
      <c r="AB19" s="963"/>
      <c r="AC19" s="963"/>
      <c r="AD19" s="963"/>
      <c r="AE19" s="963"/>
      <c r="AF19" s="963"/>
      <c r="AG19" s="963"/>
      <c r="AH19" s="963"/>
      <c r="AI19" s="963"/>
      <c r="AJ19" s="963"/>
      <c r="AK19" s="963"/>
      <c r="AL19" s="963"/>
      <c r="AM19" s="963"/>
      <c r="AN19" s="963"/>
      <c r="AO19" s="963"/>
      <c r="AP19" s="963"/>
      <c r="AQ19" s="963"/>
      <c r="AR19" s="963"/>
      <c r="AS19" s="963"/>
      <c r="AT19" s="963"/>
      <c r="AU19" s="963"/>
      <c r="AV19" s="963"/>
      <c r="AW19" s="963"/>
      <c r="AX19" s="963"/>
      <c r="AY19" s="963"/>
      <c r="AZ19" s="963"/>
      <c r="BA19" s="963"/>
      <c r="BB19" s="963"/>
      <c r="BC19" s="963"/>
      <c r="BD19" s="963"/>
      <c r="BE19" s="963"/>
      <c r="BF19" s="963"/>
      <c r="BG19" s="963"/>
      <c r="BH19" s="963"/>
      <c r="BI19" s="963"/>
      <c r="BJ19" s="963"/>
      <c r="BK19" s="963"/>
      <c r="BL19" s="963"/>
      <c r="BM19" s="963"/>
      <c r="BN19" s="963"/>
      <c r="BO19" s="963"/>
      <c r="BP19" s="963"/>
      <c r="BQ19" s="963"/>
      <c r="BR19" s="963"/>
      <c r="BS19" s="963"/>
      <c r="BT19" s="963"/>
      <c r="BU19" s="963"/>
      <c r="BV19" s="963"/>
      <c r="BW19" s="963"/>
      <c r="BX19" s="963"/>
      <c r="BY19" s="963"/>
      <c r="BZ19" s="963"/>
      <c r="CA19" s="963"/>
      <c r="CB19" s="963"/>
      <c r="CC19" s="963"/>
      <c r="CD19" s="963"/>
      <c r="CE19" s="963"/>
      <c r="CF19" s="963"/>
      <c r="CG19" s="963"/>
      <c r="CH19" s="963"/>
      <c r="CI19" s="963"/>
      <c r="CJ19" s="963"/>
      <c r="CK19" s="963"/>
      <c r="CL19" s="963"/>
      <c r="CM19" s="963"/>
      <c r="CN19" s="963"/>
      <c r="CO19" s="963"/>
      <c r="CP19" s="963"/>
      <c r="CQ19" s="963"/>
      <c r="CR19" s="963"/>
      <c r="CS19" s="963"/>
      <c r="CT19" s="963"/>
      <c r="CU19" s="963"/>
      <c r="CV19" s="963"/>
      <c r="CW19" s="963"/>
      <c r="CX19" s="963"/>
      <c r="CY19" s="963"/>
      <c r="CZ19" s="963"/>
      <c r="DA19" s="963"/>
      <c r="DB19" s="963"/>
      <c r="DC19" s="963"/>
      <c r="DD19" s="963"/>
      <c r="DE19" s="963"/>
      <c r="DF19" s="963"/>
      <c r="DG19" s="963"/>
      <c r="DH19" s="963"/>
      <c r="DI19" s="963"/>
      <c r="DJ19" s="963"/>
      <c r="DK19" s="963"/>
      <c r="DL19" s="963"/>
      <c r="DM19" s="963"/>
      <c r="DN19" s="963"/>
      <c r="DO19" s="963"/>
    </row>
    <row r="20" spans="1:119" s="20" customFormat="1" ht="15" customHeight="1" x14ac:dyDescent="0.25">
      <c r="A20" s="444" t="s">
        <v>948</v>
      </c>
      <c r="B20" s="181"/>
      <c r="C20" s="166"/>
      <c r="D20" s="967">
        <f t="shared" si="1"/>
        <v>0</v>
      </c>
      <c r="E20" s="181"/>
      <c r="F20" s="166"/>
      <c r="G20" s="967">
        <f t="shared" si="2"/>
        <v>0</v>
      </c>
      <c r="H20" s="181"/>
      <c r="I20" s="166"/>
      <c r="J20" s="967">
        <f t="shared" si="3"/>
        <v>0</v>
      </c>
      <c r="K20" s="181">
        <f t="shared" si="0"/>
        <v>0</v>
      </c>
      <c r="L20" s="166">
        <f t="shared" si="0"/>
        <v>0</v>
      </c>
      <c r="M20" s="967">
        <f t="shared" si="4"/>
        <v>0</v>
      </c>
      <c r="N20" s="202"/>
      <c r="O20" s="1158">
        <v>1000000</v>
      </c>
      <c r="P20" s="166">
        <v>1000000</v>
      </c>
      <c r="Q20" s="967">
        <f t="shared" si="5"/>
        <v>0</v>
      </c>
      <c r="R20" s="963"/>
      <c r="S20" s="963"/>
      <c r="T20" s="963"/>
      <c r="U20" s="963"/>
      <c r="V20" s="963"/>
      <c r="W20" s="963"/>
      <c r="X20" s="963"/>
      <c r="Y20" s="963"/>
      <c r="Z20" s="963"/>
      <c r="AA20" s="963"/>
      <c r="AB20" s="963"/>
      <c r="AC20" s="963"/>
      <c r="AD20" s="963"/>
      <c r="AE20" s="963"/>
      <c r="AF20" s="963"/>
      <c r="AG20" s="963"/>
      <c r="AH20" s="963"/>
      <c r="AI20" s="963"/>
      <c r="AJ20" s="963"/>
      <c r="AK20" s="963"/>
      <c r="AL20" s="963"/>
      <c r="AM20" s="963"/>
      <c r="AN20" s="963"/>
      <c r="AO20" s="963"/>
      <c r="AP20" s="963"/>
      <c r="AQ20" s="963"/>
      <c r="AR20" s="963"/>
      <c r="AS20" s="963"/>
      <c r="AT20" s="963"/>
      <c r="AU20" s="963"/>
      <c r="AV20" s="963"/>
      <c r="AW20" s="963"/>
      <c r="AX20" s="963"/>
      <c r="AY20" s="963"/>
      <c r="AZ20" s="963"/>
      <c r="BA20" s="963"/>
      <c r="BB20" s="963"/>
      <c r="BC20" s="963"/>
      <c r="BD20" s="963"/>
      <c r="BE20" s="963"/>
      <c r="BF20" s="963"/>
      <c r="BG20" s="963"/>
      <c r="BH20" s="963"/>
      <c r="BI20" s="963"/>
      <c r="BJ20" s="963"/>
      <c r="BK20" s="963"/>
      <c r="BL20" s="963"/>
      <c r="BM20" s="963"/>
      <c r="BN20" s="963"/>
      <c r="BO20" s="963"/>
      <c r="BP20" s="963"/>
      <c r="BQ20" s="963"/>
      <c r="BR20" s="963"/>
      <c r="BS20" s="963"/>
      <c r="BT20" s="963"/>
      <c r="BU20" s="963"/>
      <c r="BV20" s="963"/>
      <c r="BW20" s="963"/>
      <c r="BX20" s="963"/>
      <c r="BY20" s="963"/>
      <c r="BZ20" s="963"/>
      <c r="CA20" s="963"/>
      <c r="CB20" s="963"/>
      <c r="CC20" s="963"/>
      <c r="CD20" s="963"/>
      <c r="CE20" s="963"/>
      <c r="CF20" s="963"/>
      <c r="CG20" s="963"/>
      <c r="CH20" s="963"/>
      <c r="CI20" s="963"/>
      <c r="CJ20" s="963"/>
      <c r="CK20" s="963"/>
      <c r="CL20" s="963"/>
      <c r="CM20" s="963"/>
      <c r="CN20" s="963"/>
      <c r="CO20" s="963"/>
      <c r="CP20" s="963"/>
      <c r="CQ20" s="963"/>
      <c r="CR20" s="963"/>
      <c r="CS20" s="963"/>
      <c r="CT20" s="963"/>
      <c r="CU20" s="963"/>
      <c r="CV20" s="963"/>
      <c r="CW20" s="963"/>
      <c r="CX20" s="963"/>
      <c r="CY20" s="963"/>
      <c r="CZ20" s="963"/>
      <c r="DA20" s="963"/>
      <c r="DB20" s="963"/>
      <c r="DC20" s="963"/>
      <c r="DD20" s="963"/>
      <c r="DE20" s="963"/>
      <c r="DF20" s="963"/>
      <c r="DG20" s="963"/>
      <c r="DH20" s="963"/>
      <c r="DI20" s="963"/>
      <c r="DJ20" s="963"/>
      <c r="DK20" s="963"/>
      <c r="DL20" s="963"/>
      <c r="DM20" s="963"/>
      <c r="DN20" s="963"/>
      <c r="DO20" s="963"/>
    </row>
    <row r="21" spans="1:119" s="25" customFormat="1" x14ac:dyDescent="0.25">
      <c r="A21" s="446" t="s">
        <v>949</v>
      </c>
      <c r="B21" s="180">
        <f>B22+B23+B25+B26+B27+B28+B29+B30+B33</f>
        <v>12134000</v>
      </c>
      <c r="C21" s="133">
        <f>C22+C23+C25+C26+C27+C28+C29+C30+C33</f>
        <v>12134000</v>
      </c>
      <c r="D21" s="968">
        <f t="shared" si="1"/>
        <v>0</v>
      </c>
      <c r="E21" s="180">
        <f>E22+E23+E25+E26+E27+E28+E29+E30+E33</f>
        <v>34560000</v>
      </c>
      <c r="F21" s="133">
        <f>F22+F23+F25+F26+F27+F28+F29+F30+F33</f>
        <v>34560000</v>
      </c>
      <c r="G21" s="968">
        <f t="shared" si="2"/>
        <v>0</v>
      </c>
      <c r="H21" s="180">
        <f>H22+H23+H25+H26+H27+H28+H29+H30+H33</f>
        <v>763531</v>
      </c>
      <c r="I21" s="133">
        <f>I22+I23+I25+I26+I27+I28+I29+I30+I33</f>
        <v>763531</v>
      </c>
      <c r="J21" s="968">
        <f t="shared" si="3"/>
        <v>0</v>
      </c>
      <c r="K21" s="180">
        <f>K22+K23+K25+K26+K27+K28+K29+K30+K33</f>
        <v>47457531</v>
      </c>
      <c r="L21" s="133">
        <f>L22+L23+L25+L26+L27+L28+L29+L30+L33</f>
        <v>47457531</v>
      </c>
      <c r="M21" s="968">
        <f t="shared" si="4"/>
        <v>0</v>
      </c>
      <c r="N21" s="197" t="e">
        <f>N22+N23+N25+N26+N27+N28+N29+N30+N33</f>
        <v>#REF!</v>
      </c>
      <c r="O21" s="1159">
        <f>O22+O23+O25+O26+O27+O28+O29+O30+O33</f>
        <v>25146000</v>
      </c>
      <c r="P21" s="168">
        <f>P22+P23+P25+P26+P27+P28+P29+P30+P33</f>
        <v>29476527</v>
      </c>
      <c r="Q21" s="968">
        <f t="shared" si="5"/>
        <v>4330527</v>
      </c>
      <c r="R21" s="969"/>
      <c r="S21" s="969"/>
      <c r="T21" s="969"/>
      <c r="U21" s="964"/>
      <c r="V21" s="964"/>
      <c r="W21" s="964"/>
      <c r="X21" s="964"/>
      <c r="Y21" s="964"/>
      <c r="Z21" s="964"/>
      <c r="AA21" s="964"/>
      <c r="AB21" s="964"/>
      <c r="AC21" s="964"/>
      <c r="AD21" s="964"/>
      <c r="AE21" s="964"/>
      <c r="AF21" s="964"/>
      <c r="AG21" s="964"/>
      <c r="AH21" s="964"/>
      <c r="AI21" s="964"/>
      <c r="AJ21" s="964"/>
      <c r="AK21" s="964"/>
      <c r="AL21" s="964"/>
      <c r="AM21" s="964"/>
      <c r="AN21" s="964"/>
      <c r="AO21" s="964"/>
      <c r="AP21" s="964"/>
      <c r="AQ21" s="964"/>
      <c r="AR21" s="964"/>
      <c r="AS21" s="964"/>
      <c r="AT21" s="964"/>
      <c r="AU21" s="964"/>
      <c r="AV21" s="964"/>
      <c r="AW21" s="964"/>
      <c r="AX21" s="964"/>
      <c r="AY21" s="964"/>
      <c r="AZ21" s="964"/>
      <c r="BA21" s="964"/>
      <c r="BB21" s="964"/>
      <c r="BC21" s="964"/>
      <c r="BD21" s="964"/>
      <c r="BE21" s="964"/>
      <c r="BF21" s="964"/>
      <c r="BG21" s="964"/>
      <c r="BH21" s="964"/>
      <c r="BI21" s="964"/>
      <c r="BJ21" s="964"/>
      <c r="BK21" s="964"/>
      <c r="BL21" s="964"/>
      <c r="BM21" s="964"/>
      <c r="BN21" s="964"/>
      <c r="BO21" s="964"/>
      <c r="BP21" s="964"/>
      <c r="BQ21" s="964"/>
      <c r="BR21" s="964"/>
      <c r="BS21" s="964"/>
      <c r="BT21" s="964"/>
      <c r="BU21" s="964"/>
      <c r="BV21" s="964"/>
      <c r="BW21" s="964"/>
      <c r="BX21" s="964"/>
      <c r="BY21" s="964"/>
      <c r="BZ21" s="964"/>
      <c r="CA21" s="964"/>
      <c r="CB21" s="964"/>
      <c r="CC21" s="964"/>
      <c r="CD21" s="964"/>
      <c r="CE21" s="964"/>
      <c r="CF21" s="964"/>
      <c r="CG21" s="964"/>
      <c r="CH21" s="964"/>
      <c r="CI21" s="964"/>
      <c r="CJ21" s="964"/>
      <c r="CK21" s="964"/>
      <c r="CL21" s="964"/>
      <c r="CM21" s="964"/>
      <c r="CN21" s="964"/>
      <c r="CO21" s="964"/>
      <c r="CP21" s="964"/>
      <c r="CQ21" s="964"/>
      <c r="CR21" s="964"/>
      <c r="CS21" s="964"/>
      <c r="CT21" s="964"/>
      <c r="CU21" s="964"/>
      <c r="CV21" s="964"/>
      <c r="CW21" s="964"/>
      <c r="CX21" s="964"/>
      <c r="CY21" s="964"/>
      <c r="CZ21" s="964"/>
      <c r="DA21" s="964"/>
      <c r="DB21" s="964"/>
      <c r="DC21" s="964"/>
      <c r="DD21" s="964"/>
      <c r="DE21" s="964"/>
      <c r="DF21" s="964"/>
      <c r="DG21" s="964"/>
      <c r="DH21" s="964"/>
      <c r="DI21" s="964"/>
      <c r="DJ21" s="964"/>
      <c r="DK21" s="964"/>
      <c r="DL21" s="964"/>
      <c r="DM21" s="964"/>
      <c r="DN21" s="964"/>
      <c r="DO21" s="964"/>
    </row>
    <row r="22" spans="1:119" s="26" customFormat="1" ht="17.25" customHeight="1" x14ac:dyDescent="0.25">
      <c r="A22" s="447" t="s">
        <v>864</v>
      </c>
      <c r="B22" s="181"/>
      <c r="C22" s="166"/>
      <c r="D22" s="967">
        <f t="shared" si="1"/>
        <v>0</v>
      </c>
      <c r="E22" s="181"/>
      <c r="F22" s="166"/>
      <c r="G22" s="967">
        <f t="shared" si="2"/>
        <v>0</v>
      </c>
      <c r="H22" s="181"/>
      <c r="I22" s="166"/>
      <c r="J22" s="967">
        <f t="shared" si="3"/>
        <v>0</v>
      </c>
      <c r="K22" s="181">
        <f t="shared" ref="K22:K33" si="6">B22+E22+H22</f>
        <v>0</v>
      </c>
      <c r="L22" s="166">
        <f t="shared" ref="L22:L33" si="7">C22+F22+I22</f>
        <v>0</v>
      </c>
      <c r="M22" s="967">
        <f t="shared" si="4"/>
        <v>0</v>
      </c>
      <c r="N22" s="203" t="e">
        <f>#REF!+#REF!+#REF!+#REF!+#REF!</f>
        <v>#REF!</v>
      </c>
      <c r="O22" s="1158"/>
      <c r="P22" s="166"/>
      <c r="Q22" s="967">
        <f t="shared" si="5"/>
        <v>0</v>
      </c>
      <c r="R22" s="970"/>
      <c r="S22" s="970"/>
      <c r="T22" s="970"/>
      <c r="U22" s="970"/>
      <c r="V22" s="970"/>
      <c r="W22" s="970"/>
      <c r="X22" s="970"/>
      <c r="Y22" s="970"/>
      <c r="Z22" s="970"/>
      <c r="AA22" s="970"/>
      <c r="AB22" s="970"/>
      <c r="AC22" s="970"/>
      <c r="AD22" s="970"/>
      <c r="AE22" s="970"/>
      <c r="AF22" s="970"/>
      <c r="AG22" s="970"/>
      <c r="AH22" s="970"/>
      <c r="AI22" s="970"/>
      <c r="AJ22" s="970"/>
      <c r="AK22" s="970"/>
      <c r="AL22" s="970"/>
      <c r="AM22" s="970"/>
      <c r="AN22" s="970"/>
      <c r="AO22" s="970"/>
      <c r="AP22" s="970"/>
      <c r="AQ22" s="970"/>
      <c r="AR22" s="970"/>
      <c r="AS22" s="970"/>
      <c r="AT22" s="970"/>
      <c r="AU22" s="970"/>
      <c r="AV22" s="970"/>
      <c r="AW22" s="970"/>
      <c r="AX22" s="970"/>
      <c r="AY22" s="970"/>
      <c r="AZ22" s="970"/>
      <c r="BA22" s="970"/>
      <c r="BB22" s="970"/>
      <c r="BC22" s="970"/>
      <c r="BD22" s="970"/>
      <c r="BE22" s="970"/>
      <c r="BF22" s="970"/>
      <c r="BG22" s="970"/>
      <c r="BH22" s="970"/>
      <c r="BI22" s="970"/>
      <c r="BJ22" s="970"/>
      <c r="BK22" s="970"/>
      <c r="BL22" s="970"/>
      <c r="BM22" s="970"/>
      <c r="BN22" s="970"/>
      <c r="BO22" s="970"/>
      <c r="BP22" s="970"/>
      <c r="BQ22" s="970"/>
      <c r="BR22" s="970"/>
      <c r="BS22" s="970"/>
      <c r="BT22" s="970"/>
      <c r="BU22" s="970"/>
      <c r="BV22" s="970"/>
      <c r="BW22" s="970"/>
      <c r="BX22" s="970"/>
      <c r="BY22" s="970"/>
      <c r="BZ22" s="970"/>
      <c r="CA22" s="970"/>
      <c r="CB22" s="970"/>
      <c r="CC22" s="970"/>
      <c r="CD22" s="970"/>
      <c r="CE22" s="970"/>
      <c r="CF22" s="970"/>
      <c r="CG22" s="970"/>
      <c r="CH22" s="970"/>
      <c r="CI22" s="970"/>
      <c r="CJ22" s="970"/>
      <c r="CK22" s="970"/>
      <c r="CL22" s="970"/>
      <c r="CM22" s="970"/>
      <c r="CN22" s="970"/>
      <c r="CO22" s="970"/>
      <c r="CP22" s="970"/>
      <c r="CQ22" s="970"/>
      <c r="CR22" s="970"/>
      <c r="CS22" s="970"/>
      <c r="CT22" s="970"/>
      <c r="CU22" s="970"/>
      <c r="CV22" s="970"/>
      <c r="CW22" s="970"/>
      <c r="CX22" s="970"/>
      <c r="CY22" s="970"/>
      <c r="CZ22" s="970"/>
      <c r="DA22" s="970"/>
      <c r="DB22" s="970"/>
      <c r="DC22" s="970"/>
      <c r="DD22" s="970"/>
      <c r="DE22" s="970"/>
      <c r="DF22" s="970"/>
      <c r="DG22" s="970"/>
      <c r="DH22" s="970"/>
      <c r="DI22" s="970"/>
      <c r="DJ22" s="970"/>
      <c r="DK22" s="970"/>
      <c r="DL22" s="970"/>
      <c r="DM22" s="970"/>
      <c r="DN22" s="970"/>
      <c r="DO22" s="970"/>
    </row>
    <row r="23" spans="1:119" s="27" customFormat="1" ht="17.25" customHeight="1" x14ac:dyDescent="0.25">
      <c r="A23" s="447" t="s">
        <v>865</v>
      </c>
      <c r="B23" s="181">
        <f>2319000+6068000</f>
        <v>8387000</v>
      </c>
      <c r="C23" s="166">
        <v>8387000</v>
      </c>
      <c r="D23" s="967">
        <f t="shared" si="1"/>
        <v>0</v>
      </c>
      <c r="E23" s="181">
        <v>34560000</v>
      </c>
      <c r="F23" s="166">
        <v>34560000</v>
      </c>
      <c r="G23" s="967">
        <f t="shared" si="2"/>
        <v>0</v>
      </c>
      <c r="H23" s="181"/>
      <c r="I23" s="166"/>
      <c r="J23" s="967">
        <f t="shared" si="3"/>
        <v>0</v>
      </c>
      <c r="K23" s="181">
        <f>B23+E23+H23</f>
        <v>42947000</v>
      </c>
      <c r="L23" s="166">
        <f t="shared" si="7"/>
        <v>42947000</v>
      </c>
      <c r="M23" s="967">
        <f t="shared" si="4"/>
        <v>0</v>
      </c>
      <c r="N23" s="203" t="e">
        <f>#REF!+#REF!+#REF!+#REF!+#REF!</f>
        <v>#REF!</v>
      </c>
      <c r="O23" s="1158">
        <v>17850000</v>
      </c>
      <c r="P23" s="166">
        <v>17850000</v>
      </c>
      <c r="Q23" s="967">
        <f t="shared" si="5"/>
        <v>0</v>
      </c>
      <c r="R23" s="971"/>
      <c r="S23" s="971"/>
      <c r="T23" s="971"/>
      <c r="U23" s="971"/>
      <c r="V23" s="971"/>
      <c r="W23" s="971"/>
      <c r="X23" s="971"/>
      <c r="Y23" s="971"/>
      <c r="Z23" s="971"/>
      <c r="AA23" s="971"/>
      <c r="AB23" s="971"/>
      <c r="AC23" s="971"/>
      <c r="AD23" s="971"/>
      <c r="AE23" s="971"/>
      <c r="AF23" s="971"/>
      <c r="AG23" s="971"/>
      <c r="AH23" s="971"/>
      <c r="AI23" s="971"/>
      <c r="AJ23" s="971"/>
      <c r="AK23" s="971"/>
      <c r="AL23" s="971"/>
      <c r="AM23" s="971"/>
      <c r="AN23" s="971"/>
      <c r="AO23" s="971"/>
      <c r="AP23" s="971"/>
      <c r="AQ23" s="971"/>
      <c r="AR23" s="971"/>
      <c r="AS23" s="971"/>
      <c r="AT23" s="971"/>
      <c r="AU23" s="971"/>
      <c r="AV23" s="971"/>
      <c r="AW23" s="971"/>
      <c r="AX23" s="971"/>
      <c r="AY23" s="971"/>
      <c r="AZ23" s="971"/>
      <c r="BA23" s="971"/>
      <c r="BB23" s="971"/>
      <c r="BC23" s="971"/>
      <c r="BD23" s="971"/>
      <c r="BE23" s="971"/>
      <c r="BF23" s="971"/>
      <c r="BG23" s="971"/>
      <c r="BH23" s="971"/>
      <c r="BI23" s="971"/>
      <c r="BJ23" s="971"/>
      <c r="BK23" s="971"/>
      <c r="BL23" s="971"/>
      <c r="BM23" s="971"/>
      <c r="BN23" s="971"/>
      <c r="BO23" s="971"/>
      <c r="BP23" s="971"/>
      <c r="BQ23" s="971"/>
      <c r="BR23" s="971"/>
      <c r="BS23" s="971"/>
      <c r="BT23" s="971"/>
      <c r="BU23" s="971"/>
      <c r="BV23" s="971"/>
      <c r="BW23" s="971"/>
      <c r="BX23" s="971"/>
      <c r="BY23" s="971"/>
      <c r="BZ23" s="971"/>
      <c r="CA23" s="971"/>
      <c r="CB23" s="971"/>
      <c r="CC23" s="971"/>
      <c r="CD23" s="971"/>
      <c r="CE23" s="971"/>
      <c r="CF23" s="971"/>
      <c r="CG23" s="971"/>
      <c r="CH23" s="971"/>
      <c r="CI23" s="971"/>
      <c r="CJ23" s="971"/>
      <c r="CK23" s="971"/>
      <c r="CL23" s="971"/>
      <c r="CM23" s="971"/>
      <c r="CN23" s="971"/>
      <c r="CO23" s="971"/>
      <c r="CP23" s="971"/>
      <c r="CQ23" s="971"/>
      <c r="CR23" s="971"/>
      <c r="CS23" s="971"/>
      <c r="CT23" s="971"/>
      <c r="CU23" s="971"/>
      <c r="CV23" s="971"/>
      <c r="CW23" s="971"/>
      <c r="CX23" s="971"/>
      <c r="CY23" s="971"/>
      <c r="CZ23" s="971"/>
      <c r="DA23" s="971"/>
      <c r="DB23" s="971"/>
      <c r="DC23" s="971"/>
      <c r="DD23" s="971"/>
      <c r="DE23" s="971"/>
      <c r="DF23" s="971"/>
      <c r="DG23" s="971"/>
      <c r="DH23" s="971"/>
      <c r="DI23" s="971"/>
      <c r="DJ23" s="971"/>
      <c r="DK23" s="971"/>
      <c r="DL23" s="971"/>
      <c r="DM23" s="971"/>
      <c r="DN23" s="971"/>
      <c r="DO23" s="971"/>
    </row>
    <row r="24" spans="1:119" s="27" customFormat="1" ht="18.75" customHeight="1" x14ac:dyDescent="0.25">
      <c r="A24" s="448" t="s">
        <v>684</v>
      </c>
      <c r="B24" s="181"/>
      <c r="C24" s="166"/>
      <c r="D24" s="967">
        <f t="shared" si="1"/>
        <v>0</v>
      </c>
      <c r="E24" s="181"/>
      <c r="F24" s="166"/>
      <c r="G24" s="967">
        <f t="shared" si="2"/>
        <v>0</v>
      </c>
      <c r="H24" s="181"/>
      <c r="I24" s="166"/>
      <c r="J24" s="967">
        <f t="shared" si="3"/>
        <v>0</v>
      </c>
      <c r="K24" s="181">
        <f t="shared" si="6"/>
        <v>0</v>
      </c>
      <c r="L24" s="166">
        <f t="shared" si="7"/>
        <v>0</v>
      </c>
      <c r="M24" s="967">
        <f t="shared" si="4"/>
        <v>0</v>
      </c>
      <c r="N24" s="203" t="e">
        <f>#REF!+#REF!+#REF!+#REF!+#REF!</f>
        <v>#REF!</v>
      </c>
      <c r="O24" s="1158">
        <v>6500000</v>
      </c>
      <c r="P24" s="166">
        <v>6500000</v>
      </c>
      <c r="Q24" s="967">
        <f t="shared" si="5"/>
        <v>0</v>
      </c>
      <c r="R24" s="971"/>
      <c r="S24" s="971"/>
      <c r="T24" s="971"/>
      <c r="U24" s="971"/>
      <c r="V24" s="971"/>
      <c r="W24" s="971"/>
      <c r="X24" s="971"/>
      <c r="Y24" s="971"/>
      <c r="Z24" s="971"/>
      <c r="AA24" s="971"/>
      <c r="AB24" s="971"/>
      <c r="AC24" s="971"/>
      <c r="AD24" s="971"/>
      <c r="AE24" s="971"/>
      <c r="AF24" s="971"/>
      <c r="AG24" s="971"/>
      <c r="AH24" s="971"/>
      <c r="AI24" s="971"/>
      <c r="AJ24" s="971"/>
      <c r="AK24" s="971"/>
      <c r="AL24" s="971"/>
      <c r="AM24" s="971"/>
      <c r="AN24" s="971"/>
      <c r="AO24" s="971"/>
      <c r="AP24" s="971"/>
      <c r="AQ24" s="971"/>
      <c r="AR24" s="971"/>
      <c r="AS24" s="971"/>
      <c r="AT24" s="971"/>
      <c r="AU24" s="971"/>
      <c r="AV24" s="971"/>
      <c r="AW24" s="971"/>
      <c r="AX24" s="971"/>
      <c r="AY24" s="971"/>
      <c r="AZ24" s="971"/>
      <c r="BA24" s="971"/>
      <c r="BB24" s="971"/>
      <c r="BC24" s="971"/>
      <c r="BD24" s="971"/>
      <c r="BE24" s="971"/>
      <c r="BF24" s="971"/>
      <c r="BG24" s="971"/>
      <c r="BH24" s="971"/>
      <c r="BI24" s="971"/>
      <c r="BJ24" s="971"/>
      <c r="BK24" s="971"/>
      <c r="BL24" s="971"/>
      <c r="BM24" s="971"/>
      <c r="BN24" s="971"/>
      <c r="BO24" s="971"/>
      <c r="BP24" s="971"/>
      <c r="BQ24" s="971"/>
      <c r="BR24" s="971"/>
      <c r="BS24" s="971"/>
      <c r="BT24" s="971"/>
      <c r="BU24" s="971"/>
      <c r="BV24" s="971"/>
      <c r="BW24" s="971"/>
      <c r="BX24" s="971"/>
      <c r="BY24" s="971"/>
      <c r="BZ24" s="971"/>
      <c r="CA24" s="971"/>
      <c r="CB24" s="971"/>
      <c r="CC24" s="971"/>
      <c r="CD24" s="971"/>
      <c r="CE24" s="971"/>
      <c r="CF24" s="971"/>
      <c r="CG24" s="971"/>
      <c r="CH24" s="971"/>
      <c r="CI24" s="971"/>
      <c r="CJ24" s="971"/>
      <c r="CK24" s="971"/>
      <c r="CL24" s="971"/>
      <c r="CM24" s="971"/>
      <c r="CN24" s="971"/>
      <c r="CO24" s="971"/>
      <c r="CP24" s="971"/>
      <c r="CQ24" s="971"/>
      <c r="CR24" s="971"/>
      <c r="CS24" s="971"/>
      <c r="CT24" s="971"/>
      <c r="CU24" s="971"/>
      <c r="CV24" s="971"/>
      <c r="CW24" s="971"/>
      <c r="CX24" s="971"/>
      <c r="CY24" s="971"/>
      <c r="CZ24" s="971"/>
      <c r="DA24" s="971"/>
      <c r="DB24" s="971"/>
      <c r="DC24" s="971"/>
      <c r="DD24" s="971"/>
      <c r="DE24" s="971"/>
      <c r="DF24" s="971"/>
      <c r="DG24" s="971"/>
      <c r="DH24" s="971"/>
      <c r="DI24" s="971"/>
      <c r="DJ24" s="971"/>
      <c r="DK24" s="971"/>
      <c r="DL24" s="971"/>
      <c r="DM24" s="971"/>
      <c r="DN24" s="971"/>
      <c r="DO24" s="971"/>
    </row>
    <row r="25" spans="1:119" s="27" customFormat="1" ht="17.25" customHeight="1" x14ac:dyDescent="0.25">
      <c r="A25" s="444" t="s">
        <v>950</v>
      </c>
      <c r="B25" s="181"/>
      <c r="C25" s="166"/>
      <c r="D25" s="967">
        <f t="shared" si="1"/>
        <v>0</v>
      </c>
      <c r="E25" s="181"/>
      <c r="F25" s="166"/>
      <c r="G25" s="967">
        <f t="shared" si="2"/>
        <v>0</v>
      </c>
      <c r="H25" s="181"/>
      <c r="I25" s="166"/>
      <c r="J25" s="967">
        <f t="shared" si="3"/>
        <v>0</v>
      </c>
      <c r="K25" s="181">
        <f t="shared" si="6"/>
        <v>0</v>
      </c>
      <c r="L25" s="166">
        <f t="shared" si="7"/>
        <v>0</v>
      </c>
      <c r="M25" s="967">
        <f t="shared" si="4"/>
        <v>0</v>
      </c>
      <c r="N25" s="203" t="e">
        <f>#REF!+#REF!+#REF!+#REF!+#REF!</f>
        <v>#REF!</v>
      </c>
      <c r="O25" s="1158">
        <v>1950000</v>
      </c>
      <c r="P25" s="166">
        <v>6223550</v>
      </c>
      <c r="Q25" s="967">
        <f t="shared" si="5"/>
        <v>4273550</v>
      </c>
      <c r="R25" s="971"/>
      <c r="S25" s="971"/>
      <c r="T25" s="971"/>
      <c r="U25" s="971"/>
      <c r="V25" s="971"/>
      <c r="W25" s="971"/>
      <c r="X25" s="971"/>
      <c r="Y25" s="971"/>
      <c r="Z25" s="971"/>
      <c r="AA25" s="971"/>
      <c r="AB25" s="971"/>
      <c r="AC25" s="971"/>
      <c r="AD25" s="971"/>
      <c r="AE25" s="971"/>
      <c r="AF25" s="971"/>
      <c r="AG25" s="971"/>
      <c r="AH25" s="971"/>
      <c r="AI25" s="971"/>
      <c r="AJ25" s="971"/>
      <c r="AK25" s="971"/>
      <c r="AL25" s="971"/>
      <c r="AM25" s="971"/>
      <c r="AN25" s="971"/>
      <c r="AO25" s="971"/>
      <c r="AP25" s="971"/>
      <c r="AQ25" s="971"/>
      <c r="AR25" s="971"/>
      <c r="AS25" s="971"/>
      <c r="AT25" s="971"/>
      <c r="AU25" s="971"/>
      <c r="AV25" s="971"/>
      <c r="AW25" s="971"/>
      <c r="AX25" s="971"/>
      <c r="AY25" s="971"/>
      <c r="AZ25" s="971"/>
      <c r="BA25" s="971"/>
      <c r="BB25" s="971"/>
      <c r="BC25" s="971"/>
      <c r="BD25" s="971"/>
      <c r="BE25" s="971"/>
      <c r="BF25" s="971"/>
      <c r="BG25" s="971"/>
      <c r="BH25" s="971"/>
      <c r="BI25" s="971"/>
      <c r="BJ25" s="971"/>
      <c r="BK25" s="971"/>
      <c r="BL25" s="971"/>
      <c r="BM25" s="971"/>
      <c r="BN25" s="971"/>
      <c r="BO25" s="971"/>
      <c r="BP25" s="971"/>
      <c r="BQ25" s="971"/>
      <c r="BR25" s="971"/>
      <c r="BS25" s="971"/>
      <c r="BT25" s="971"/>
      <c r="BU25" s="971"/>
      <c r="BV25" s="971"/>
      <c r="BW25" s="971"/>
      <c r="BX25" s="971"/>
      <c r="BY25" s="971"/>
      <c r="BZ25" s="971"/>
      <c r="CA25" s="971"/>
      <c r="CB25" s="971"/>
      <c r="CC25" s="971"/>
      <c r="CD25" s="971"/>
      <c r="CE25" s="971"/>
      <c r="CF25" s="971"/>
      <c r="CG25" s="971"/>
      <c r="CH25" s="971"/>
      <c r="CI25" s="971"/>
      <c r="CJ25" s="971"/>
      <c r="CK25" s="971"/>
      <c r="CL25" s="971"/>
      <c r="CM25" s="971"/>
      <c r="CN25" s="971"/>
      <c r="CO25" s="971"/>
      <c r="CP25" s="971"/>
      <c r="CQ25" s="971"/>
      <c r="CR25" s="971"/>
      <c r="CS25" s="971"/>
      <c r="CT25" s="971"/>
      <c r="CU25" s="971"/>
      <c r="CV25" s="971"/>
      <c r="CW25" s="971"/>
      <c r="CX25" s="971"/>
      <c r="CY25" s="971"/>
      <c r="CZ25" s="971"/>
      <c r="DA25" s="971"/>
      <c r="DB25" s="971"/>
      <c r="DC25" s="971"/>
      <c r="DD25" s="971"/>
      <c r="DE25" s="971"/>
      <c r="DF25" s="971"/>
      <c r="DG25" s="971"/>
      <c r="DH25" s="971"/>
      <c r="DI25" s="971"/>
      <c r="DJ25" s="971"/>
      <c r="DK25" s="971"/>
      <c r="DL25" s="971"/>
      <c r="DM25" s="971"/>
      <c r="DN25" s="971"/>
      <c r="DO25" s="971"/>
    </row>
    <row r="26" spans="1:119" s="27" customFormat="1" ht="17.25" customHeight="1" x14ac:dyDescent="0.25">
      <c r="A26" s="444" t="s">
        <v>877</v>
      </c>
      <c r="B26" s="181"/>
      <c r="C26" s="166"/>
      <c r="D26" s="967">
        <f t="shared" si="1"/>
        <v>0</v>
      </c>
      <c r="E26" s="181"/>
      <c r="F26" s="166"/>
      <c r="G26" s="967">
        <f t="shared" si="2"/>
        <v>0</v>
      </c>
      <c r="H26" s="181"/>
      <c r="I26" s="166"/>
      <c r="J26" s="967">
        <f t="shared" si="3"/>
        <v>0</v>
      </c>
      <c r="K26" s="181">
        <f t="shared" si="6"/>
        <v>0</v>
      </c>
      <c r="L26" s="166">
        <f t="shared" si="7"/>
        <v>0</v>
      </c>
      <c r="M26" s="967">
        <f t="shared" si="4"/>
        <v>0</v>
      </c>
      <c r="N26" s="203" t="e">
        <f>#REF!+#REF!+#REF!+#REF!+#REF!</f>
        <v>#REF!</v>
      </c>
      <c r="O26" s="1158"/>
      <c r="P26" s="166"/>
      <c r="Q26" s="967">
        <f t="shared" si="5"/>
        <v>0</v>
      </c>
      <c r="R26" s="971"/>
      <c r="S26" s="971"/>
      <c r="T26" s="971"/>
      <c r="U26" s="971"/>
      <c r="V26" s="971"/>
      <c r="W26" s="971"/>
      <c r="X26" s="971"/>
      <c r="Y26" s="971"/>
      <c r="Z26" s="971"/>
      <c r="AA26" s="971"/>
      <c r="AB26" s="971"/>
      <c r="AC26" s="971"/>
      <c r="AD26" s="971"/>
      <c r="AE26" s="971"/>
      <c r="AF26" s="971"/>
      <c r="AG26" s="971"/>
      <c r="AH26" s="971"/>
      <c r="AI26" s="971"/>
      <c r="AJ26" s="971"/>
      <c r="AK26" s="971"/>
      <c r="AL26" s="971"/>
      <c r="AM26" s="971"/>
      <c r="AN26" s="971"/>
      <c r="AO26" s="971"/>
      <c r="AP26" s="971"/>
      <c r="AQ26" s="971"/>
      <c r="AR26" s="971"/>
      <c r="AS26" s="971"/>
      <c r="AT26" s="971"/>
      <c r="AU26" s="971"/>
      <c r="AV26" s="971"/>
      <c r="AW26" s="971"/>
      <c r="AX26" s="971"/>
      <c r="AY26" s="971"/>
      <c r="AZ26" s="971"/>
      <c r="BA26" s="971"/>
      <c r="BB26" s="971"/>
      <c r="BC26" s="971"/>
      <c r="BD26" s="971"/>
      <c r="BE26" s="971"/>
      <c r="BF26" s="971"/>
      <c r="BG26" s="971"/>
      <c r="BH26" s="971"/>
      <c r="BI26" s="971"/>
      <c r="BJ26" s="971"/>
      <c r="BK26" s="971"/>
      <c r="BL26" s="971"/>
      <c r="BM26" s="971"/>
      <c r="BN26" s="971"/>
      <c r="BO26" s="971"/>
      <c r="BP26" s="971"/>
      <c r="BQ26" s="971"/>
      <c r="BR26" s="971"/>
      <c r="BS26" s="971"/>
      <c r="BT26" s="971"/>
      <c r="BU26" s="971"/>
      <c r="BV26" s="971"/>
      <c r="BW26" s="971"/>
      <c r="BX26" s="971"/>
      <c r="BY26" s="971"/>
      <c r="BZ26" s="971"/>
      <c r="CA26" s="971"/>
      <c r="CB26" s="971"/>
      <c r="CC26" s="971"/>
      <c r="CD26" s="971"/>
      <c r="CE26" s="971"/>
      <c r="CF26" s="971"/>
      <c r="CG26" s="971"/>
      <c r="CH26" s="971"/>
      <c r="CI26" s="971"/>
      <c r="CJ26" s="971"/>
      <c r="CK26" s="971"/>
      <c r="CL26" s="971"/>
      <c r="CM26" s="971"/>
      <c r="CN26" s="971"/>
      <c r="CO26" s="971"/>
      <c r="CP26" s="971"/>
      <c r="CQ26" s="971"/>
      <c r="CR26" s="971"/>
      <c r="CS26" s="971"/>
      <c r="CT26" s="971"/>
      <c r="CU26" s="971"/>
      <c r="CV26" s="971"/>
      <c r="CW26" s="971"/>
      <c r="CX26" s="971"/>
      <c r="CY26" s="971"/>
      <c r="CZ26" s="971"/>
      <c r="DA26" s="971"/>
      <c r="DB26" s="971"/>
      <c r="DC26" s="971"/>
      <c r="DD26" s="971"/>
      <c r="DE26" s="971"/>
      <c r="DF26" s="971"/>
      <c r="DG26" s="971"/>
      <c r="DH26" s="971"/>
      <c r="DI26" s="971"/>
      <c r="DJ26" s="971"/>
      <c r="DK26" s="971"/>
      <c r="DL26" s="971"/>
      <c r="DM26" s="971"/>
      <c r="DN26" s="971"/>
      <c r="DO26" s="971"/>
    </row>
    <row r="27" spans="1:119" s="27" customFormat="1" ht="13.5" customHeight="1" x14ac:dyDescent="0.25">
      <c r="A27" s="449" t="s">
        <v>953</v>
      </c>
      <c r="B27" s="181"/>
      <c r="C27" s="166"/>
      <c r="D27" s="967">
        <f t="shared" si="1"/>
        <v>0</v>
      </c>
      <c r="E27" s="181"/>
      <c r="F27" s="166"/>
      <c r="G27" s="967">
        <f t="shared" si="2"/>
        <v>0</v>
      </c>
      <c r="H27" s="181">
        <v>601205</v>
      </c>
      <c r="I27" s="166">
        <v>601205</v>
      </c>
      <c r="J27" s="967">
        <f t="shared" si="3"/>
        <v>0</v>
      </c>
      <c r="K27" s="181">
        <f t="shared" si="6"/>
        <v>601205</v>
      </c>
      <c r="L27" s="166">
        <f t="shared" si="7"/>
        <v>601205</v>
      </c>
      <c r="M27" s="967">
        <f t="shared" si="4"/>
        <v>0</v>
      </c>
      <c r="N27" s="203" t="e">
        <f>#REF!+#REF!+#REF!+#REF!+#REF!</f>
        <v>#REF!</v>
      </c>
      <c r="O27" s="1158"/>
      <c r="P27" s="166"/>
      <c r="Q27" s="967">
        <f t="shared" si="5"/>
        <v>0</v>
      </c>
      <c r="R27" s="971"/>
      <c r="S27" s="971"/>
      <c r="T27" s="971"/>
      <c r="U27" s="971"/>
      <c r="V27" s="971"/>
      <c r="W27" s="971"/>
      <c r="X27" s="971"/>
      <c r="Y27" s="971"/>
      <c r="Z27" s="971"/>
      <c r="AA27" s="971"/>
      <c r="AB27" s="971"/>
      <c r="AC27" s="971"/>
      <c r="AD27" s="971"/>
      <c r="AE27" s="971"/>
      <c r="AF27" s="971"/>
      <c r="AG27" s="971"/>
      <c r="AH27" s="971"/>
      <c r="AI27" s="971"/>
      <c r="AJ27" s="971"/>
      <c r="AK27" s="971"/>
      <c r="AL27" s="971"/>
      <c r="AM27" s="971"/>
      <c r="AN27" s="971"/>
      <c r="AO27" s="971"/>
      <c r="AP27" s="971"/>
      <c r="AQ27" s="971"/>
      <c r="AR27" s="971"/>
      <c r="AS27" s="971"/>
      <c r="AT27" s="971"/>
      <c r="AU27" s="971"/>
      <c r="AV27" s="971"/>
      <c r="AW27" s="971"/>
      <c r="AX27" s="971"/>
      <c r="AY27" s="971"/>
      <c r="AZ27" s="971"/>
      <c r="BA27" s="971"/>
      <c r="BB27" s="971"/>
      <c r="BC27" s="971"/>
      <c r="BD27" s="971"/>
      <c r="BE27" s="971"/>
      <c r="BF27" s="971"/>
      <c r="BG27" s="971"/>
      <c r="BH27" s="971"/>
      <c r="BI27" s="971"/>
      <c r="BJ27" s="971"/>
      <c r="BK27" s="971"/>
      <c r="BL27" s="971"/>
      <c r="BM27" s="971"/>
      <c r="BN27" s="971"/>
      <c r="BO27" s="971"/>
      <c r="BP27" s="971"/>
      <c r="BQ27" s="971"/>
      <c r="BR27" s="971"/>
      <c r="BS27" s="971"/>
      <c r="BT27" s="971"/>
      <c r="BU27" s="971"/>
      <c r="BV27" s="971"/>
      <c r="BW27" s="971"/>
      <c r="BX27" s="971"/>
      <c r="BY27" s="971"/>
      <c r="BZ27" s="971"/>
      <c r="CA27" s="971"/>
      <c r="CB27" s="971"/>
      <c r="CC27" s="971"/>
      <c r="CD27" s="971"/>
      <c r="CE27" s="971"/>
      <c r="CF27" s="971"/>
      <c r="CG27" s="971"/>
      <c r="CH27" s="971"/>
      <c r="CI27" s="971"/>
      <c r="CJ27" s="971"/>
      <c r="CK27" s="971"/>
      <c r="CL27" s="971"/>
      <c r="CM27" s="971"/>
      <c r="CN27" s="971"/>
      <c r="CO27" s="971"/>
      <c r="CP27" s="971"/>
      <c r="CQ27" s="971"/>
      <c r="CR27" s="971"/>
      <c r="CS27" s="971"/>
      <c r="CT27" s="971"/>
      <c r="CU27" s="971"/>
      <c r="CV27" s="971"/>
      <c r="CW27" s="971"/>
      <c r="CX27" s="971"/>
      <c r="CY27" s="971"/>
      <c r="CZ27" s="971"/>
      <c r="DA27" s="971"/>
      <c r="DB27" s="971"/>
      <c r="DC27" s="971"/>
      <c r="DD27" s="971"/>
      <c r="DE27" s="971"/>
      <c r="DF27" s="971"/>
      <c r="DG27" s="971"/>
      <c r="DH27" s="971"/>
      <c r="DI27" s="971"/>
      <c r="DJ27" s="971"/>
      <c r="DK27" s="971"/>
      <c r="DL27" s="971"/>
      <c r="DM27" s="971"/>
      <c r="DN27" s="971"/>
      <c r="DO27" s="971"/>
    </row>
    <row r="28" spans="1:119" s="27" customFormat="1" x14ac:dyDescent="0.25">
      <c r="A28" s="448" t="s">
        <v>954</v>
      </c>
      <c r="B28" s="181">
        <f>451000+1638000</f>
        <v>2089000</v>
      </c>
      <c r="C28" s="166">
        <v>2089000</v>
      </c>
      <c r="D28" s="967">
        <f t="shared" si="1"/>
        <v>0</v>
      </c>
      <c r="E28" s="181"/>
      <c r="F28" s="166"/>
      <c r="G28" s="967">
        <f t="shared" si="2"/>
        <v>0</v>
      </c>
      <c r="H28" s="181">
        <v>162326</v>
      </c>
      <c r="I28" s="166">
        <v>162326</v>
      </c>
      <c r="J28" s="967">
        <f t="shared" si="3"/>
        <v>0</v>
      </c>
      <c r="K28" s="181">
        <f t="shared" si="6"/>
        <v>2251326</v>
      </c>
      <c r="L28" s="166">
        <f t="shared" si="7"/>
        <v>2251326</v>
      </c>
      <c r="M28" s="967">
        <f t="shared" si="4"/>
        <v>0</v>
      </c>
      <c r="N28" s="203" t="e">
        <f>#REF!+#REF!+#REF!+#REF!+#REF!</f>
        <v>#REF!</v>
      </c>
      <c r="O28" s="1158">
        <v>5346000</v>
      </c>
      <c r="P28" s="166">
        <v>5402977</v>
      </c>
      <c r="Q28" s="967">
        <f t="shared" si="5"/>
        <v>56977</v>
      </c>
      <c r="R28" s="971"/>
      <c r="S28" s="971"/>
      <c r="T28" s="971"/>
      <c r="U28" s="971"/>
      <c r="V28" s="971"/>
      <c r="W28" s="971"/>
      <c r="X28" s="971"/>
      <c r="Y28" s="971"/>
      <c r="Z28" s="971"/>
      <c r="AA28" s="971"/>
      <c r="AB28" s="971"/>
      <c r="AC28" s="971"/>
      <c r="AD28" s="971"/>
      <c r="AE28" s="971"/>
      <c r="AF28" s="971"/>
      <c r="AG28" s="971"/>
      <c r="AH28" s="971"/>
      <c r="AI28" s="971"/>
      <c r="AJ28" s="971"/>
      <c r="AK28" s="971"/>
      <c r="AL28" s="971"/>
      <c r="AM28" s="971"/>
      <c r="AN28" s="971"/>
      <c r="AO28" s="971"/>
      <c r="AP28" s="971"/>
      <c r="AQ28" s="971"/>
      <c r="AR28" s="971"/>
      <c r="AS28" s="971"/>
      <c r="AT28" s="971"/>
      <c r="AU28" s="971"/>
      <c r="AV28" s="971"/>
      <c r="AW28" s="971"/>
      <c r="AX28" s="971"/>
      <c r="AY28" s="971"/>
      <c r="AZ28" s="971"/>
      <c r="BA28" s="971"/>
      <c r="BB28" s="971"/>
      <c r="BC28" s="971"/>
      <c r="BD28" s="971"/>
      <c r="BE28" s="971"/>
      <c r="BF28" s="971"/>
      <c r="BG28" s="971"/>
      <c r="BH28" s="971"/>
      <c r="BI28" s="971"/>
      <c r="BJ28" s="971"/>
      <c r="BK28" s="971"/>
      <c r="BL28" s="971"/>
      <c r="BM28" s="971"/>
      <c r="BN28" s="971"/>
      <c r="BO28" s="971"/>
      <c r="BP28" s="971"/>
      <c r="BQ28" s="971"/>
      <c r="BR28" s="971"/>
      <c r="BS28" s="971"/>
      <c r="BT28" s="971"/>
      <c r="BU28" s="971"/>
      <c r="BV28" s="971"/>
      <c r="BW28" s="971"/>
      <c r="BX28" s="971"/>
      <c r="BY28" s="971"/>
      <c r="BZ28" s="971"/>
      <c r="CA28" s="971"/>
      <c r="CB28" s="971"/>
      <c r="CC28" s="971"/>
      <c r="CD28" s="971"/>
      <c r="CE28" s="971"/>
      <c r="CF28" s="971"/>
      <c r="CG28" s="971"/>
      <c r="CH28" s="971"/>
      <c r="CI28" s="971"/>
      <c r="CJ28" s="971"/>
      <c r="CK28" s="971"/>
      <c r="CL28" s="971"/>
      <c r="CM28" s="971"/>
      <c r="CN28" s="971"/>
      <c r="CO28" s="971"/>
      <c r="CP28" s="971"/>
      <c r="CQ28" s="971"/>
      <c r="CR28" s="971"/>
      <c r="CS28" s="971"/>
      <c r="CT28" s="971"/>
      <c r="CU28" s="971"/>
      <c r="CV28" s="971"/>
      <c r="CW28" s="971"/>
      <c r="CX28" s="971"/>
      <c r="CY28" s="971"/>
      <c r="CZ28" s="971"/>
      <c r="DA28" s="971"/>
      <c r="DB28" s="971"/>
      <c r="DC28" s="971"/>
      <c r="DD28" s="971"/>
      <c r="DE28" s="971"/>
      <c r="DF28" s="971"/>
      <c r="DG28" s="971"/>
      <c r="DH28" s="971"/>
      <c r="DI28" s="971"/>
      <c r="DJ28" s="971"/>
      <c r="DK28" s="971"/>
      <c r="DL28" s="971"/>
      <c r="DM28" s="971"/>
      <c r="DN28" s="971"/>
      <c r="DO28" s="971"/>
    </row>
    <row r="29" spans="1:119" s="27" customFormat="1" x14ac:dyDescent="0.25">
      <c r="A29" s="448" t="s">
        <v>955</v>
      </c>
      <c r="B29" s="181">
        <v>1638000</v>
      </c>
      <c r="C29" s="166">
        <v>1638000</v>
      </c>
      <c r="D29" s="967">
        <f t="shared" si="1"/>
        <v>0</v>
      </c>
      <c r="E29" s="181"/>
      <c r="F29" s="166"/>
      <c r="G29" s="967">
        <f t="shared" si="2"/>
        <v>0</v>
      </c>
      <c r="H29" s="181"/>
      <c r="I29" s="166"/>
      <c r="J29" s="967">
        <f t="shared" si="3"/>
        <v>0</v>
      </c>
      <c r="K29" s="181">
        <f t="shared" si="6"/>
        <v>1638000</v>
      </c>
      <c r="L29" s="166">
        <f t="shared" si="7"/>
        <v>1638000</v>
      </c>
      <c r="M29" s="967">
        <f t="shared" si="4"/>
        <v>0</v>
      </c>
      <c r="N29" s="203" t="e">
        <f>#REF!+#REF!+#REF!+#REF!+#REF!</f>
        <v>#REF!</v>
      </c>
      <c r="O29" s="1158"/>
      <c r="P29" s="166"/>
      <c r="Q29" s="967">
        <f t="shared" si="5"/>
        <v>0</v>
      </c>
      <c r="R29" s="971"/>
      <c r="S29" s="971"/>
      <c r="T29" s="971"/>
      <c r="U29" s="971"/>
      <c r="V29" s="971"/>
      <c r="W29" s="971"/>
      <c r="X29" s="971"/>
      <c r="Y29" s="971"/>
      <c r="Z29" s="971"/>
      <c r="AA29" s="971"/>
      <c r="AB29" s="971"/>
      <c r="AC29" s="971"/>
      <c r="AD29" s="971"/>
      <c r="AE29" s="971"/>
      <c r="AF29" s="971"/>
      <c r="AG29" s="971"/>
      <c r="AH29" s="971"/>
      <c r="AI29" s="971"/>
      <c r="AJ29" s="971"/>
      <c r="AK29" s="971"/>
      <c r="AL29" s="971"/>
      <c r="AM29" s="971"/>
      <c r="AN29" s="971"/>
      <c r="AO29" s="971"/>
      <c r="AP29" s="971"/>
      <c r="AQ29" s="971"/>
      <c r="AR29" s="971"/>
      <c r="AS29" s="971"/>
      <c r="AT29" s="971"/>
      <c r="AU29" s="971"/>
      <c r="AV29" s="971"/>
      <c r="AW29" s="971"/>
      <c r="AX29" s="971"/>
      <c r="AY29" s="971"/>
      <c r="AZ29" s="971"/>
      <c r="BA29" s="971"/>
      <c r="BB29" s="971"/>
      <c r="BC29" s="971"/>
      <c r="BD29" s="971"/>
      <c r="BE29" s="971"/>
      <c r="BF29" s="971"/>
      <c r="BG29" s="971"/>
      <c r="BH29" s="971"/>
      <c r="BI29" s="971"/>
      <c r="BJ29" s="971"/>
      <c r="BK29" s="971"/>
      <c r="BL29" s="971"/>
      <c r="BM29" s="971"/>
      <c r="BN29" s="971"/>
      <c r="BO29" s="971"/>
      <c r="BP29" s="971"/>
      <c r="BQ29" s="971"/>
      <c r="BR29" s="971"/>
      <c r="BS29" s="971"/>
      <c r="BT29" s="971"/>
      <c r="BU29" s="971"/>
      <c r="BV29" s="971"/>
      <c r="BW29" s="971"/>
      <c r="BX29" s="971"/>
      <c r="BY29" s="971"/>
      <c r="BZ29" s="971"/>
      <c r="CA29" s="971"/>
      <c r="CB29" s="971"/>
      <c r="CC29" s="971"/>
      <c r="CD29" s="971"/>
      <c r="CE29" s="971"/>
      <c r="CF29" s="971"/>
      <c r="CG29" s="971"/>
      <c r="CH29" s="971"/>
      <c r="CI29" s="971"/>
      <c r="CJ29" s="971"/>
      <c r="CK29" s="971"/>
      <c r="CL29" s="971"/>
      <c r="CM29" s="971"/>
      <c r="CN29" s="971"/>
      <c r="CO29" s="971"/>
      <c r="CP29" s="971"/>
      <c r="CQ29" s="971"/>
      <c r="CR29" s="971"/>
      <c r="CS29" s="971"/>
      <c r="CT29" s="971"/>
      <c r="CU29" s="971"/>
      <c r="CV29" s="971"/>
      <c r="CW29" s="971"/>
      <c r="CX29" s="971"/>
      <c r="CY29" s="971"/>
      <c r="CZ29" s="971"/>
      <c r="DA29" s="971"/>
      <c r="DB29" s="971"/>
      <c r="DC29" s="971"/>
      <c r="DD29" s="971"/>
      <c r="DE29" s="971"/>
      <c r="DF29" s="971"/>
      <c r="DG29" s="971"/>
      <c r="DH29" s="971"/>
      <c r="DI29" s="971"/>
      <c r="DJ29" s="971"/>
      <c r="DK29" s="971"/>
      <c r="DL29" s="971"/>
      <c r="DM29" s="971"/>
      <c r="DN29" s="971"/>
      <c r="DO29" s="971"/>
    </row>
    <row r="30" spans="1:119" s="27" customFormat="1" ht="15" customHeight="1" x14ac:dyDescent="0.25">
      <c r="A30" s="448" t="s">
        <v>956</v>
      </c>
      <c r="B30" s="181"/>
      <c r="C30" s="166"/>
      <c r="D30" s="967">
        <f t="shared" si="1"/>
        <v>0</v>
      </c>
      <c r="E30" s="181"/>
      <c r="F30" s="166"/>
      <c r="G30" s="967">
        <f t="shared" si="2"/>
        <v>0</v>
      </c>
      <c r="H30" s="181"/>
      <c r="I30" s="166"/>
      <c r="J30" s="967">
        <f t="shared" si="3"/>
        <v>0</v>
      </c>
      <c r="K30" s="181">
        <f t="shared" si="6"/>
        <v>0</v>
      </c>
      <c r="L30" s="166">
        <f t="shared" si="7"/>
        <v>0</v>
      </c>
      <c r="M30" s="967">
        <f t="shared" si="4"/>
        <v>0</v>
      </c>
      <c r="N30" s="203" t="e">
        <f>#REF!+#REF!+#REF!+#REF!+#REF!</f>
        <v>#REF!</v>
      </c>
      <c r="O30" s="1158"/>
      <c r="P30" s="166"/>
      <c r="Q30" s="967">
        <f t="shared" si="5"/>
        <v>0</v>
      </c>
      <c r="R30" s="971"/>
      <c r="S30" s="971"/>
      <c r="T30" s="971"/>
      <c r="U30" s="971"/>
      <c r="V30" s="971"/>
      <c r="W30" s="971"/>
      <c r="X30" s="971"/>
      <c r="Y30" s="971"/>
      <c r="Z30" s="971"/>
      <c r="AA30" s="971"/>
      <c r="AB30" s="971"/>
      <c r="AC30" s="971"/>
      <c r="AD30" s="971"/>
      <c r="AE30" s="971"/>
      <c r="AF30" s="971"/>
      <c r="AG30" s="971"/>
      <c r="AH30" s="971"/>
      <c r="AI30" s="971"/>
      <c r="AJ30" s="971"/>
      <c r="AK30" s="971"/>
      <c r="AL30" s="971"/>
      <c r="AM30" s="971"/>
      <c r="AN30" s="971"/>
      <c r="AO30" s="971"/>
      <c r="AP30" s="971"/>
      <c r="AQ30" s="971"/>
      <c r="AR30" s="971"/>
      <c r="AS30" s="971"/>
      <c r="AT30" s="971"/>
      <c r="AU30" s="971"/>
      <c r="AV30" s="971"/>
      <c r="AW30" s="971"/>
      <c r="AX30" s="971"/>
      <c r="AY30" s="971"/>
      <c r="AZ30" s="971"/>
      <c r="BA30" s="971"/>
      <c r="BB30" s="971"/>
      <c r="BC30" s="971"/>
      <c r="BD30" s="971"/>
      <c r="BE30" s="971"/>
      <c r="BF30" s="971"/>
      <c r="BG30" s="971"/>
      <c r="BH30" s="971"/>
      <c r="BI30" s="971"/>
      <c r="BJ30" s="971"/>
      <c r="BK30" s="971"/>
      <c r="BL30" s="971"/>
      <c r="BM30" s="971"/>
      <c r="BN30" s="971"/>
      <c r="BO30" s="971"/>
      <c r="BP30" s="971"/>
      <c r="BQ30" s="971"/>
      <c r="BR30" s="971"/>
      <c r="BS30" s="971"/>
      <c r="BT30" s="971"/>
      <c r="BU30" s="971"/>
      <c r="BV30" s="971"/>
      <c r="BW30" s="971"/>
      <c r="BX30" s="971"/>
      <c r="BY30" s="971"/>
      <c r="BZ30" s="971"/>
      <c r="CA30" s="971"/>
      <c r="CB30" s="971"/>
      <c r="CC30" s="971"/>
      <c r="CD30" s="971"/>
      <c r="CE30" s="971"/>
      <c r="CF30" s="971"/>
      <c r="CG30" s="971"/>
      <c r="CH30" s="971"/>
      <c r="CI30" s="971"/>
      <c r="CJ30" s="971"/>
      <c r="CK30" s="971"/>
      <c r="CL30" s="971"/>
      <c r="CM30" s="971"/>
      <c r="CN30" s="971"/>
      <c r="CO30" s="971"/>
      <c r="CP30" s="971"/>
      <c r="CQ30" s="971"/>
      <c r="CR30" s="971"/>
      <c r="CS30" s="971"/>
      <c r="CT30" s="971"/>
      <c r="CU30" s="971"/>
      <c r="CV30" s="971"/>
      <c r="CW30" s="971"/>
      <c r="CX30" s="971"/>
      <c r="CY30" s="971"/>
      <c r="CZ30" s="971"/>
      <c r="DA30" s="971"/>
      <c r="DB30" s="971"/>
      <c r="DC30" s="971"/>
      <c r="DD30" s="971"/>
      <c r="DE30" s="971"/>
      <c r="DF30" s="971"/>
      <c r="DG30" s="971"/>
      <c r="DH30" s="971"/>
      <c r="DI30" s="971"/>
      <c r="DJ30" s="971"/>
      <c r="DK30" s="971"/>
      <c r="DL30" s="971"/>
      <c r="DM30" s="971"/>
      <c r="DN30" s="971"/>
      <c r="DO30" s="971"/>
    </row>
    <row r="31" spans="1:119" s="27" customFormat="1" ht="15" customHeight="1" x14ac:dyDescent="0.25">
      <c r="A31" s="447" t="s">
        <v>868</v>
      </c>
      <c r="B31" s="181"/>
      <c r="C31" s="166"/>
      <c r="D31" s="967">
        <f t="shared" si="1"/>
        <v>0</v>
      </c>
      <c r="E31" s="181"/>
      <c r="F31" s="166"/>
      <c r="G31" s="967">
        <f t="shared" si="2"/>
        <v>0</v>
      </c>
      <c r="H31" s="181"/>
      <c r="I31" s="166"/>
      <c r="J31" s="967">
        <f t="shared" si="3"/>
        <v>0</v>
      </c>
      <c r="K31" s="181">
        <f t="shared" si="6"/>
        <v>0</v>
      </c>
      <c r="L31" s="166">
        <f t="shared" si="7"/>
        <v>0</v>
      </c>
      <c r="M31" s="967">
        <f t="shared" si="4"/>
        <v>0</v>
      </c>
      <c r="N31" s="203"/>
      <c r="O31" s="181"/>
      <c r="P31" s="166"/>
      <c r="Q31" s="967">
        <f t="shared" si="5"/>
        <v>0</v>
      </c>
      <c r="R31" s="971"/>
      <c r="S31" s="971"/>
      <c r="T31" s="971"/>
      <c r="U31" s="971"/>
      <c r="V31" s="971"/>
      <c r="W31" s="971"/>
      <c r="X31" s="971"/>
      <c r="Y31" s="971"/>
      <c r="Z31" s="971"/>
      <c r="AA31" s="971"/>
      <c r="AB31" s="971"/>
      <c r="AC31" s="971"/>
      <c r="AD31" s="971"/>
      <c r="AE31" s="971"/>
      <c r="AF31" s="971"/>
      <c r="AG31" s="971"/>
      <c r="AH31" s="971"/>
      <c r="AI31" s="971"/>
      <c r="AJ31" s="971"/>
      <c r="AK31" s="971"/>
      <c r="AL31" s="971"/>
      <c r="AM31" s="971"/>
      <c r="AN31" s="971"/>
      <c r="AO31" s="971"/>
      <c r="AP31" s="971"/>
      <c r="AQ31" s="971"/>
      <c r="AR31" s="971"/>
      <c r="AS31" s="971"/>
      <c r="AT31" s="971"/>
      <c r="AU31" s="971"/>
      <c r="AV31" s="971"/>
      <c r="AW31" s="971"/>
      <c r="AX31" s="971"/>
      <c r="AY31" s="971"/>
      <c r="AZ31" s="971"/>
      <c r="BA31" s="971"/>
      <c r="BB31" s="971"/>
      <c r="BC31" s="971"/>
      <c r="BD31" s="971"/>
      <c r="BE31" s="971"/>
      <c r="BF31" s="971"/>
      <c r="BG31" s="971"/>
      <c r="BH31" s="971"/>
      <c r="BI31" s="971"/>
      <c r="BJ31" s="971"/>
      <c r="BK31" s="971"/>
      <c r="BL31" s="971"/>
      <c r="BM31" s="971"/>
      <c r="BN31" s="971"/>
      <c r="BO31" s="971"/>
      <c r="BP31" s="971"/>
      <c r="BQ31" s="971"/>
      <c r="BR31" s="971"/>
      <c r="BS31" s="971"/>
      <c r="BT31" s="971"/>
      <c r="BU31" s="971"/>
      <c r="BV31" s="971"/>
      <c r="BW31" s="971"/>
      <c r="BX31" s="971"/>
      <c r="BY31" s="971"/>
      <c r="BZ31" s="971"/>
      <c r="CA31" s="971"/>
      <c r="CB31" s="971"/>
      <c r="CC31" s="971"/>
      <c r="CD31" s="971"/>
      <c r="CE31" s="971"/>
      <c r="CF31" s="971"/>
      <c r="CG31" s="971"/>
      <c r="CH31" s="971"/>
      <c r="CI31" s="971"/>
      <c r="CJ31" s="971"/>
      <c r="CK31" s="971"/>
      <c r="CL31" s="971"/>
      <c r="CM31" s="971"/>
      <c r="CN31" s="971"/>
      <c r="CO31" s="971"/>
      <c r="CP31" s="971"/>
      <c r="CQ31" s="971"/>
      <c r="CR31" s="971"/>
      <c r="CS31" s="971"/>
      <c r="CT31" s="971"/>
      <c r="CU31" s="971"/>
      <c r="CV31" s="971"/>
      <c r="CW31" s="971"/>
      <c r="CX31" s="971"/>
      <c r="CY31" s="971"/>
      <c r="CZ31" s="971"/>
      <c r="DA31" s="971"/>
      <c r="DB31" s="971"/>
      <c r="DC31" s="971"/>
      <c r="DD31" s="971"/>
      <c r="DE31" s="971"/>
      <c r="DF31" s="971"/>
      <c r="DG31" s="971"/>
      <c r="DH31" s="971"/>
      <c r="DI31" s="971"/>
      <c r="DJ31" s="971"/>
      <c r="DK31" s="971"/>
      <c r="DL31" s="971"/>
      <c r="DM31" s="971"/>
      <c r="DN31" s="971"/>
      <c r="DO31" s="971"/>
    </row>
    <row r="32" spans="1:119" s="27" customFormat="1" ht="15" customHeight="1" x14ac:dyDescent="0.25">
      <c r="A32" s="447" t="s">
        <v>866</v>
      </c>
      <c r="B32" s="181"/>
      <c r="C32" s="166"/>
      <c r="D32" s="967">
        <f t="shared" si="1"/>
        <v>0</v>
      </c>
      <c r="E32" s="181"/>
      <c r="F32" s="166"/>
      <c r="G32" s="967">
        <f t="shared" si="2"/>
        <v>0</v>
      </c>
      <c r="H32" s="181"/>
      <c r="I32" s="166"/>
      <c r="J32" s="967">
        <f t="shared" si="3"/>
        <v>0</v>
      </c>
      <c r="K32" s="181">
        <f t="shared" si="6"/>
        <v>0</v>
      </c>
      <c r="L32" s="166">
        <f t="shared" si="7"/>
        <v>0</v>
      </c>
      <c r="M32" s="967">
        <f t="shared" si="4"/>
        <v>0</v>
      </c>
      <c r="N32" s="203"/>
      <c r="O32" s="181"/>
      <c r="P32" s="166"/>
      <c r="Q32" s="967">
        <f t="shared" si="5"/>
        <v>0</v>
      </c>
      <c r="R32" s="971"/>
      <c r="S32" s="971"/>
      <c r="T32" s="971"/>
      <c r="U32" s="971"/>
      <c r="V32" s="971"/>
      <c r="W32" s="971"/>
      <c r="X32" s="971"/>
      <c r="Y32" s="971"/>
      <c r="Z32" s="971"/>
      <c r="AA32" s="971"/>
      <c r="AB32" s="971"/>
      <c r="AC32" s="971"/>
      <c r="AD32" s="971"/>
      <c r="AE32" s="971"/>
      <c r="AF32" s="971"/>
      <c r="AG32" s="971"/>
      <c r="AH32" s="971"/>
      <c r="AI32" s="971"/>
      <c r="AJ32" s="971"/>
      <c r="AK32" s="971"/>
      <c r="AL32" s="971"/>
      <c r="AM32" s="971"/>
      <c r="AN32" s="971"/>
      <c r="AO32" s="971"/>
      <c r="AP32" s="971"/>
      <c r="AQ32" s="971"/>
      <c r="AR32" s="971"/>
      <c r="AS32" s="971"/>
      <c r="AT32" s="971"/>
      <c r="AU32" s="971"/>
      <c r="AV32" s="971"/>
      <c r="AW32" s="971"/>
      <c r="AX32" s="971"/>
      <c r="AY32" s="971"/>
      <c r="AZ32" s="971"/>
      <c r="BA32" s="971"/>
      <c r="BB32" s="971"/>
      <c r="BC32" s="971"/>
      <c r="BD32" s="971"/>
      <c r="BE32" s="971"/>
      <c r="BF32" s="971"/>
      <c r="BG32" s="971"/>
      <c r="BH32" s="971"/>
      <c r="BI32" s="971"/>
      <c r="BJ32" s="971"/>
      <c r="BK32" s="971"/>
      <c r="BL32" s="971"/>
      <c r="BM32" s="971"/>
      <c r="BN32" s="971"/>
      <c r="BO32" s="971"/>
      <c r="BP32" s="971"/>
      <c r="BQ32" s="971"/>
      <c r="BR32" s="971"/>
      <c r="BS32" s="971"/>
      <c r="BT32" s="971"/>
      <c r="BU32" s="971"/>
      <c r="BV32" s="971"/>
      <c r="BW32" s="971"/>
      <c r="BX32" s="971"/>
      <c r="BY32" s="971"/>
      <c r="BZ32" s="971"/>
      <c r="CA32" s="971"/>
      <c r="CB32" s="971"/>
      <c r="CC32" s="971"/>
      <c r="CD32" s="971"/>
      <c r="CE32" s="971"/>
      <c r="CF32" s="971"/>
      <c r="CG32" s="971"/>
      <c r="CH32" s="971"/>
      <c r="CI32" s="971"/>
      <c r="CJ32" s="971"/>
      <c r="CK32" s="971"/>
      <c r="CL32" s="971"/>
      <c r="CM32" s="971"/>
      <c r="CN32" s="971"/>
      <c r="CO32" s="971"/>
      <c r="CP32" s="971"/>
      <c r="CQ32" s="971"/>
      <c r="CR32" s="971"/>
      <c r="CS32" s="971"/>
      <c r="CT32" s="971"/>
      <c r="CU32" s="971"/>
      <c r="CV32" s="971"/>
      <c r="CW32" s="971"/>
      <c r="CX32" s="971"/>
      <c r="CY32" s="971"/>
      <c r="CZ32" s="971"/>
      <c r="DA32" s="971"/>
      <c r="DB32" s="971"/>
      <c r="DC32" s="971"/>
      <c r="DD32" s="971"/>
      <c r="DE32" s="971"/>
      <c r="DF32" s="971"/>
      <c r="DG32" s="971"/>
      <c r="DH32" s="971"/>
      <c r="DI32" s="971"/>
      <c r="DJ32" s="971"/>
      <c r="DK32" s="971"/>
      <c r="DL32" s="971"/>
      <c r="DM32" s="971"/>
      <c r="DN32" s="971"/>
      <c r="DO32" s="971"/>
    </row>
    <row r="33" spans="1:119" s="27" customFormat="1" ht="17.25" customHeight="1" x14ac:dyDescent="0.25">
      <c r="A33" s="450" t="s">
        <v>867</v>
      </c>
      <c r="B33" s="181">
        <v>20000</v>
      </c>
      <c r="C33" s="166">
        <v>20000</v>
      </c>
      <c r="D33" s="967">
        <f t="shared" si="1"/>
        <v>0</v>
      </c>
      <c r="E33" s="181"/>
      <c r="F33" s="166"/>
      <c r="G33" s="967">
        <f t="shared" si="2"/>
        <v>0</v>
      </c>
      <c r="H33" s="181"/>
      <c r="I33" s="166"/>
      <c r="J33" s="967">
        <f t="shared" si="3"/>
        <v>0</v>
      </c>
      <c r="K33" s="181">
        <f t="shared" si="6"/>
        <v>20000</v>
      </c>
      <c r="L33" s="166">
        <f t="shared" si="7"/>
        <v>20000</v>
      </c>
      <c r="M33" s="967">
        <f t="shared" si="4"/>
        <v>0</v>
      </c>
      <c r="N33" s="203" t="e">
        <f>#REF!+#REF!+#REF!+#REF!+#REF!</f>
        <v>#REF!</v>
      </c>
      <c r="O33" s="181"/>
      <c r="P33" s="166"/>
      <c r="Q33" s="967">
        <f t="shared" si="5"/>
        <v>0</v>
      </c>
      <c r="R33" s="971"/>
      <c r="S33" s="971"/>
      <c r="T33" s="971"/>
      <c r="U33" s="971"/>
      <c r="V33" s="971"/>
      <c r="W33" s="971"/>
      <c r="X33" s="971"/>
      <c r="Y33" s="971"/>
      <c r="Z33" s="971"/>
      <c r="AA33" s="971"/>
      <c r="AB33" s="971"/>
      <c r="AC33" s="971"/>
      <c r="AD33" s="971"/>
      <c r="AE33" s="971"/>
      <c r="AF33" s="971"/>
      <c r="AG33" s="971"/>
      <c r="AH33" s="971"/>
      <c r="AI33" s="971"/>
      <c r="AJ33" s="971"/>
      <c r="AK33" s="971"/>
      <c r="AL33" s="971"/>
      <c r="AM33" s="971"/>
      <c r="AN33" s="971"/>
      <c r="AO33" s="971"/>
      <c r="AP33" s="971"/>
      <c r="AQ33" s="971"/>
      <c r="AR33" s="971"/>
      <c r="AS33" s="971"/>
      <c r="AT33" s="971"/>
      <c r="AU33" s="971"/>
      <c r="AV33" s="971"/>
      <c r="AW33" s="971"/>
      <c r="AX33" s="971"/>
      <c r="AY33" s="971"/>
      <c r="AZ33" s="971"/>
      <c r="BA33" s="971"/>
      <c r="BB33" s="971"/>
      <c r="BC33" s="971"/>
      <c r="BD33" s="971"/>
      <c r="BE33" s="971"/>
      <c r="BF33" s="971"/>
      <c r="BG33" s="971"/>
      <c r="BH33" s="971"/>
      <c r="BI33" s="971"/>
      <c r="BJ33" s="971"/>
      <c r="BK33" s="971"/>
      <c r="BL33" s="971"/>
      <c r="BM33" s="971"/>
      <c r="BN33" s="971"/>
      <c r="BO33" s="971"/>
      <c r="BP33" s="971"/>
      <c r="BQ33" s="971"/>
      <c r="BR33" s="971"/>
      <c r="BS33" s="971"/>
      <c r="BT33" s="971"/>
      <c r="BU33" s="971"/>
      <c r="BV33" s="971"/>
      <c r="BW33" s="971"/>
      <c r="BX33" s="971"/>
      <c r="BY33" s="971"/>
      <c r="BZ33" s="971"/>
      <c r="CA33" s="971"/>
      <c r="CB33" s="971"/>
      <c r="CC33" s="971"/>
      <c r="CD33" s="971"/>
      <c r="CE33" s="971"/>
      <c r="CF33" s="971"/>
      <c r="CG33" s="971"/>
      <c r="CH33" s="971"/>
      <c r="CI33" s="971"/>
      <c r="CJ33" s="971"/>
      <c r="CK33" s="971"/>
      <c r="CL33" s="971"/>
      <c r="CM33" s="971"/>
      <c r="CN33" s="971"/>
      <c r="CO33" s="971"/>
      <c r="CP33" s="971"/>
      <c r="CQ33" s="971"/>
      <c r="CR33" s="971"/>
      <c r="CS33" s="971"/>
      <c r="CT33" s="971"/>
      <c r="CU33" s="971"/>
      <c r="CV33" s="971"/>
      <c r="CW33" s="971"/>
      <c r="CX33" s="971"/>
      <c r="CY33" s="971"/>
      <c r="CZ33" s="971"/>
      <c r="DA33" s="971"/>
      <c r="DB33" s="971"/>
      <c r="DC33" s="971"/>
      <c r="DD33" s="971"/>
      <c r="DE33" s="971"/>
      <c r="DF33" s="971"/>
      <c r="DG33" s="971"/>
      <c r="DH33" s="971"/>
      <c r="DI33" s="971"/>
      <c r="DJ33" s="971"/>
      <c r="DK33" s="971"/>
      <c r="DL33" s="971"/>
      <c r="DM33" s="971"/>
      <c r="DN33" s="971"/>
      <c r="DO33" s="971"/>
    </row>
    <row r="34" spans="1:119" s="25" customFormat="1" ht="14.25" customHeight="1" x14ac:dyDescent="0.25">
      <c r="A34" s="446" t="s">
        <v>890</v>
      </c>
      <c r="B34" s="180">
        <f>SUM(B35:B39)</f>
        <v>0</v>
      </c>
      <c r="C34" s="133">
        <f>SUM(C35:C39)</f>
        <v>0</v>
      </c>
      <c r="D34" s="968">
        <f t="shared" si="1"/>
        <v>0</v>
      </c>
      <c r="E34" s="180">
        <f>SUM(E35:E39)</f>
        <v>0</v>
      </c>
      <c r="F34" s="133">
        <f>SUM(F35:F39)</f>
        <v>0</v>
      </c>
      <c r="G34" s="968">
        <f t="shared" si="2"/>
        <v>0</v>
      </c>
      <c r="H34" s="180">
        <f>SUM(H35:H39)</f>
        <v>0</v>
      </c>
      <c r="I34" s="133">
        <f>SUM(I35:I39)</f>
        <v>0</v>
      </c>
      <c r="J34" s="968">
        <f t="shared" si="3"/>
        <v>0</v>
      </c>
      <c r="K34" s="180">
        <f>SUM(K35:K39)</f>
        <v>0</v>
      </c>
      <c r="L34" s="133">
        <f>SUM(L35:L39)</f>
        <v>0</v>
      </c>
      <c r="M34" s="968">
        <f t="shared" si="4"/>
        <v>0</v>
      </c>
      <c r="N34" s="197" t="e">
        <f>#REF!+#REF!+#REF!+#REF!+#REF!</f>
        <v>#REF!</v>
      </c>
      <c r="O34" s="180">
        <f>SUM(O35:O39)</f>
        <v>0</v>
      </c>
      <c r="P34" s="133">
        <f>SUM(P35:P39)</f>
        <v>211023</v>
      </c>
      <c r="Q34" s="968">
        <f t="shared" si="5"/>
        <v>211023</v>
      </c>
      <c r="R34" s="964"/>
      <c r="S34" s="964"/>
      <c r="T34" s="964"/>
      <c r="U34" s="964"/>
      <c r="V34" s="964"/>
      <c r="W34" s="964"/>
      <c r="X34" s="964"/>
      <c r="Y34" s="964"/>
      <c r="Z34" s="964"/>
      <c r="AA34" s="964"/>
      <c r="AB34" s="964"/>
      <c r="AC34" s="964"/>
      <c r="AD34" s="964"/>
      <c r="AE34" s="964"/>
      <c r="AF34" s="964"/>
      <c r="AG34" s="964"/>
      <c r="AH34" s="964"/>
      <c r="AI34" s="964"/>
      <c r="AJ34" s="964"/>
      <c r="AK34" s="964"/>
      <c r="AL34" s="964"/>
      <c r="AM34" s="964"/>
      <c r="AN34" s="964"/>
      <c r="AO34" s="964"/>
      <c r="AP34" s="964"/>
      <c r="AQ34" s="964"/>
      <c r="AR34" s="964"/>
      <c r="AS34" s="964"/>
      <c r="AT34" s="964"/>
      <c r="AU34" s="964"/>
      <c r="AV34" s="964"/>
      <c r="AW34" s="964"/>
      <c r="AX34" s="964"/>
      <c r="AY34" s="964"/>
      <c r="AZ34" s="964"/>
      <c r="BA34" s="964"/>
      <c r="BB34" s="964"/>
      <c r="BC34" s="964"/>
      <c r="BD34" s="964"/>
      <c r="BE34" s="964"/>
      <c r="BF34" s="964"/>
      <c r="BG34" s="964"/>
      <c r="BH34" s="964"/>
      <c r="BI34" s="964"/>
      <c r="BJ34" s="964"/>
      <c r="BK34" s="964"/>
      <c r="BL34" s="964"/>
      <c r="BM34" s="964"/>
      <c r="BN34" s="964"/>
      <c r="BO34" s="964"/>
      <c r="BP34" s="964"/>
      <c r="BQ34" s="964"/>
      <c r="BR34" s="964"/>
      <c r="BS34" s="964"/>
      <c r="BT34" s="964"/>
      <c r="BU34" s="964"/>
      <c r="BV34" s="964"/>
      <c r="BW34" s="964"/>
      <c r="BX34" s="964"/>
      <c r="BY34" s="964"/>
      <c r="BZ34" s="964"/>
      <c r="CA34" s="964"/>
      <c r="CB34" s="964"/>
      <c r="CC34" s="964"/>
      <c r="CD34" s="964"/>
      <c r="CE34" s="964"/>
      <c r="CF34" s="964"/>
      <c r="CG34" s="964"/>
      <c r="CH34" s="964"/>
      <c r="CI34" s="964"/>
      <c r="CJ34" s="964"/>
      <c r="CK34" s="964"/>
      <c r="CL34" s="964"/>
      <c r="CM34" s="964"/>
      <c r="CN34" s="964"/>
      <c r="CO34" s="964"/>
      <c r="CP34" s="964"/>
      <c r="CQ34" s="964"/>
      <c r="CR34" s="964"/>
      <c r="CS34" s="964"/>
      <c r="CT34" s="964"/>
      <c r="CU34" s="964"/>
      <c r="CV34" s="964"/>
      <c r="CW34" s="964"/>
      <c r="CX34" s="964"/>
      <c r="CY34" s="964"/>
      <c r="CZ34" s="964"/>
      <c r="DA34" s="964"/>
      <c r="DB34" s="964"/>
      <c r="DC34" s="964"/>
      <c r="DD34" s="964"/>
      <c r="DE34" s="964"/>
      <c r="DF34" s="964"/>
      <c r="DG34" s="964"/>
      <c r="DH34" s="964"/>
      <c r="DI34" s="964"/>
      <c r="DJ34" s="964"/>
      <c r="DK34" s="964"/>
      <c r="DL34" s="964"/>
      <c r="DM34" s="964"/>
      <c r="DN34" s="964"/>
      <c r="DO34" s="964"/>
    </row>
    <row r="35" spans="1:119" s="27" customFormat="1" ht="15" customHeight="1" x14ac:dyDescent="0.25">
      <c r="A35" s="444" t="s">
        <v>957</v>
      </c>
      <c r="B35" s="181"/>
      <c r="C35" s="166"/>
      <c r="D35" s="967">
        <f t="shared" si="1"/>
        <v>0</v>
      </c>
      <c r="E35" s="181"/>
      <c r="F35" s="166"/>
      <c r="G35" s="967">
        <f t="shared" si="2"/>
        <v>0</v>
      </c>
      <c r="H35" s="181"/>
      <c r="I35" s="166"/>
      <c r="J35" s="967">
        <f t="shared" si="3"/>
        <v>0</v>
      </c>
      <c r="K35" s="181">
        <f t="shared" ref="K35:L39" si="8">B35+E35+H35</f>
        <v>0</v>
      </c>
      <c r="L35" s="166">
        <f t="shared" si="8"/>
        <v>0</v>
      </c>
      <c r="M35" s="967">
        <f t="shared" si="4"/>
        <v>0</v>
      </c>
      <c r="N35" s="204"/>
      <c r="O35" s="181"/>
      <c r="P35" s="166"/>
      <c r="Q35" s="967">
        <f t="shared" si="5"/>
        <v>0</v>
      </c>
      <c r="R35" s="971"/>
      <c r="S35" s="971"/>
      <c r="T35" s="971"/>
      <c r="U35" s="971"/>
      <c r="V35" s="971"/>
      <c r="W35" s="971"/>
      <c r="X35" s="971"/>
      <c r="Y35" s="971"/>
      <c r="Z35" s="971"/>
      <c r="AA35" s="971"/>
      <c r="AB35" s="971"/>
      <c r="AC35" s="971"/>
      <c r="AD35" s="971"/>
      <c r="AE35" s="971"/>
      <c r="AF35" s="971"/>
      <c r="AG35" s="971"/>
      <c r="AH35" s="971"/>
      <c r="AI35" s="971"/>
      <c r="AJ35" s="971"/>
      <c r="AK35" s="971"/>
      <c r="AL35" s="971"/>
      <c r="AM35" s="971"/>
      <c r="AN35" s="971"/>
      <c r="AO35" s="971"/>
      <c r="AP35" s="971"/>
      <c r="AQ35" s="971"/>
      <c r="AR35" s="971"/>
      <c r="AS35" s="971"/>
      <c r="AT35" s="971"/>
      <c r="AU35" s="971"/>
      <c r="AV35" s="971"/>
      <c r="AW35" s="971"/>
      <c r="AX35" s="971"/>
      <c r="AY35" s="971"/>
      <c r="AZ35" s="971"/>
      <c r="BA35" s="971"/>
      <c r="BB35" s="971"/>
      <c r="BC35" s="971"/>
      <c r="BD35" s="971"/>
      <c r="BE35" s="971"/>
      <c r="BF35" s="971"/>
      <c r="BG35" s="971"/>
      <c r="BH35" s="971"/>
      <c r="BI35" s="971"/>
      <c r="BJ35" s="971"/>
      <c r="BK35" s="971"/>
      <c r="BL35" s="971"/>
      <c r="BM35" s="971"/>
      <c r="BN35" s="971"/>
      <c r="BO35" s="971"/>
      <c r="BP35" s="971"/>
      <c r="BQ35" s="971"/>
      <c r="BR35" s="971"/>
      <c r="BS35" s="971"/>
      <c r="BT35" s="971"/>
      <c r="BU35" s="971"/>
      <c r="BV35" s="971"/>
      <c r="BW35" s="971"/>
      <c r="BX35" s="971"/>
      <c r="BY35" s="971"/>
      <c r="BZ35" s="971"/>
      <c r="CA35" s="971"/>
      <c r="CB35" s="971"/>
      <c r="CC35" s="971"/>
      <c r="CD35" s="971"/>
      <c r="CE35" s="971"/>
      <c r="CF35" s="971"/>
      <c r="CG35" s="971"/>
      <c r="CH35" s="971"/>
      <c r="CI35" s="971"/>
      <c r="CJ35" s="971"/>
      <c r="CK35" s="971"/>
      <c r="CL35" s="971"/>
      <c r="CM35" s="971"/>
      <c r="CN35" s="971"/>
      <c r="CO35" s="971"/>
      <c r="CP35" s="971"/>
      <c r="CQ35" s="971"/>
      <c r="CR35" s="971"/>
      <c r="CS35" s="971"/>
      <c r="CT35" s="971"/>
      <c r="CU35" s="971"/>
      <c r="CV35" s="971"/>
      <c r="CW35" s="971"/>
      <c r="CX35" s="971"/>
      <c r="CY35" s="971"/>
      <c r="CZ35" s="971"/>
      <c r="DA35" s="971"/>
      <c r="DB35" s="971"/>
      <c r="DC35" s="971"/>
      <c r="DD35" s="971"/>
      <c r="DE35" s="971"/>
      <c r="DF35" s="971"/>
      <c r="DG35" s="971"/>
      <c r="DH35" s="971"/>
      <c r="DI35" s="971"/>
      <c r="DJ35" s="971"/>
      <c r="DK35" s="971"/>
      <c r="DL35" s="971"/>
      <c r="DM35" s="971"/>
      <c r="DN35" s="971"/>
      <c r="DO35" s="971"/>
    </row>
    <row r="36" spans="1:119" s="27" customFormat="1" ht="15" customHeight="1" x14ac:dyDescent="0.25">
      <c r="A36" s="444" t="s">
        <v>958</v>
      </c>
      <c r="B36" s="181"/>
      <c r="C36" s="166"/>
      <c r="D36" s="967">
        <f t="shared" si="1"/>
        <v>0</v>
      </c>
      <c r="E36" s="181"/>
      <c r="F36" s="166"/>
      <c r="G36" s="967">
        <f t="shared" si="2"/>
        <v>0</v>
      </c>
      <c r="H36" s="181"/>
      <c r="I36" s="166"/>
      <c r="J36" s="967">
        <f t="shared" si="3"/>
        <v>0</v>
      </c>
      <c r="K36" s="181">
        <f t="shared" si="8"/>
        <v>0</v>
      </c>
      <c r="L36" s="166">
        <f t="shared" si="8"/>
        <v>0</v>
      </c>
      <c r="M36" s="967">
        <f t="shared" si="4"/>
        <v>0</v>
      </c>
      <c r="N36" s="204"/>
      <c r="O36" s="181"/>
      <c r="P36" s="166"/>
      <c r="Q36" s="967">
        <f t="shared" si="5"/>
        <v>0</v>
      </c>
      <c r="R36" s="971"/>
      <c r="S36" s="971"/>
      <c r="T36" s="971"/>
      <c r="U36" s="971"/>
      <c r="V36" s="971"/>
      <c r="W36" s="971"/>
      <c r="X36" s="971"/>
      <c r="Y36" s="971"/>
      <c r="Z36" s="971"/>
      <c r="AA36" s="971"/>
      <c r="AB36" s="971"/>
      <c r="AC36" s="971"/>
      <c r="AD36" s="971"/>
      <c r="AE36" s="971"/>
      <c r="AF36" s="971"/>
      <c r="AG36" s="971"/>
      <c r="AH36" s="971"/>
      <c r="AI36" s="971"/>
      <c r="AJ36" s="971"/>
      <c r="AK36" s="971"/>
      <c r="AL36" s="971"/>
      <c r="AM36" s="971"/>
      <c r="AN36" s="971"/>
      <c r="AO36" s="971"/>
      <c r="AP36" s="971"/>
      <c r="AQ36" s="971"/>
      <c r="AR36" s="971"/>
      <c r="AS36" s="971"/>
      <c r="AT36" s="971"/>
      <c r="AU36" s="971"/>
      <c r="AV36" s="971"/>
      <c r="AW36" s="971"/>
      <c r="AX36" s="971"/>
      <c r="AY36" s="971"/>
      <c r="AZ36" s="971"/>
      <c r="BA36" s="971"/>
      <c r="BB36" s="971"/>
      <c r="BC36" s="971"/>
      <c r="BD36" s="971"/>
      <c r="BE36" s="971"/>
      <c r="BF36" s="971"/>
      <c r="BG36" s="971"/>
      <c r="BH36" s="971"/>
      <c r="BI36" s="971"/>
      <c r="BJ36" s="971"/>
      <c r="BK36" s="971"/>
      <c r="BL36" s="971"/>
      <c r="BM36" s="971"/>
      <c r="BN36" s="971"/>
      <c r="BO36" s="971"/>
      <c r="BP36" s="971"/>
      <c r="BQ36" s="971"/>
      <c r="BR36" s="971"/>
      <c r="BS36" s="971"/>
      <c r="BT36" s="971"/>
      <c r="BU36" s="971"/>
      <c r="BV36" s="971"/>
      <c r="BW36" s="971"/>
      <c r="BX36" s="971"/>
      <c r="BY36" s="971"/>
      <c r="BZ36" s="971"/>
      <c r="CA36" s="971"/>
      <c r="CB36" s="971"/>
      <c r="CC36" s="971"/>
      <c r="CD36" s="971"/>
      <c r="CE36" s="971"/>
      <c r="CF36" s="971"/>
      <c r="CG36" s="971"/>
      <c r="CH36" s="971"/>
      <c r="CI36" s="971"/>
      <c r="CJ36" s="971"/>
      <c r="CK36" s="971"/>
      <c r="CL36" s="971"/>
      <c r="CM36" s="971"/>
      <c r="CN36" s="971"/>
      <c r="CO36" s="971"/>
      <c r="CP36" s="971"/>
      <c r="CQ36" s="971"/>
      <c r="CR36" s="971"/>
      <c r="CS36" s="971"/>
      <c r="CT36" s="971"/>
      <c r="CU36" s="971"/>
      <c r="CV36" s="971"/>
      <c r="CW36" s="971"/>
      <c r="CX36" s="971"/>
      <c r="CY36" s="971"/>
      <c r="CZ36" s="971"/>
      <c r="DA36" s="971"/>
      <c r="DB36" s="971"/>
      <c r="DC36" s="971"/>
      <c r="DD36" s="971"/>
      <c r="DE36" s="971"/>
      <c r="DF36" s="971"/>
      <c r="DG36" s="971"/>
      <c r="DH36" s="971"/>
      <c r="DI36" s="971"/>
      <c r="DJ36" s="971"/>
      <c r="DK36" s="971"/>
      <c r="DL36" s="971"/>
      <c r="DM36" s="971"/>
      <c r="DN36" s="971"/>
      <c r="DO36" s="971"/>
    </row>
    <row r="37" spans="1:119" s="27" customFormat="1" ht="15" customHeight="1" x14ac:dyDescent="0.25">
      <c r="A37" s="451" t="s">
        <v>959</v>
      </c>
      <c r="B37" s="181"/>
      <c r="C37" s="166"/>
      <c r="D37" s="967">
        <f t="shared" si="1"/>
        <v>0</v>
      </c>
      <c r="E37" s="181"/>
      <c r="F37" s="166"/>
      <c r="G37" s="967">
        <f t="shared" si="2"/>
        <v>0</v>
      </c>
      <c r="H37" s="181"/>
      <c r="I37" s="166"/>
      <c r="J37" s="967">
        <f t="shared" si="3"/>
        <v>0</v>
      </c>
      <c r="K37" s="181">
        <f t="shared" si="8"/>
        <v>0</v>
      </c>
      <c r="L37" s="166">
        <f t="shared" si="8"/>
        <v>0</v>
      </c>
      <c r="M37" s="967">
        <f t="shared" si="4"/>
        <v>0</v>
      </c>
      <c r="N37" s="204"/>
      <c r="O37" s="181"/>
      <c r="P37" s="166">
        <v>211023</v>
      </c>
      <c r="Q37" s="967">
        <f t="shared" si="5"/>
        <v>211023</v>
      </c>
      <c r="R37" s="971"/>
      <c r="S37" s="971"/>
      <c r="T37" s="971"/>
      <c r="U37" s="971"/>
      <c r="V37" s="971"/>
      <c r="W37" s="971"/>
      <c r="X37" s="971"/>
      <c r="Y37" s="971"/>
      <c r="Z37" s="971"/>
      <c r="AA37" s="971"/>
      <c r="AB37" s="971"/>
      <c r="AC37" s="971"/>
      <c r="AD37" s="971"/>
      <c r="AE37" s="971"/>
      <c r="AF37" s="971"/>
      <c r="AG37" s="971"/>
      <c r="AH37" s="971"/>
      <c r="AI37" s="971"/>
      <c r="AJ37" s="971"/>
      <c r="AK37" s="971"/>
      <c r="AL37" s="971"/>
      <c r="AM37" s="971"/>
      <c r="AN37" s="971"/>
      <c r="AO37" s="971"/>
      <c r="AP37" s="971"/>
      <c r="AQ37" s="971"/>
      <c r="AR37" s="971"/>
      <c r="AS37" s="971"/>
      <c r="AT37" s="971"/>
      <c r="AU37" s="971"/>
      <c r="AV37" s="971"/>
      <c r="AW37" s="971"/>
      <c r="AX37" s="971"/>
      <c r="AY37" s="971"/>
      <c r="AZ37" s="971"/>
      <c r="BA37" s="971"/>
      <c r="BB37" s="971"/>
      <c r="BC37" s="971"/>
      <c r="BD37" s="971"/>
      <c r="BE37" s="971"/>
      <c r="BF37" s="971"/>
      <c r="BG37" s="971"/>
      <c r="BH37" s="971"/>
      <c r="BI37" s="971"/>
      <c r="BJ37" s="971"/>
      <c r="BK37" s="971"/>
      <c r="BL37" s="971"/>
      <c r="BM37" s="971"/>
      <c r="BN37" s="971"/>
      <c r="BO37" s="971"/>
      <c r="BP37" s="971"/>
      <c r="BQ37" s="971"/>
      <c r="BR37" s="971"/>
      <c r="BS37" s="971"/>
      <c r="BT37" s="971"/>
      <c r="BU37" s="971"/>
      <c r="BV37" s="971"/>
      <c r="BW37" s="971"/>
      <c r="BX37" s="971"/>
      <c r="BY37" s="971"/>
      <c r="BZ37" s="971"/>
      <c r="CA37" s="971"/>
      <c r="CB37" s="971"/>
      <c r="CC37" s="971"/>
      <c r="CD37" s="971"/>
      <c r="CE37" s="971"/>
      <c r="CF37" s="971"/>
      <c r="CG37" s="971"/>
      <c r="CH37" s="971"/>
      <c r="CI37" s="971"/>
      <c r="CJ37" s="971"/>
      <c r="CK37" s="971"/>
      <c r="CL37" s="971"/>
      <c r="CM37" s="971"/>
      <c r="CN37" s="971"/>
      <c r="CO37" s="971"/>
      <c r="CP37" s="971"/>
      <c r="CQ37" s="971"/>
      <c r="CR37" s="971"/>
      <c r="CS37" s="971"/>
      <c r="CT37" s="971"/>
      <c r="CU37" s="971"/>
      <c r="CV37" s="971"/>
      <c r="CW37" s="971"/>
      <c r="CX37" s="971"/>
      <c r="CY37" s="971"/>
      <c r="CZ37" s="971"/>
      <c r="DA37" s="971"/>
      <c r="DB37" s="971"/>
      <c r="DC37" s="971"/>
      <c r="DD37" s="971"/>
      <c r="DE37" s="971"/>
      <c r="DF37" s="971"/>
      <c r="DG37" s="971"/>
      <c r="DH37" s="971"/>
      <c r="DI37" s="971"/>
      <c r="DJ37" s="971"/>
      <c r="DK37" s="971"/>
      <c r="DL37" s="971"/>
      <c r="DM37" s="971"/>
      <c r="DN37" s="971"/>
      <c r="DO37" s="971"/>
    </row>
    <row r="38" spans="1:119" s="27" customFormat="1" ht="15" customHeight="1" x14ac:dyDescent="0.25">
      <c r="A38" s="444" t="s">
        <v>960</v>
      </c>
      <c r="B38" s="181"/>
      <c r="C38" s="166"/>
      <c r="D38" s="967">
        <f t="shared" si="1"/>
        <v>0</v>
      </c>
      <c r="E38" s="181"/>
      <c r="F38" s="166"/>
      <c r="G38" s="967">
        <f t="shared" si="2"/>
        <v>0</v>
      </c>
      <c r="H38" s="181"/>
      <c r="I38" s="166"/>
      <c r="J38" s="967">
        <f t="shared" si="3"/>
        <v>0</v>
      </c>
      <c r="K38" s="181">
        <f t="shared" si="8"/>
        <v>0</v>
      </c>
      <c r="L38" s="166">
        <f t="shared" si="8"/>
        <v>0</v>
      </c>
      <c r="M38" s="967">
        <f t="shared" si="4"/>
        <v>0</v>
      </c>
      <c r="N38" s="204"/>
      <c r="O38" s="181"/>
      <c r="P38" s="166"/>
      <c r="Q38" s="967">
        <f t="shared" si="5"/>
        <v>0</v>
      </c>
      <c r="R38" s="971"/>
      <c r="S38" s="971"/>
      <c r="T38" s="971"/>
      <c r="U38" s="971"/>
      <c r="V38" s="971"/>
      <c r="W38" s="971"/>
      <c r="X38" s="971"/>
      <c r="Y38" s="971"/>
      <c r="Z38" s="971"/>
      <c r="AA38" s="971"/>
      <c r="AB38" s="971"/>
      <c r="AC38" s="971"/>
      <c r="AD38" s="971"/>
      <c r="AE38" s="971"/>
      <c r="AF38" s="971"/>
      <c r="AG38" s="971"/>
      <c r="AH38" s="971"/>
      <c r="AI38" s="971"/>
      <c r="AJ38" s="971"/>
      <c r="AK38" s="971"/>
      <c r="AL38" s="971"/>
      <c r="AM38" s="971"/>
      <c r="AN38" s="971"/>
      <c r="AO38" s="971"/>
      <c r="AP38" s="971"/>
      <c r="AQ38" s="971"/>
      <c r="AR38" s="971"/>
      <c r="AS38" s="971"/>
      <c r="AT38" s="971"/>
      <c r="AU38" s="971"/>
      <c r="AV38" s="971"/>
      <c r="AW38" s="971"/>
      <c r="AX38" s="971"/>
      <c r="AY38" s="971"/>
      <c r="AZ38" s="971"/>
      <c r="BA38" s="971"/>
      <c r="BB38" s="971"/>
      <c r="BC38" s="971"/>
      <c r="BD38" s="971"/>
      <c r="BE38" s="971"/>
      <c r="BF38" s="971"/>
      <c r="BG38" s="971"/>
      <c r="BH38" s="971"/>
      <c r="BI38" s="971"/>
      <c r="BJ38" s="971"/>
      <c r="BK38" s="971"/>
      <c r="BL38" s="971"/>
      <c r="BM38" s="971"/>
      <c r="BN38" s="971"/>
      <c r="BO38" s="971"/>
      <c r="BP38" s="971"/>
      <c r="BQ38" s="971"/>
      <c r="BR38" s="971"/>
      <c r="BS38" s="971"/>
      <c r="BT38" s="971"/>
      <c r="BU38" s="971"/>
      <c r="BV38" s="971"/>
      <c r="BW38" s="971"/>
      <c r="BX38" s="971"/>
      <c r="BY38" s="971"/>
      <c r="BZ38" s="971"/>
      <c r="CA38" s="971"/>
      <c r="CB38" s="971"/>
      <c r="CC38" s="971"/>
      <c r="CD38" s="971"/>
      <c r="CE38" s="971"/>
      <c r="CF38" s="971"/>
      <c r="CG38" s="971"/>
      <c r="CH38" s="971"/>
      <c r="CI38" s="971"/>
      <c r="CJ38" s="971"/>
      <c r="CK38" s="971"/>
      <c r="CL38" s="971"/>
      <c r="CM38" s="971"/>
      <c r="CN38" s="971"/>
      <c r="CO38" s="971"/>
      <c r="CP38" s="971"/>
      <c r="CQ38" s="971"/>
      <c r="CR38" s="971"/>
      <c r="CS38" s="971"/>
      <c r="CT38" s="971"/>
      <c r="CU38" s="971"/>
      <c r="CV38" s="971"/>
      <c r="CW38" s="971"/>
      <c r="CX38" s="971"/>
      <c r="CY38" s="971"/>
      <c r="CZ38" s="971"/>
      <c r="DA38" s="971"/>
      <c r="DB38" s="971"/>
      <c r="DC38" s="971"/>
      <c r="DD38" s="971"/>
      <c r="DE38" s="971"/>
      <c r="DF38" s="971"/>
      <c r="DG38" s="971"/>
      <c r="DH38" s="971"/>
      <c r="DI38" s="971"/>
      <c r="DJ38" s="971"/>
      <c r="DK38" s="971"/>
      <c r="DL38" s="971"/>
      <c r="DM38" s="971"/>
      <c r="DN38" s="971"/>
      <c r="DO38" s="971"/>
    </row>
    <row r="39" spans="1:119" s="27" customFormat="1" ht="24" customHeight="1" x14ac:dyDescent="0.25">
      <c r="A39" s="444" t="s">
        <v>961</v>
      </c>
      <c r="B39" s="181"/>
      <c r="C39" s="166"/>
      <c r="D39" s="967">
        <f t="shared" si="1"/>
        <v>0</v>
      </c>
      <c r="E39" s="181"/>
      <c r="F39" s="166"/>
      <c r="G39" s="967">
        <f t="shared" si="2"/>
        <v>0</v>
      </c>
      <c r="H39" s="181"/>
      <c r="I39" s="166"/>
      <c r="J39" s="967">
        <f t="shared" si="3"/>
        <v>0</v>
      </c>
      <c r="K39" s="181">
        <f t="shared" si="8"/>
        <v>0</v>
      </c>
      <c r="L39" s="166">
        <f t="shared" si="8"/>
        <v>0</v>
      </c>
      <c r="M39" s="967">
        <f t="shared" si="4"/>
        <v>0</v>
      </c>
      <c r="N39" s="204"/>
      <c r="O39" s="181"/>
      <c r="P39" s="166"/>
      <c r="Q39" s="967">
        <f t="shared" si="5"/>
        <v>0</v>
      </c>
      <c r="R39" s="971"/>
      <c r="S39" s="971"/>
      <c r="T39" s="971"/>
      <c r="U39" s="971"/>
      <c r="V39" s="971"/>
      <c r="W39" s="971"/>
      <c r="X39" s="971"/>
      <c r="Y39" s="971"/>
      <c r="Z39" s="971"/>
      <c r="AA39" s="971"/>
      <c r="AB39" s="971"/>
      <c r="AC39" s="971"/>
      <c r="AD39" s="971"/>
      <c r="AE39" s="971"/>
      <c r="AF39" s="971"/>
      <c r="AG39" s="971"/>
      <c r="AH39" s="971"/>
      <c r="AI39" s="971"/>
      <c r="AJ39" s="971"/>
      <c r="AK39" s="971"/>
      <c r="AL39" s="971"/>
      <c r="AM39" s="971"/>
      <c r="AN39" s="971"/>
      <c r="AO39" s="971"/>
      <c r="AP39" s="971"/>
      <c r="AQ39" s="971"/>
      <c r="AR39" s="971"/>
      <c r="AS39" s="971"/>
      <c r="AT39" s="971"/>
      <c r="AU39" s="971"/>
      <c r="AV39" s="971"/>
      <c r="AW39" s="971"/>
      <c r="AX39" s="971"/>
      <c r="AY39" s="971"/>
      <c r="AZ39" s="971"/>
      <c r="BA39" s="971"/>
      <c r="BB39" s="971"/>
      <c r="BC39" s="971"/>
      <c r="BD39" s="971"/>
      <c r="BE39" s="971"/>
      <c r="BF39" s="971"/>
      <c r="BG39" s="971"/>
      <c r="BH39" s="971"/>
      <c r="BI39" s="971"/>
      <c r="BJ39" s="971"/>
      <c r="BK39" s="971"/>
      <c r="BL39" s="971"/>
      <c r="BM39" s="971"/>
      <c r="BN39" s="971"/>
      <c r="BO39" s="971"/>
      <c r="BP39" s="971"/>
      <c r="BQ39" s="971"/>
      <c r="BR39" s="971"/>
      <c r="BS39" s="971"/>
      <c r="BT39" s="971"/>
      <c r="BU39" s="971"/>
      <c r="BV39" s="971"/>
      <c r="BW39" s="971"/>
      <c r="BX39" s="971"/>
      <c r="BY39" s="971"/>
      <c r="BZ39" s="971"/>
      <c r="CA39" s="971"/>
      <c r="CB39" s="971"/>
      <c r="CC39" s="971"/>
      <c r="CD39" s="971"/>
      <c r="CE39" s="971"/>
      <c r="CF39" s="971"/>
      <c r="CG39" s="971"/>
      <c r="CH39" s="971"/>
      <c r="CI39" s="971"/>
      <c r="CJ39" s="971"/>
      <c r="CK39" s="971"/>
      <c r="CL39" s="971"/>
      <c r="CM39" s="971"/>
      <c r="CN39" s="971"/>
      <c r="CO39" s="971"/>
      <c r="CP39" s="971"/>
      <c r="CQ39" s="971"/>
      <c r="CR39" s="971"/>
      <c r="CS39" s="971"/>
      <c r="CT39" s="971"/>
      <c r="CU39" s="971"/>
      <c r="CV39" s="971"/>
      <c r="CW39" s="971"/>
      <c r="CX39" s="971"/>
      <c r="CY39" s="971"/>
      <c r="CZ39" s="971"/>
      <c r="DA39" s="971"/>
      <c r="DB39" s="971"/>
      <c r="DC39" s="971"/>
      <c r="DD39" s="971"/>
      <c r="DE39" s="971"/>
      <c r="DF39" s="971"/>
      <c r="DG39" s="971"/>
      <c r="DH39" s="971"/>
      <c r="DI39" s="971"/>
      <c r="DJ39" s="971"/>
      <c r="DK39" s="971"/>
      <c r="DL39" s="971"/>
      <c r="DM39" s="971"/>
      <c r="DN39" s="971"/>
      <c r="DO39" s="971"/>
    </row>
    <row r="40" spans="1:119" s="25" customFormat="1" ht="24.75" customHeight="1" x14ac:dyDescent="0.25">
      <c r="A40" s="446" t="s">
        <v>891</v>
      </c>
      <c r="B40" s="181"/>
      <c r="C40" s="166"/>
      <c r="D40" s="967">
        <f t="shared" si="1"/>
        <v>0</v>
      </c>
      <c r="E40" s="181"/>
      <c r="F40" s="166"/>
      <c r="G40" s="967">
        <f t="shared" si="2"/>
        <v>0</v>
      </c>
      <c r="H40" s="181"/>
      <c r="I40" s="166"/>
      <c r="J40" s="967">
        <f t="shared" si="3"/>
        <v>0</v>
      </c>
      <c r="K40" s="180">
        <f>SUM(K41)</f>
        <v>0</v>
      </c>
      <c r="L40" s="133">
        <f>SUM(L41)</f>
        <v>0</v>
      </c>
      <c r="M40" s="967">
        <f t="shared" si="4"/>
        <v>0</v>
      </c>
      <c r="N40" s="197" t="e">
        <f>#REF!+#REF!+#REF!+#REF!+#REF!</f>
        <v>#REF!</v>
      </c>
      <c r="O40" s="180">
        <f>SUM(O41)</f>
        <v>0</v>
      </c>
      <c r="P40" s="133">
        <f>SUM(P41)</f>
        <v>0</v>
      </c>
      <c r="Q40" s="967">
        <f t="shared" si="5"/>
        <v>0</v>
      </c>
      <c r="R40" s="964"/>
      <c r="S40" s="964"/>
      <c r="T40" s="964"/>
      <c r="U40" s="964"/>
      <c r="V40" s="964"/>
      <c r="W40" s="964"/>
      <c r="X40" s="964"/>
      <c r="Y40" s="964"/>
      <c r="Z40" s="964"/>
      <c r="AA40" s="964"/>
      <c r="AB40" s="964"/>
      <c r="AC40" s="964"/>
      <c r="AD40" s="964"/>
      <c r="AE40" s="964"/>
      <c r="AF40" s="964"/>
      <c r="AG40" s="964"/>
      <c r="AH40" s="964"/>
      <c r="AI40" s="964"/>
      <c r="AJ40" s="964"/>
      <c r="AK40" s="964"/>
      <c r="AL40" s="964"/>
      <c r="AM40" s="964"/>
      <c r="AN40" s="964"/>
      <c r="AO40" s="964"/>
      <c r="AP40" s="964"/>
      <c r="AQ40" s="964"/>
      <c r="AR40" s="964"/>
      <c r="AS40" s="964"/>
      <c r="AT40" s="964"/>
      <c r="AU40" s="964"/>
      <c r="AV40" s="964"/>
      <c r="AW40" s="964"/>
      <c r="AX40" s="964"/>
      <c r="AY40" s="964"/>
      <c r="AZ40" s="964"/>
      <c r="BA40" s="964"/>
      <c r="BB40" s="964"/>
      <c r="BC40" s="964"/>
      <c r="BD40" s="964"/>
      <c r="BE40" s="964"/>
      <c r="BF40" s="964"/>
      <c r="BG40" s="964"/>
      <c r="BH40" s="964"/>
      <c r="BI40" s="964"/>
      <c r="BJ40" s="964"/>
      <c r="BK40" s="964"/>
      <c r="BL40" s="964"/>
      <c r="BM40" s="964"/>
      <c r="BN40" s="964"/>
      <c r="BO40" s="964"/>
      <c r="BP40" s="964"/>
      <c r="BQ40" s="964"/>
      <c r="BR40" s="964"/>
      <c r="BS40" s="964"/>
      <c r="BT40" s="964"/>
      <c r="BU40" s="964"/>
      <c r="BV40" s="964"/>
      <c r="BW40" s="964"/>
      <c r="BX40" s="964"/>
      <c r="BY40" s="964"/>
      <c r="BZ40" s="964"/>
      <c r="CA40" s="964"/>
      <c r="CB40" s="964"/>
      <c r="CC40" s="964"/>
      <c r="CD40" s="964"/>
      <c r="CE40" s="964"/>
      <c r="CF40" s="964"/>
      <c r="CG40" s="964"/>
      <c r="CH40" s="964"/>
      <c r="CI40" s="964"/>
      <c r="CJ40" s="964"/>
      <c r="CK40" s="964"/>
      <c r="CL40" s="964"/>
      <c r="CM40" s="964"/>
      <c r="CN40" s="964"/>
      <c r="CO40" s="964"/>
      <c r="CP40" s="964"/>
      <c r="CQ40" s="964"/>
      <c r="CR40" s="964"/>
      <c r="CS40" s="964"/>
      <c r="CT40" s="964"/>
      <c r="CU40" s="964"/>
      <c r="CV40" s="964"/>
      <c r="CW40" s="964"/>
      <c r="CX40" s="964"/>
      <c r="CY40" s="964"/>
      <c r="CZ40" s="964"/>
      <c r="DA40" s="964"/>
      <c r="DB40" s="964"/>
      <c r="DC40" s="964"/>
      <c r="DD40" s="964"/>
      <c r="DE40" s="964"/>
      <c r="DF40" s="964"/>
      <c r="DG40" s="964"/>
      <c r="DH40" s="964"/>
      <c r="DI40" s="964"/>
      <c r="DJ40" s="964"/>
      <c r="DK40" s="964"/>
      <c r="DL40" s="964"/>
      <c r="DM40" s="964"/>
      <c r="DN40" s="964"/>
      <c r="DO40" s="964"/>
    </row>
    <row r="41" spans="1:119" s="27" customFormat="1" x14ac:dyDescent="0.25">
      <c r="A41" s="444" t="s">
        <v>447</v>
      </c>
      <c r="B41" s="181"/>
      <c r="C41" s="166"/>
      <c r="D41" s="967">
        <f t="shared" si="1"/>
        <v>0</v>
      </c>
      <c r="E41" s="181"/>
      <c r="F41" s="166"/>
      <c r="G41" s="967">
        <f t="shared" si="2"/>
        <v>0</v>
      </c>
      <c r="H41" s="181"/>
      <c r="I41" s="166"/>
      <c r="J41" s="967">
        <f t="shared" si="3"/>
        <v>0</v>
      </c>
      <c r="K41" s="181">
        <f t="shared" ref="K41:L45" si="9">B41+E41+H41</f>
        <v>0</v>
      </c>
      <c r="L41" s="166">
        <f t="shared" si="9"/>
        <v>0</v>
      </c>
      <c r="M41" s="967">
        <f t="shared" si="4"/>
        <v>0</v>
      </c>
      <c r="N41" s="204"/>
      <c r="O41" s="181"/>
      <c r="P41" s="166"/>
      <c r="Q41" s="967">
        <f t="shared" si="5"/>
        <v>0</v>
      </c>
      <c r="R41" s="971"/>
      <c r="S41" s="971"/>
      <c r="T41" s="971"/>
      <c r="U41" s="971"/>
      <c r="V41" s="971"/>
      <c r="W41" s="971"/>
      <c r="X41" s="971"/>
      <c r="Y41" s="971"/>
      <c r="Z41" s="971"/>
      <c r="AA41" s="971"/>
      <c r="AB41" s="971"/>
      <c r="AC41" s="971"/>
      <c r="AD41" s="971"/>
      <c r="AE41" s="971"/>
      <c r="AF41" s="971"/>
      <c r="AG41" s="971"/>
      <c r="AH41" s="971"/>
      <c r="AI41" s="971"/>
      <c r="AJ41" s="971"/>
      <c r="AK41" s="971"/>
      <c r="AL41" s="971"/>
      <c r="AM41" s="971"/>
      <c r="AN41" s="971"/>
      <c r="AO41" s="971"/>
      <c r="AP41" s="971"/>
      <c r="AQ41" s="971"/>
      <c r="AR41" s="971"/>
      <c r="AS41" s="971"/>
      <c r="AT41" s="971"/>
      <c r="AU41" s="971"/>
      <c r="AV41" s="971"/>
      <c r="AW41" s="971"/>
      <c r="AX41" s="971"/>
      <c r="AY41" s="971"/>
      <c r="AZ41" s="971"/>
      <c r="BA41" s="971"/>
      <c r="BB41" s="971"/>
      <c r="BC41" s="971"/>
      <c r="BD41" s="971"/>
      <c r="BE41" s="971"/>
      <c r="BF41" s="971"/>
      <c r="BG41" s="971"/>
      <c r="BH41" s="971"/>
      <c r="BI41" s="971"/>
      <c r="BJ41" s="971"/>
      <c r="BK41" s="971"/>
      <c r="BL41" s="971"/>
      <c r="BM41" s="971"/>
      <c r="BN41" s="971"/>
      <c r="BO41" s="971"/>
      <c r="BP41" s="971"/>
      <c r="BQ41" s="971"/>
      <c r="BR41" s="971"/>
      <c r="BS41" s="971"/>
      <c r="BT41" s="971"/>
      <c r="BU41" s="971"/>
      <c r="BV41" s="971"/>
      <c r="BW41" s="971"/>
      <c r="BX41" s="971"/>
      <c r="BY41" s="971"/>
      <c r="BZ41" s="971"/>
      <c r="CA41" s="971"/>
      <c r="CB41" s="971"/>
      <c r="CC41" s="971"/>
      <c r="CD41" s="971"/>
      <c r="CE41" s="971"/>
      <c r="CF41" s="971"/>
      <c r="CG41" s="971"/>
      <c r="CH41" s="971"/>
      <c r="CI41" s="971"/>
      <c r="CJ41" s="971"/>
      <c r="CK41" s="971"/>
      <c r="CL41" s="971"/>
      <c r="CM41" s="971"/>
      <c r="CN41" s="971"/>
      <c r="CO41" s="971"/>
      <c r="CP41" s="971"/>
      <c r="CQ41" s="971"/>
      <c r="CR41" s="971"/>
      <c r="CS41" s="971"/>
      <c r="CT41" s="971"/>
      <c r="CU41" s="971"/>
      <c r="CV41" s="971"/>
      <c r="CW41" s="971"/>
      <c r="CX41" s="971"/>
      <c r="CY41" s="971"/>
      <c r="CZ41" s="971"/>
      <c r="DA41" s="971"/>
      <c r="DB41" s="971"/>
      <c r="DC41" s="971"/>
      <c r="DD41" s="971"/>
      <c r="DE41" s="971"/>
      <c r="DF41" s="971"/>
      <c r="DG41" s="971"/>
      <c r="DH41" s="971"/>
      <c r="DI41" s="971"/>
      <c r="DJ41" s="971"/>
      <c r="DK41" s="971"/>
      <c r="DL41" s="971"/>
      <c r="DM41" s="971"/>
      <c r="DN41" s="971"/>
      <c r="DO41" s="971"/>
    </row>
    <row r="42" spans="1:119" s="25" customFormat="1" ht="27" customHeight="1" x14ac:dyDescent="0.25">
      <c r="A42" s="445" t="s">
        <v>892</v>
      </c>
      <c r="B42" s="180"/>
      <c r="C42" s="133"/>
      <c r="D42" s="968">
        <f t="shared" si="1"/>
        <v>0</v>
      </c>
      <c r="E42" s="180"/>
      <c r="F42" s="133"/>
      <c r="G42" s="968">
        <f t="shared" si="2"/>
        <v>0</v>
      </c>
      <c r="H42" s="180"/>
      <c r="I42" s="133"/>
      <c r="J42" s="968">
        <f t="shared" si="3"/>
        <v>0</v>
      </c>
      <c r="K42" s="180">
        <f t="shared" si="9"/>
        <v>0</v>
      </c>
      <c r="L42" s="133">
        <f t="shared" si="9"/>
        <v>0</v>
      </c>
      <c r="M42" s="968">
        <f t="shared" si="4"/>
        <v>0</v>
      </c>
      <c r="N42" s="197" t="e">
        <f>#REF!+#REF!+#REF!+#REF!+#REF!</f>
        <v>#REF!</v>
      </c>
      <c r="O42" s="180">
        <f>SUM(O43)</f>
        <v>0</v>
      </c>
      <c r="P42" s="133">
        <f>SUM(P43)</f>
        <v>0</v>
      </c>
      <c r="Q42" s="968">
        <f t="shared" si="5"/>
        <v>0</v>
      </c>
      <c r="R42" s="964"/>
      <c r="S42" s="964"/>
      <c r="T42" s="964"/>
      <c r="U42" s="964"/>
      <c r="V42" s="964"/>
      <c r="W42" s="964"/>
      <c r="X42" s="964"/>
      <c r="Y42" s="964"/>
      <c r="Z42" s="964"/>
      <c r="AA42" s="964"/>
      <c r="AB42" s="964"/>
      <c r="AC42" s="964"/>
      <c r="AD42" s="964"/>
      <c r="AE42" s="964"/>
      <c r="AF42" s="964"/>
      <c r="AG42" s="964"/>
      <c r="AH42" s="964"/>
      <c r="AI42" s="964"/>
      <c r="AJ42" s="964"/>
      <c r="AK42" s="964"/>
      <c r="AL42" s="964"/>
      <c r="AM42" s="964"/>
      <c r="AN42" s="964"/>
      <c r="AO42" s="964"/>
      <c r="AP42" s="964"/>
      <c r="AQ42" s="964"/>
      <c r="AR42" s="964"/>
      <c r="AS42" s="964"/>
      <c r="AT42" s="964"/>
      <c r="AU42" s="964"/>
      <c r="AV42" s="964"/>
      <c r="AW42" s="964"/>
      <c r="AX42" s="964"/>
      <c r="AY42" s="964"/>
      <c r="AZ42" s="964"/>
      <c r="BA42" s="964"/>
      <c r="BB42" s="964"/>
      <c r="BC42" s="964"/>
      <c r="BD42" s="964"/>
      <c r="BE42" s="964"/>
      <c r="BF42" s="964"/>
      <c r="BG42" s="964"/>
      <c r="BH42" s="964"/>
      <c r="BI42" s="964"/>
      <c r="BJ42" s="964"/>
      <c r="BK42" s="964"/>
      <c r="BL42" s="964"/>
      <c r="BM42" s="964"/>
      <c r="BN42" s="964"/>
      <c r="BO42" s="964"/>
      <c r="BP42" s="964"/>
      <c r="BQ42" s="964"/>
      <c r="BR42" s="964"/>
      <c r="BS42" s="964"/>
      <c r="BT42" s="964"/>
      <c r="BU42" s="964"/>
      <c r="BV42" s="964"/>
      <c r="BW42" s="964"/>
      <c r="BX42" s="964"/>
      <c r="BY42" s="964"/>
      <c r="BZ42" s="964"/>
      <c r="CA42" s="964"/>
      <c r="CB42" s="964"/>
      <c r="CC42" s="964"/>
      <c r="CD42" s="964"/>
      <c r="CE42" s="964"/>
      <c r="CF42" s="964"/>
      <c r="CG42" s="964"/>
      <c r="CH42" s="964"/>
      <c r="CI42" s="964"/>
      <c r="CJ42" s="964"/>
      <c r="CK42" s="964"/>
      <c r="CL42" s="964"/>
      <c r="CM42" s="964"/>
      <c r="CN42" s="964"/>
      <c r="CO42" s="964"/>
      <c r="CP42" s="964"/>
      <c r="CQ42" s="964"/>
      <c r="CR42" s="964"/>
      <c r="CS42" s="964"/>
      <c r="CT42" s="964"/>
      <c r="CU42" s="964"/>
      <c r="CV42" s="964"/>
      <c r="CW42" s="964"/>
      <c r="CX42" s="964"/>
      <c r="CY42" s="964"/>
      <c r="CZ42" s="964"/>
      <c r="DA42" s="964"/>
      <c r="DB42" s="964"/>
      <c r="DC42" s="964"/>
      <c r="DD42" s="964"/>
      <c r="DE42" s="964"/>
      <c r="DF42" s="964"/>
      <c r="DG42" s="964"/>
      <c r="DH42" s="964"/>
      <c r="DI42" s="964"/>
      <c r="DJ42" s="964"/>
      <c r="DK42" s="964"/>
      <c r="DL42" s="964"/>
      <c r="DM42" s="964"/>
      <c r="DN42" s="964"/>
      <c r="DO42" s="964"/>
    </row>
    <row r="43" spans="1:119" s="27" customFormat="1" ht="22.5" customHeight="1" x14ac:dyDescent="0.25">
      <c r="A43" s="444" t="s">
        <v>450</v>
      </c>
      <c r="B43" s="181"/>
      <c r="C43" s="166"/>
      <c r="D43" s="967">
        <f t="shared" si="1"/>
        <v>0</v>
      </c>
      <c r="E43" s="181"/>
      <c r="F43" s="166"/>
      <c r="G43" s="967">
        <f t="shared" si="2"/>
        <v>0</v>
      </c>
      <c r="H43" s="181"/>
      <c r="I43" s="166"/>
      <c r="J43" s="967">
        <f t="shared" si="3"/>
        <v>0</v>
      </c>
      <c r="K43" s="181">
        <f t="shared" si="9"/>
        <v>0</v>
      </c>
      <c r="L43" s="166">
        <f t="shared" si="9"/>
        <v>0</v>
      </c>
      <c r="M43" s="967">
        <f t="shared" si="4"/>
        <v>0</v>
      </c>
      <c r="N43" s="204"/>
      <c r="O43" s="181"/>
      <c r="P43" s="166"/>
      <c r="Q43" s="967">
        <f t="shared" si="5"/>
        <v>0</v>
      </c>
      <c r="R43" s="971"/>
      <c r="S43" s="971"/>
      <c r="T43" s="971"/>
      <c r="U43" s="971"/>
      <c r="V43" s="971"/>
      <c r="W43" s="971"/>
      <c r="X43" s="971"/>
      <c r="Y43" s="971"/>
      <c r="Z43" s="971"/>
      <c r="AA43" s="971"/>
      <c r="AB43" s="971"/>
      <c r="AC43" s="971"/>
      <c r="AD43" s="971"/>
      <c r="AE43" s="971"/>
      <c r="AF43" s="971"/>
      <c r="AG43" s="971"/>
      <c r="AH43" s="971"/>
      <c r="AI43" s="971"/>
      <c r="AJ43" s="971"/>
      <c r="AK43" s="971"/>
      <c r="AL43" s="971"/>
      <c r="AM43" s="971"/>
      <c r="AN43" s="971"/>
      <c r="AO43" s="971"/>
      <c r="AP43" s="971"/>
      <c r="AQ43" s="971"/>
      <c r="AR43" s="971"/>
      <c r="AS43" s="971"/>
      <c r="AT43" s="971"/>
      <c r="AU43" s="971"/>
      <c r="AV43" s="971"/>
      <c r="AW43" s="971"/>
      <c r="AX43" s="971"/>
      <c r="AY43" s="971"/>
      <c r="AZ43" s="971"/>
      <c r="BA43" s="971"/>
      <c r="BB43" s="971"/>
      <c r="BC43" s="971"/>
      <c r="BD43" s="971"/>
      <c r="BE43" s="971"/>
      <c r="BF43" s="971"/>
      <c r="BG43" s="971"/>
      <c r="BH43" s="971"/>
      <c r="BI43" s="971"/>
      <c r="BJ43" s="971"/>
      <c r="BK43" s="971"/>
      <c r="BL43" s="971"/>
      <c r="BM43" s="971"/>
      <c r="BN43" s="971"/>
      <c r="BO43" s="971"/>
      <c r="BP43" s="971"/>
      <c r="BQ43" s="971"/>
      <c r="BR43" s="971"/>
      <c r="BS43" s="971"/>
      <c r="BT43" s="971"/>
      <c r="BU43" s="971"/>
      <c r="BV43" s="971"/>
      <c r="BW43" s="971"/>
      <c r="BX43" s="971"/>
      <c r="BY43" s="971"/>
      <c r="BZ43" s="971"/>
      <c r="CA43" s="971"/>
      <c r="CB43" s="971"/>
      <c r="CC43" s="971"/>
      <c r="CD43" s="971"/>
      <c r="CE43" s="971"/>
      <c r="CF43" s="971"/>
      <c r="CG43" s="971"/>
      <c r="CH43" s="971"/>
      <c r="CI43" s="971"/>
      <c r="CJ43" s="971"/>
      <c r="CK43" s="971"/>
      <c r="CL43" s="971"/>
      <c r="CM43" s="971"/>
      <c r="CN43" s="971"/>
      <c r="CO43" s="971"/>
      <c r="CP43" s="971"/>
      <c r="CQ43" s="971"/>
      <c r="CR43" s="971"/>
      <c r="CS43" s="971"/>
      <c r="CT43" s="971"/>
      <c r="CU43" s="971"/>
      <c r="CV43" s="971"/>
      <c r="CW43" s="971"/>
      <c r="CX43" s="971"/>
      <c r="CY43" s="971"/>
      <c r="CZ43" s="971"/>
      <c r="DA43" s="971"/>
      <c r="DB43" s="971"/>
      <c r="DC43" s="971"/>
      <c r="DD43" s="971"/>
      <c r="DE43" s="971"/>
      <c r="DF43" s="971"/>
      <c r="DG43" s="971"/>
      <c r="DH43" s="971"/>
      <c r="DI43" s="971"/>
      <c r="DJ43" s="971"/>
      <c r="DK43" s="971"/>
      <c r="DL43" s="971"/>
      <c r="DM43" s="971"/>
      <c r="DN43" s="971"/>
      <c r="DO43" s="971"/>
    </row>
    <row r="44" spans="1:119" s="25" customFormat="1" ht="18" customHeight="1" x14ac:dyDescent="0.25">
      <c r="A44" s="446" t="s">
        <v>893</v>
      </c>
      <c r="B44" s="180">
        <f>B42+B40+B34+B21+B17+B15+B12</f>
        <v>13118271</v>
      </c>
      <c r="C44" s="133">
        <f>C42+C40+C34+C21+C17+C15+C12</f>
        <v>13118271</v>
      </c>
      <c r="D44" s="968">
        <f t="shared" si="1"/>
        <v>0</v>
      </c>
      <c r="E44" s="180">
        <f>E42+E40+E34+E21+E17+E15+E12</f>
        <v>153438941</v>
      </c>
      <c r="F44" s="133">
        <f>F42+F40+F34+F21+F17+F15+F12</f>
        <v>156566855</v>
      </c>
      <c r="G44" s="968">
        <f t="shared" si="2"/>
        <v>3127914</v>
      </c>
      <c r="H44" s="180">
        <f>H42+H40+H34+H21+H17+H15+H12</f>
        <v>2827953</v>
      </c>
      <c r="I44" s="133">
        <f>I42+I40+I34+I21+I17+I15+I12</f>
        <v>2827953</v>
      </c>
      <c r="J44" s="968">
        <f t="shared" si="3"/>
        <v>0</v>
      </c>
      <c r="K44" s="180">
        <f t="shared" si="9"/>
        <v>169385165</v>
      </c>
      <c r="L44" s="133">
        <f t="shared" si="9"/>
        <v>172513079</v>
      </c>
      <c r="M44" s="968">
        <f t="shared" si="4"/>
        <v>3127914</v>
      </c>
      <c r="N44" s="197" t="e">
        <f>N42+N40+N34+N21+N17+N15+N12</f>
        <v>#REF!</v>
      </c>
      <c r="O44" s="180">
        <f>O42+O40+O34+O21+O17+O15+O12</f>
        <v>49017493</v>
      </c>
      <c r="P44" s="133">
        <f>P42+P40+P34+P21+P17+P15+P12</f>
        <v>59162323</v>
      </c>
      <c r="Q44" s="968">
        <f t="shared" si="5"/>
        <v>10144830</v>
      </c>
      <c r="R44" s="969"/>
      <c r="S44" s="969"/>
      <c r="T44" s="969"/>
      <c r="U44" s="964"/>
      <c r="V44" s="964"/>
      <c r="W44" s="964"/>
      <c r="X44" s="964"/>
      <c r="Y44" s="964"/>
      <c r="Z44" s="964"/>
      <c r="AA44" s="964"/>
      <c r="AB44" s="964"/>
      <c r="AC44" s="964"/>
      <c r="AD44" s="964"/>
      <c r="AE44" s="964"/>
      <c r="AF44" s="964"/>
      <c r="AG44" s="964"/>
      <c r="AH44" s="964"/>
      <c r="AI44" s="964"/>
      <c r="AJ44" s="964"/>
      <c r="AK44" s="964"/>
      <c r="AL44" s="964"/>
      <c r="AM44" s="964"/>
      <c r="AN44" s="964"/>
      <c r="AO44" s="964"/>
      <c r="AP44" s="964"/>
      <c r="AQ44" s="964"/>
      <c r="AR44" s="964"/>
      <c r="AS44" s="964"/>
      <c r="AT44" s="964"/>
      <c r="AU44" s="964"/>
      <c r="AV44" s="964"/>
      <c r="AW44" s="964"/>
      <c r="AX44" s="964"/>
      <c r="AY44" s="964"/>
      <c r="AZ44" s="964"/>
      <c r="BA44" s="964"/>
      <c r="BB44" s="964"/>
      <c r="BC44" s="964"/>
      <c r="BD44" s="964"/>
      <c r="BE44" s="964"/>
      <c r="BF44" s="964"/>
      <c r="BG44" s="964"/>
      <c r="BH44" s="964"/>
      <c r="BI44" s="964"/>
      <c r="BJ44" s="964"/>
      <c r="BK44" s="964"/>
      <c r="BL44" s="964"/>
      <c r="BM44" s="964"/>
      <c r="BN44" s="964"/>
      <c r="BO44" s="964"/>
      <c r="BP44" s="964"/>
      <c r="BQ44" s="964"/>
      <c r="BR44" s="964"/>
      <c r="BS44" s="964"/>
      <c r="BT44" s="964"/>
      <c r="BU44" s="964"/>
      <c r="BV44" s="964"/>
      <c r="BW44" s="964"/>
      <c r="BX44" s="964"/>
      <c r="BY44" s="964"/>
      <c r="BZ44" s="964"/>
      <c r="CA44" s="964"/>
      <c r="CB44" s="964"/>
      <c r="CC44" s="964"/>
      <c r="CD44" s="964"/>
      <c r="CE44" s="964"/>
      <c r="CF44" s="964"/>
      <c r="CG44" s="964"/>
      <c r="CH44" s="964"/>
      <c r="CI44" s="964"/>
      <c r="CJ44" s="964"/>
      <c r="CK44" s="964"/>
      <c r="CL44" s="964"/>
      <c r="CM44" s="964"/>
      <c r="CN44" s="964"/>
      <c r="CO44" s="964"/>
      <c r="CP44" s="964"/>
      <c r="CQ44" s="964"/>
      <c r="CR44" s="964"/>
      <c r="CS44" s="964"/>
      <c r="CT44" s="964"/>
      <c r="CU44" s="964"/>
      <c r="CV44" s="964"/>
      <c r="CW44" s="964"/>
      <c r="CX44" s="964"/>
      <c r="CY44" s="964"/>
      <c r="CZ44" s="964"/>
      <c r="DA44" s="964"/>
      <c r="DB44" s="964"/>
      <c r="DC44" s="964"/>
      <c r="DD44" s="964"/>
      <c r="DE44" s="964"/>
      <c r="DF44" s="964"/>
      <c r="DG44" s="964"/>
      <c r="DH44" s="964"/>
      <c r="DI44" s="964"/>
      <c r="DJ44" s="964"/>
      <c r="DK44" s="964"/>
      <c r="DL44" s="964"/>
      <c r="DM44" s="964"/>
      <c r="DN44" s="964"/>
      <c r="DO44" s="964"/>
    </row>
    <row r="45" spans="1:119" s="25" customFormat="1" ht="18" customHeight="1" x14ac:dyDescent="0.25">
      <c r="A45" s="445" t="s">
        <v>894</v>
      </c>
      <c r="B45" s="180">
        <f>B46+B49+B50</f>
        <v>70038732</v>
      </c>
      <c r="C45" s="133">
        <f>C46+C49+C50</f>
        <v>74270537</v>
      </c>
      <c r="D45" s="968">
        <f t="shared" si="1"/>
        <v>4231805</v>
      </c>
      <c r="E45" s="180">
        <f>E46+E49+E50</f>
        <v>47762059</v>
      </c>
      <c r="F45" s="133">
        <f>F46+F49+F50</f>
        <v>53253237</v>
      </c>
      <c r="G45" s="968">
        <f t="shared" si="2"/>
        <v>5491178</v>
      </c>
      <c r="H45" s="180">
        <f>H46+H49+H50</f>
        <v>61957463</v>
      </c>
      <c r="I45" s="133">
        <f>I46+I49+I50</f>
        <v>65351238</v>
      </c>
      <c r="J45" s="968">
        <f t="shared" si="3"/>
        <v>3393775</v>
      </c>
      <c r="K45" s="180">
        <f t="shared" si="9"/>
        <v>179758254</v>
      </c>
      <c r="L45" s="133">
        <f t="shared" si="9"/>
        <v>192875012</v>
      </c>
      <c r="M45" s="968">
        <f t="shared" si="4"/>
        <v>13116758</v>
      </c>
      <c r="N45" s="197" t="e">
        <f>N46+N49+N50</f>
        <v>#REF!</v>
      </c>
      <c r="O45" s="180">
        <f>O46+O49+O50</f>
        <v>392127076</v>
      </c>
      <c r="P45" s="133">
        <f>P46+P49+P50</f>
        <v>414169516</v>
      </c>
      <c r="Q45" s="968">
        <f t="shared" si="5"/>
        <v>22042440</v>
      </c>
      <c r="R45" s="969"/>
      <c r="S45" s="964"/>
      <c r="T45" s="964"/>
      <c r="U45" s="964"/>
      <c r="V45" s="964"/>
      <c r="W45" s="964"/>
      <c r="X45" s="964"/>
      <c r="Y45" s="964"/>
      <c r="Z45" s="964"/>
      <c r="AA45" s="964"/>
      <c r="AB45" s="964"/>
      <c r="AC45" s="964"/>
      <c r="AD45" s="964"/>
      <c r="AE45" s="964"/>
      <c r="AF45" s="964"/>
      <c r="AG45" s="964"/>
      <c r="AH45" s="964"/>
      <c r="AI45" s="964"/>
      <c r="AJ45" s="964"/>
      <c r="AK45" s="964"/>
      <c r="AL45" s="964"/>
      <c r="AM45" s="964"/>
      <c r="AN45" s="964"/>
      <c r="AO45" s="964"/>
      <c r="AP45" s="964"/>
      <c r="AQ45" s="964"/>
      <c r="AR45" s="964"/>
      <c r="AS45" s="964"/>
      <c r="AT45" s="964"/>
      <c r="AU45" s="964"/>
      <c r="AV45" s="964"/>
      <c r="AW45" s="964"/>
      <c r="AX45" s="964"/>
      <c r="AY45" s="964"/>
      <c r="AZ45" s="964"/>
      <c r="BA45" s="964"/>
      <c r="BB45" s="964"/>
      <c r="BC45" s="964"/>
      <c r="BD45" s="964"/>
      <c r="BE45" s="964"/>
      <c r="BF45" s="964"/>
      <c r="BG45" s="964"/>
      <c r="BH45" s="964"/>
      <c r="BI45" s="964"/>
      <c r="BJ45" s="964"/>
      <c r="BK45" s="964"/>
      <c r="BL45" s="964"/>
      <c r="BM45" s="964"/>
      <c r="BN45" s="964"/>
      <c r="BO45" s="964"/>
      <c r="BP45" s="964"/>
      <c r="BQ45" s="964"/>
      <c r="BR45" s="964"/>
      <c r="BS45" s="964"/>
      <c r="BT45" s="964"/>
      <c r="BU45" s="964"/>
      <c r="BV45" s="964"/>
      <c r="BW45" s="964"/>
      <c r="BX45" s="964"/>
      <c r="BY45" s="964"/>
      <c r="BZ45" s="964"/>
      <c r="CA45" s="964"/>
      <c r="CB45" s="964"/>
      <c r="CC45" s="964"/>
      <c r="CD45" s="964"/>
      <c r="CE45" s="964"/>
      <c r="CF45" s="964"/>
      <c r="CG45" s="964"/>
      <c r="CH45" s="964"/>
      <c r="CI45" s="964"/>
      <c r="CJ45" s="964"/>
      <c r="CK45" s="964"/>
      <c r="CL45" s="964"/>
      <c r="CM45" s="964"/>
      <c r="CN45" s="964"/>
      <c r="CO45" s="964"/>
      <c r="CP45" s="964"/>
      <c r="CQ45" s="964"/>
      <c r="CR45" s="964"/>
      <c r="CS45" s="964"/>
      <c r="CT45" s="964"/>
      <c r="CU45" s="964"/>
      <c r="CV45" s="964"/>
      <c r="CW45" s="964"/>
      <c r="CX45" s="964"/>
      <c r="CY45" s="964"/>
      <c r="CZ45" s="964"/>
      <c r="DA45" s="964"/>
      <c r="DB45" s="964"/>
      <c r="DC45" s="964"/>
      <c r="DD45" s="964"/>
      <c r="DE45" s="964"/>
      <c r="DF45" s="964"/>
      <c r="DG45" s="964"/>
      <c r="DH45" s="964"/>
      <c r="DI45" s="964"/>
      <c r="DJ45" s="964"/>
      <c r="DK45" s="964"/>
      <c r="DL45" s="964"/>
      <c r="DM45" s="964"/>
      <c r="DN45" s="964"/>
      <c r="DO45" s="964"/>
    </row>
    <row r="46" spans="1:119" s="25" customFormat="1" ht="28.5" customHeight="1" x14ac:dyDescent="0.25">
      <c r="A46" s="445" t="s">
        <v>451</v>
      </c>
      <c r="B46" s="180">
        <f>SUM(B47:B48)</f>
        <v>90498</v>
      </c>
      <c r="C46" s="133">
        <f>SUM(C47:C48)</f>
        <v>2938295</v>
      </c>
      <c r="D46" s="968">
        <f t="shared" si="1"/>
        <v>2847797</v>
      </c>
      <c r="E46" s="180">
        <f>SUM(E47:E48)</f>
        <v>271494</v>
      </c>
      <c r="F46" s="133">
        <f>SUM(F47:F48)</f>
        <v>9314574</v>
      </c>
      <c r="G46" s="968">
        <f t="shared" si="2"/>
        <v>9043080</v>
      </c>
      <c r="H46" s="180">
        <f>SUM(H47:H48)</f>
        <v>90498</v>
      </c>
      <c r="I46" s="133">
        <f>SUM(I47:I48)</f>
        <v>5011083</v>
      </c>
      <c r="J46" s="968">
        <f t="shared" si="3"/>
        <v>4920585</v>
      </c>
      <c r="K46" s="180">
        <f>SUM(K47:K48)</f>
        <v>452490</v>
      </c>
      <c r="L46" s="133">
        <f>SUM(L47:L48)</f>
        <v>17263952</v>
      </c>
      <c r="M46" s="968">
        <f t="shared" si="4"/>
        <v>16811462</v>
      </c>
      <c r="N46" s="205"/>
      <c r="O46" s="208">
        <f>SUM(O47:O48)</f>
        <v>0</v>
      </c>
      <c r="P46" s="168">
        <f>SUM(P47:P48)</f>
        <v>36290988</v>
      </c>
      <c r="Q46" s="968">
        <f t="shared" si="5"/>
        <v>36290988</v>
      </c>
      <c r="R46" s="964"/>
      <c r="S46" s="964"/>
      <c r="T46" s="964"/>
      <c r="U46" s="964"/>
      <c r="V46" s="964"/>
      <c r="W46" s="964"/>
      <c r="X46" s="964"/>
      <c r="Y46" s="964"/>
      <c r="Z46" s="964"/>
      <c r="AA46" s="964"/>
      <c r="AB46" s="964"/>
      <c r="AC46" s="964"/>
      <c r="AD46" s="964"/>
      <c r="AE46" s="964"/>
      <c r="AF46" s="964"/>
      <c r="AG46" s="964"/>
      <c r="AH46" s="964"/>
      <c r="AI46" s="964"/>
      <c r="AJ46" s="964"/>
      <c r="AK46" s="964"/>
      <c r="AL46" s="964"/>
      <c r="AM46" s="964"/>
      <c r="AN46" s="964"/>
      <c r="AO46" s="964"/>
      <c r="AP46" s="964"/>
      <c r="AQ46" s="964"/>
      <c r="AR46" s="964"/>
      <c r="AS46" s="964"/>
      <c r="AT46" s="964"/>
      <c r="AU46" s="964"/>
      <c r="AV46" s="964"/>
      <c r="AW46" s="964"/>
      <c r="AX46" s="964"/>
      <c r="AY46" s="964"/>
      <c r="AZ46" s="964"/>
      <c r="BA46" s="964"/>
      <c r="BB46" s="964"/>
      <c r="BC46" s="964"/>
      <c r="BD46" s="964"/>
      <c r="BE46" s="964"/>
      <c r="BF46" s="964"/>
      <c r="BG46" s="964"/>
      <c r="BH46" s="964"/>
      <c r="BI46" s="964"/>
      <c r="BJ46" s="964"/>
      <c r="BK46" s="964"/>
      <c r="BL46" s="964"/>
      <c r="BM46" s="964"/>
      <c r="BN46" s="964"/>
      <c r="BO46" s="964"/>
      <c r="BP46" s="964"/>
      <c r="BQ46" s="964"/>
      <c r="BR46" s="964"/>
      <c r="BS46" s="964"/>
      <c r="BT46" s="964"/>
      <c r="BU46" s="964"/>
      <c r="BV46" s="964"/>
      <c r="BW46" s="964"/>
      <c r="BX46" s="964"/>
      <c r="BY46" s="964"/>
      <c r="BZ46" s="964"/>
      <c r="CA46" s="964"/>
      <c r="CB46" s="964"/>
      <c r="CC46" s="964"/>
      <c r="CD46" s="964"/>
      <c r="CE46" s="964"/>
      <c r="CF46" s="964"/>
      <c r="CG46" s="964"/>
      <c r="CH46" s="964"/>
      <c r="CI46" s="964"/>
      <c r="CJ46" s="964"/>
      <c r="CK46" s="964"/>
      <c r="CL46" s="964"/>
      <c r="CM46" s="964"/>
      <c r="CN46" s="964"/>
      <c r="CO46" s="964"/>
      <c r="CP46" s="964"/>
      <c r="CQ46" s="964"/>
      <c r="CR46" s="964"/>
      <c r="CS46" s="964"/>
      <c r="CT46" s="964"/>
      <c r="CU46" s="964"/>
      <c r="CV46" s="964"/>
      <c r="CW46" s="964"/>
      <c r="CX46" s="964"/>
      <c r="CY46" s="964"/>
      <c r="CZ46" s="964"/>
      <c r="DA46" s="964"/>
      <c r="DB46" s="964"/>
      <c r="DC46" s="964"/>
      <c r="DD46" s="964"/>
      <c r="DE46" s="964"/>
      <c r="DF46" s="964"/>
      <c r="DG46" s="964"/>
      <c r="DH46" s="964"/>
      <c r="DI46" s="964"/>
      <c r="DJ46" s="964"/>
      <c r="DK46" s="964"/>
      <c r="DL46" s="964"/>
      <c r="DM46" s="964"/>
      <c r="DN46" s="964"/>
      <c r="DO46" s="964"/>
    </row>
    <row r="47" spans="1:119" s="27" customFormat="1" ht="24" customHeight="1" x14ac:dyDescent="0.25">
      <c r="A47" s="444" t="s">
        <v>875</v>
      </c>
      <c r="B47" s="181">
        <v>90498</v>
      </c>
      <c r="C47" s="166">
        <v>2938295</v>
      </c>
      <c r="D47" s="967">
        <f t="shared" si="1"/>
        <v>2847797</v>
      </c>
      <c r="E47" s="181">
        <v>271494</v>
      </c>
      <c r="F47" s="166">
        <v>9014574</v>
      </c>
      <c r="G47" s="967">
        <f t="shared" si="2"/>
        <v>8743080</v>
      </c>
      <c r="H47" s="181">
        <v>90498</v>
      </c>
      <c r="I47" s="166">
        <v>4870093</v>
      </c>
      <c r="J47" s="967">
        <f t="shared" si="3"/>
        <v>4779595</v>
      </c>
      <c r="K47" s="181">
        <f t="shared" ref="K47:L50" si="10">B47+E47+H47</f>
        <v>452490</v>
      </c>
      <c r="L47" s="166">
        <f t="shared" si="10"/>
        <v>16822962</v>
      </c>
      <c r="M47" s="967">
        <f t="shared" si="4"/>
        <v>16370472</v>
      </c>
      <c r="N47" s="204"/>
      <c r="O47" s="181"/>
      <c r="P47" s="166">
        <v>31465031</v>
      </c>
      <c r="Q47" s="967">
        <f t="shared" si="5"/>
        <v>31465031</v>
      </c>
      <c r="R47" s="971"/>
      <c r="S47" s="971"/>
      <c r="T47" s="971"/>
      <c r="U47" s="971"/>
      <c r="V47" s="971"/>
      <c r="W47" s="971"/>
      <c r="X47" s="971"/>
      <c r="Y47" s="971"/>
      <c r="Z47" s="971"/>
      <c r="AA47" s="971"/>
      <c r="AB47" s="971"/>
      <c r="AC47" s="971"/>
      <c r="AD47" s="971"/>
      <c r="AE47" s="971"/>
      <c r="AF47" s="971"/>
      <c r="AG47" s="971"/>
      <c r="AH47" s="971"/>
      <c r="AI47" s="971"/>
      <c r="AJ47" s="971"/>
      <c r="AK47" s="971"/>
      <c r="AL47" s="971"/>
      <c r="AM47" s="971"/>
      <c r="AN47" s="971"/>
      <c r="AO47" s="971"/>
      <c r="AP47" s="971"/>
      <c r="AQ47" s="971"/>
      <c r="AR47" s="971"/>
      <c r="AS47" s="971"/>
      <c r="AT47" s="971"/>
      <c r="AU47" s="971"/>
      <c r="AV47" s="971"/>
      <c r="AW47" s="971"/>
      <c r="AX47" s="971"/>
      <c r="AY47" s="971"/>
      <c r="AZ47" s="971"/>
      <c r="BA47" s="971"/>
      <c r="BB47" s="971"/>
      <c r="BC47" s="971"/>
      <c r="BD47" s="971"/>
      <c r="BE47" s="971"/>
      <c r="BF47" s="971"/>
      <c r="BG47" s="971"/>
      <c r="BH47" s="971"/>
      <c r="BI47" s="971"/>
      <c r="BJ47" s="971"/>
      <c r="BK47" s="971"/>
      <c r="BL47" s="971"/>
      <c r="BM47" s="971"/>
      <c r="BN47" s="971"/>
      <c r="BO47" s="971"/>
      <c r="BP47" s="971"/>
      <c r="BQ47" s="971"/>
      <c r="BR47" s="971"/>
      <c r="BS47" s="971"/>
      <c r="BT47" s="971"/>
      <c r="BU47" s="971"/>
      <c r="BV47" s="971"/>
      <c r="BW47" s="971"/>
      <c r="BX47" s="971"/>
      <c r="BY47" s="971"/>
      <c r="BZ47" s="971"/>
      <c r="CA47" s="971"/>
      <c r="CB47" s="971"/>
      <c r="CC47" s="971"/>
      <c r="CD47" s="971"/>
      <c r="CE47" s="971"/>
      <c r="CF47" s="971"/>
      <c r="CG47" s="971"/>
      <c r="CH47" s="971"/>
      <c r="CI47" s="971"/>
      <c r="CJ47" s="971"/>
      <c r="CK47" s="971"/>
      <c r="CL47" s="971"/>
      <c r="CM47" s="971"/>
      <c r="CN47" s="971"/>
      <c r="CO47" s="971"/>
      <c r="CP47" s="971"/>
      <c r="CQ47" s="971"/>
      <c r="CR47" s="971"/>
      <c r="CS47" s="971"/>
      <c r="CT47" s="971"/>
      <c r="CU47" s="971"/>
      <c r="CV47" s="971"/>
      <c r="CW47" s="971"/>
      <c r="CX47" s="971"/>
      <c r="CY47" s="971"/>
      <c r="CZ47" s="971"/>
      <c r="DA47" s="971"/>
      <c r="DB47" s="971"/>
      <c r="DC47" s="971"/>
      <c r="DD47" s="971"/>
      <c r="DE47" s="971"/>
      <c r="DF47" s="971"/>
      <c r="DG47" s="971"/>
      <c r="DH47" s="971"/>
      <c r="DI47" s="971"/>
      <c r="DJ47" s="971"/>
      <c r="DK47" s="971"/>
      <c r="DL47" s="971"/>
      <c r="DM47" s="971"/>
      <c r="DN47" s="971"/>
      <c r="DO47" s="971"/>
    </row>
    <row r="48" spans="1:119" s="27" customFormat="1" ht="24.75" customHeight="1" x14ac:dyDescent="0.25">
      <c r="A48" s="444" t="s">
        <v>452</v>
      </c>
      <c r="B48" s="181"/>
      <c r="C48" s="166"/>
      <c r="D48" s="967">
        <f t="shared" si="1"/>
        <v>0</v>
      </c>
      <c r="E48" s="181"/>
      <c r="F48" s="166">
        <v>300000</v>
      </c>
      <c r="G48" s="967">
        <f t="shared" si="2"/>
        <v>300000</v>
      </c>
      <c r="H48" s="181"/>
      <c r="I48" s="166">
        <v>140990</v>
      </c>
      <c r="J48" s="967">
        <f t="shared" si="3"/>
        <v>140990</v>
      </c>
      <c r="K48" s="181">
        <f t="shared" si="10"/>
        <v>0</v>
      </c>
      <c r="L48" s="166">
        <f t="shared" si="10"/>
        <v>440990</v>
      </c>
      <c r="M48" s="967">
        <f t="shared" si="4"/>
        <v>440990</v>
      </c>
      <c r="N48" s="204"/>
      <c r="O48" s="181"/>
      <c r="P48" s="166">
        <v>4825957</v>
      </c>
      <c r="Q48" s="967">
        <f t="shared" si="5"/>
        <v>4825957</v>
      </c>
      <c r="R48" s="971"/>
      <c r="S48" s="971"/>
      <c r="T48" s="971"/>
      <c r="U48" s="971"/>
      <c r="V48" s="971"/>
      <c r="W48" s="971"/>
      <c r="X48" s="971"/>
      <c r="Y48" s="971"/>
      <c r="Z48" s="971"/>
      <c r="AA48" s="971"/>
      <c r="AB48" s="971"/>
      <c r="AC48" s="971"/>
      <c r="AD48" s="971"/>
      <c r="AE48" s="971"/>
      <c r="AF48" s="971"/>
      <c r="AG48" s="971"/>
      <c r="AH48" s="971"/>
      <c r="AI48" s="971"/>
      <c r="AJ48" s="971"/>
      <c r="AK48" s="971"/>
      <c r="AL48" s="971"/>
      <c r="AM48" s="971"/>
      <c r="AN48" s="971"/>
      <c r="AO48" s="971"/>
      <c r="AP48" s="971"/>
      <c r="AQ48" s="971"/>
      <c r="AR48" s="971"/>
      <c r="AS48" s="971"/>
      <c r="AT48" s="971"/>
      <c r="AU48" s="971"/>
      <c r="AV48" s="971"/>
      <c r="AW48" s="971"/>
      <c r="AX48" s="971"/>
      <c r="AY48" s="971"/>
      <c r="AZ48" s="971"/>
      <c r="BA48" s="971"/>
      <c r="BB48" s="971"/>
      <c r="BC48" s="971"/>
      <c r="BD48" s="971"/>
      <c r="BE48" s="971"/>
      <c r="BF48" s="971"/>
      <c r="BG48" s="971"/>
      <c r="BH48" s="971"/>
      <c r="BI48" s="971"/>
      <c r="BJ48" s="971"/>
      <c r="BK48" s="971"/>
      <c r="BL48" s="971"/>
      <c r="BM48" s="971"/>
      <c r="BN48" s="971"/>
      <c r="BO48" s="971"/>
      <c r="BP48" s="971"/>
      <c r="BQ48" s="971"/>
      <c r="BR48" s="971"/>
      <c r="BS48" s="971"/>
      <c r="BT48" s="971"/>
      <c r="BU48" s="971"/>
      <c r="BV48" s="971"/>
      <c r="BW48" s="971"/>
      <c r="BX48" s="971"/>
      <c r="BY48" s="971"/>
      <c r="BZ48" s="971"/>
      <c r="CA48" s="971"/>
      <c r="CB48" s="971"/>
      <c r="CC48" s="971"/>
      <c r="CD48" s="971"/>
      <c r="CE48" s="971"/>
      <c r="CF48" s="971"/>
      <c r="CG48" s="971"/>
      <c r="CH48" s="971"/>
      <c r="CI48" s="971"/>
      <c r="CJ48" s="971"/>
      <c r="CK48" s="971"/>
      <c r="CL48" s="971"/>
      <c r="CM48" s="971"/>
      <c r="CN48" s="971"/>
      <c r="CO48" s="971"/>
      <c r="CP48" s="971"/>
      <c r="CQ48" s="971"/>
      <c r="CR48" s="971"/>
      <c r="CS48" s="971"/>
      <c r="CT48" s="971"/>
      <c r="CU48" s="971"/>
      <c r="CV48" s="971"/>
      <c r="CW48" s="971"/>
      <c r="CX48" s="971"/>
      <c r="CY48" s="971"/>
      <c r="CZ48" s="971"/>
      <c r="DA48" s="971"/>
      <c r="DB48" s="971"/>
      <c r="DC48" s="971"/>
      <c r="DD48" s="971"/>
      <c r="DE48" s="971"/>
      <c r="DF48" s="971"/>
      <c r="DG48" s="971"/>
      <c r="DH48" s="971"/>
      <c r="DI48" s="971"/>
      <c r="DJ48" s="971"/>
      <c r="DK48" s="971"/>
      <c r="DL48" s="971"/>
      <c r="DM48" s="971"/>
      <c r="DN48" s="971"/>
      <c r="DO48" s="971"/>
    </row>
    <row r="49" spans="1:193" s="25" customFormat="1" ht="24" customHeight="1" x14ac:dyDescent="0.25">
      <c r="A49" s="445" t="s">
        <v>453</v>
      </c>
      <c r="B49" s="180"/>
      <c r="C49" s="133"/>
      <c r="D49" s="968">
        <f t="shared" si="1"/>
        <v>0</v>
      </c>
      <c r="E49" s="180"/>
      <c r="F49" s="133"/>
      <c r="G49" s="968">
        <f t="shared" si="2"/>
        <v>0</v>
      </c>
      <c r="H49" s="180"/>
      <c r="I49" s="133"/>
      <c r="J49" s="968">
        <f t="shared" si="3"/>
        <v>0</v>
      </c>
      <c r="K49" s="180">
        <f t="shared" si="10"/>
        <v>0</v>
      </c>
      <c r="L49" s="133">
        <f t="shared" si="10"/>
        <v>0</v>
      </c>
      <c r="M49" s="968">
        <f t="shared" si="4"/>
        <v>0</v>
      </c>
      <c r="N49" s="205"/>
      <c r="O49" s="180"/>
      <c r="P49" s="133"/>
      <c r="Q49" s="968">
        <f t="shared" si="5"/>
        <v>0</v>
      </c>
      <c r="R49" s="964"/>
      <c r="S49" s="964"/>
      <c r="T49" s="964"/>
      <c r="U49" s="964"/>
      <c r="V49" s="964"/>
      <c r="W49" s="964"/>
      <c r="X49" s="964"/>
      <c r="Y49" s="964"/>
      <c r="Z49" s="964"/>
      <c r="AA49" s="964"/>
      <c r="AB49" s="964"/>
      <c r="AC49" s="964"/>
      <c r="AD49" s="964"/>
      <c r="AE49" s="964"/>
      <c r="AF49" s="964"/>
      <c r="AG49" s="964"/>
      <c r="AH49" s="964"/>
      <c r="AI49" s="964"/>
      <c r="AJ49" s="964"/>
      <c r="AK49" s="964"/>
      <c r="AL49" s="964"/>
      <c r="AM49" s="964"/>
      <c r="AN49" s="964"/>
      <c r="AO49" s="964"/>
      <c r="AP49" s="964"/>
      <c r="AQ49" s="964"/>
      <c r="AR49" s="964"/>
      <c r="AS49" s="964"/>
      <c r="AT49" s="964"/>
      <c r="AU49" s="964"/>
      <c r="AV49" s="964"/>
      <c r="AW49" s="964"/>
      <c r="AX49" s="964"/>
      <c r="AY49" s="964"/>
      <c r="AZ49" s="964"/>
      <c r="BA49" s="964"/>
      <c r="BB49" s="964"/>
      <c r="BC49" s="964"/>
      <c r="BD49" s="964"/>
      <c r="BE49" s="964"/>
      <c r="BF49" s="964"/>
      <c r="BG49" s="964"/>
      <c r="BH49" s="964"/>
      <c r="BI49" s="964"/>
      <c r="BJ49" s="964"/>
      <c r="BK49" s="964"/>
      <c r="BL49" s="964"/>
      <c r="BM49" s="964"/>
      <c r="BN49" s="964"/>
      <c r="BO49" s="964"/>
      <c r="BP49" s="964"/>
      <c r="BQ49" s="964"/>
      <c r="BR49" s="964"/>
      <c r="BS49" s="964"/>
      <c r="BT49" s="964"/>
      <c r="BU49" s="964"/>
      <c r="BV49" s="964"/>
      <c r="BW49" s="964"/>
      <c r="BX49" s="964"/>
      <c r="BY49" s="964"/>
      <c r="BZ49" s="964"/>
      <c r="CA49" s="964"/>
      <c r="CB49" s="964"/>
      <c r="CC49" s="964"/>
      <c r="CD49" s="964"/>
      <c r="CE49" s="964"/>
      <c r="CF49" s="964"/>
      <c r="CG49" s="964"/>
      <c r="CH49" s="964"/>
      <c r="CI49" s="964"/>
      <c r="CJ49" s="964"/>
      <c r="CK49" s="964"/>
      <c r="CL49" s="964"/>
      <c r="CM49" s="964"/>
      <c r="CN49" s="964"/>
      <c r="CO49" s="964"/>
      <c r="CP49" s="964"/>
      <c r="CQ49" s="964"/>
      <c r="CR49" s="964"/>
      <c r="CS49" s="964"/>
      <c r="CT49" s="964"/>
      <c r="CU49" s="964"/>
      <c r="CV49" s="964"/>
      <c r="CW49" s="964"/>
      <c r="CX49" s="964"/>
      <c r="CY49" s="964"/>
      <c r="CZ49" s="964"/>
      <c r="DA49" s="964"/>
      <c r="DB49" s="964"/>
      <c r="DC49" s="964"/>
      <c r="DD49" s="964"/>
      <c r="DE49" s="964"/>
      <c r="DF49" s="964"/>
      <c r="DG49" s="964"/>
      <c r="DH49" s="964"/>
      <c r="DI49" s="964"/>
      <c r="DJ49" s="964"/>
      <c r="DK49" s="964"/>
      <c r="DL49" s="964"/>
      <c r="DM49" s="964"/>
      <c r="DN49" s="964"/>
      <c r="DO49" s="964"/>
    </row>
    <row r="50" spans="1:193" s="21" customFormat="1" x14ac:dyDescent="0.25">
      <c r="A50" s="446" t="s">
        <v>469</v>
      </c>
      <c r="B50" s="180">
        <f>52309931+17238303+400000</f>
        <v>69948234</v>
      </c>
      <c r="C50" s="133">
        <v>71332242</v>
      </c>
      <c r="D50" s="968">
        <f t="shared" si="1"/>
        <v>1384008</v>
      </c>
      <c r="E50" s="180">
        <f>46120144+1370421</f>
        <v>47490565</v>
      </c>
      <c r="F50" s="133">
        <f>43372599+566064</f>
        <v>43938663</v>
      </c>
      <c r="G50" s="968">
        <f t="shared" si="2"/>
        <v>-3551902</v>
      </c>
      <c r="H50" s="180">
        <f>31797628+30069337</f>
        <v>61866965</v>
      </c>
      <c r="I50" s="133">
        <v>60340155</v>
      </c>
      <c r="J50" s="968">
        <f t="shared" si="3"/>
        <v>-1526810</v>
      </c>
      <c r="K50" s="180">
        <f t="shared" si="10"/>
        <v>179305764</v>
      </c>
      <c r="L50" s="133">
        <f t="shared" si="10"/>
        <v>175611060</v>
      </c>
      <c r="M50" s="968">
        <f t="shared" si="4"/>
        <v>-3694704</v>
      </c>
      <c r="N50" s="197" t="e">
        <f>SUM(#REF!)</f>
        <v>#REF!</v>
      </c>
      <c r="O50" s="180">
        <f>199079253+181441917-1394094+13000000</f>
        <v>392127076</v>
      </c>
      <c r="P50" s="133">
        <f>199079253+181441917-1394094+13000000+3883750-18732298+600000</f>
        <v>377878528</v>
      </c>
      <c r="Q50" s="968">
        <f t="shared" si="5"/>
        <v>-14248548</v>
      </c>
      <c r="R50" s="972"/>
      <c r="S50" s="972"/>
      <c r="T50" s="966"/>
      <c r="U50" s="966"/>
      <c r="V50" s="966"/>
      <c r="W50" s="966"/>
      <c r="X50" s="966"/>
      <c r="Y50" s="966"/>
      <c r="Z50" s="966"/>
      <c r="AA50" s="966"/>
      <c r="AB50" s="966"/>
      <c r="AC50" s="966"/>
      <c r="AD50" s="966"/>
      <c r="AE50" s="966"/>
      <c r="AF50" s="966"/>
      <c r="AG50" s="966"/>
      <c r="AH50" s="966"/>
      <c r="AI50" s="966"/>
      <c r="AJ50" s="966"/>
      <c r="AK50" s="966"/>
      <c r="AL50" s="966"/>
      <c r="AM50" s="966"/>
      <c r="AN50" s="966"/>
      <c r="AO50" s="966"/>
      <c r="AP50" s="966"/>
      <c r="AQ50" s="966"/>
      <c r="AR50" s="966"/>
      <c r="AS50" s="966"/>
      <c r="AT50" s="966"/>
      <c r="AU50" s="966"/>
      <c r="AV50" s="966"/>
      <c r="AW50" s="966"/>
      <c r="AX50" s="966"/>
      <c r="AY50" s="966"/>
      <c r="AZ50" s="966"/>
      <c r="BA50" s="966"/>
      <c r="BB50" s="966"/>
      <c r="BC50" s="966"/>
      <c r="BD50" s="966"/>
      <c r="BE50" s="966"/>
      <c r="BF50" s="966"/>
      <c r="BG50" s="966"/>
      <c r="BH50" s="966"/>
      <c r="BI50" s="966"/>
      <c r="BJ50" s="966"/>
      <c r="BK50" s="966"/>
      <c r="BL50" s="966"/>
      <c r="BM50" s="966"/>
      <c r="BN50" s="966"/>
      <c r="BO50" s="966"/>
      <c r="BP50" s="966"/>
      <c r="BQ50" s="966"/>
      <c r="BR50" s="966"/>
      <c r="BS50" s="966"/>
      <c r="BT50" s="966"/>
      <c r="BU50" s="966"/>
      <c r="BV50" s="966"/>
      <c r="BW50" s="966"/>
      <c r="BX50" s="966"/>
      <c r="BY50" s="966"/>
      <c r="BZ50" s="966"/>
      <c r="CA50" s="966"/>
      <c r="CB50" s="966"/>
      <c r="CC50" s="966"/>
      <c r="CD50" s="966"/>
      <c r="CE50" s="966"/>
      <c r="CF50" s="966"/>
      <c r="CG50" s="966"/>
      <c r="CH50" s="966"/>
      <c r="CI50" s="966"/>
      <c r="CJ50" s="966"/>
      <c r="CK50" s="966"/>
      <c r="CL50" s="966"/>
      <c r="CM50" s="966"/>
      <c r="CN50" s="966"/>
      <c r="CO50" s="966"/>
      <c r="CP50" s="966"/>
      <c r="CQ50" s="966"/>
      <c r="CR50" s="966"/>
      <c r="CS50" s="966"/>
      <c r="CT50" s="966"/>
      <c r="CU50" s="966"/>
      <c r="CV50" s="966"/>
      <c r="CW50" s="966"/>
      <c r="CX50" s="966"/>
      <c r="CY50" s="966"/>
      <c r="CZ50" s="966"/>
      <c r="DA50" s="966"/>
      <c r="DB50" s="966"/>
      <c r="DC50" s="966"/>
      <c r="DD50" s="966"/>
      <c r="DE50" s="966"/>
      <c r="DF50" s="966"/>
      <c r="DG50" s="966"/>
      <c r="DH50" s="966"/>
      <c r="DI50" s="966"/>
      <c r="DJ50" s="966"/>
      <c r="DK50" s="966"/>
      <c r="DL50" s="966"/>
      <c r="DM50" s="966"/>
      <c r="DN50" s="966"/>
      <c r="DO50" s="966"/>
    </row>
    <row r="51" spans="1:193" s="25" customFormat="1" ht="15" customHeight="1" x14ac:dyDescent="0.25">
      <c r="A51" s="446" t="s">
        <v>464</v>
      </c>
      <c r="B51" s="180">
        <f>B45+B44</f>
        <v>83157003</v>
      </c>
      <c r="C51" s="133">
        <f>C45+C44</f>
        <v>87388808</v>
      </c>
      <c r="D51" s="968">
        <f t="shared" si="1"/>
        <v>4231805</v>
      </c>
      <c r="E51" s="180">
        <f>E45+E44</f>
        <v>201201000</v>
      </c>
      <c r="F51" s="133">
        <f>F45+F44</f>
        <v>209820092</v>
      </c>
      <c r="G51" s="968">
        <f t="shared" si="2"/>
        <v>8619092</v>
      </c>
      <c r="H51" s="180">
        <f>H45+H44</f>
        <v>64785416</v>
      </c>
      <c r="I51" s="133">
        <f>I45+I44</f>
        <v>68179191</v>
      </c>
      <c r="J51" s="968">
        <f t="shared" si="3"/>
        <v>3393775</v>
      </c>
      <c r="K51" s="180">
        <f>K45+K44</f>
        <v>349143419</v>
      </c>
      <c r="L51" s="133">
        <f>L45+L44</f>
        <v>365388091</v>
      </c>
      <c r="M51" s="968">
        <f t="shared" si="4"/>
        <v>16244672</v>
      </c>
      <c r="N51" s="197" t="e">
        <f>N45+N44</f>
        <v>#REF!</v>
      </c>
      <c r="O51" s="180">
        <f>O45+O44</f>
        <v>441144569</v>
      </c>
      <c r="P51" s="133">
        <f>P45+P44</f>
        <v>473331839</v>
      </c>
      <c r="Q51" s="968">
        <f t="shared" si="5"/>
        <v>32187270</v>
      </c>
      <c r="R51" s="969"/>
      <c r="S51" s="969"/>
      <c r="T51" s="969"/>
      <c r="U51" s="964"/>
      <c r="V51" s="964"/>
      <c r="W51" s="964"/>
      <c r="X51" s="964"/>
      <c r="Y51" s="964"/>
      <c r="Z51" s="964"/>
      <c r="AA51" s="964"/>
      <c r="AB51" s="964"/>
      <c r="AC51" s="964"/>
      <c r="AD51" s="964"/>
      <c r="AE51" s="964"/>
      <c r="AF51" s="964"/>
      <c r="AG51" s="964"/>
      <c r="AH51" s="964"/>
      <c r="AI51" s="964"/>
      <c r="AJ51" s="964"/>
      <c r="AK51" s="964"/>
      <c r="AL51" s="964"/>
      <c r="AM51" s="964"/>
      <c r="AN51" s="964"/>
      <c r="AO51" s="964"/>
      <c r="AP51" s="964"/>
      <c r="AQ51" s="964"/>
      <c r="AR51" s="964"/>
      <c r="AS51" s="964"/>
      <c r="AT51" s="964"/>
      <c r="AU51" s="964"/>
      <c r="AV51" s="964"/>
      <c r="AW51" s="964"/>
      <c r="AX51" s="964"/>
      <c r="AY51" s="964"/>
      <c r="AZ51" s="964"/>
      <c r="BA51" s="964"/>
      <c r="BB51" s="964"/>
      <c r="BC51" s="964"/>
      <c r="BD51" s="964"/>
      <c r="BE51" s="964"/>
      <c r="BF51" s="964"/>
      <c r="BG51" s="964"/>
      <c r="BH51" s="964"/>
      <c r="BI51" s="964"/>
      <c r="BJ51" s="964"/>
      <c r="BK51" s="964"/>
      <c r="BL51" s="964"/>
      <c r="BM51" s="964"/>
      <c r="BN51" s="964"/>
      <c r="BO51" s="964"/>
      <c r="BP51" s="964"/>
      <c r="BQ51" s="964"/>
      <c r="BR51" s="964"/>
      <c r="BS51" s="964"/>
      <c r="BT51" s="964"/>
      <c r="BU51" s="964"/>
      <c r="BV51" s="964"/>
      <c r="BW51" s="964"/>
      <c r="BX51" s="964"/>
      <c r="BY51" s="964"/>
      <c r="BZ51" s="964"/>
      <c r="CA51" s="964"/>
      <c r="CB51" s="964"/>
      <c r="CC51" s="964"/>
      <c r="CD51" s="964"/>
      <c r="CE51" s="964"/>
      <c r="CF51" s="964"/>
      <c r="CG51" s="964"/>
      <c r="CH51" s="964"/>
      <c r="CI51" s="964"/>
      <c r="CJ51" s="964"/>
      <c r="CK51" s="964"/>
      <c r="CL51" s="964"/>
      <c r="CM51" s="964"/>
      <c r="CN51" s="964"/>
      <c r="CO51" s="964"/>
      <c r="CP51" s="964"/>
      <c r="CQ51" s="964"/>
      <c r="CR51" s="964"/>
      <c r="CS51" s="964"/>
      <c r="CT51" s="964"/>
      <c r="CU51" s="964"/>
      <c r="CV51" s="964"/>
      <c r="CW51" s="964"/>
      <c r="CX51" s="964"/>
      <c r="CY51" s="964"/>
      <c r="CZ51" s="964"/>
      <c r="DA51" s="964"/>
      <c r="DB51" s="964"/>
      <c r="DC51" s="964"/>
      <c r="DD51" s="964"/>
      <c r="DE51" s="964"/>
      <c r="DF51" s="964"/>
      <c r="DG51" s="964"/>
      <c r="DH51" s="964"/>
      <c r="DI51" s="964"/>
      <c r="DJ51" s="964"/>
      <c r="DK51" s="964"/>
      <c r="DL51" s="964"/>
      <c r="DM51" s="964"/>
      <c r="DN51" s="964"/>
      <c r="DO51" s="964"/>
    </row>
    <row r="52" spans="1:193" s="2" customFormat="1" x14ac:dyDescent="0.25">
      <c r="A52" s="452" t="s">
        <v>470</v>
      </c>
      <c r="B52" s="180"/>
      <c r="C52" s="133"/>
      <c r="D52" s="968">
        <f t="shared" si="1"/>
        <v>0</v>
      </c>
      <c r="E52" s="180"/>
      <c r="F52" s="133"/>
      <c r="G52" s="968">
        <f t="shared" si="2"/>
        <v>0</v>
      </c>
      <c r="H52" s="180"/>
      <c r="I52" s="133"/>
      <c r="J52" s="968">
        <f t="shared" si="3"/>
        <v>0</v>
      </c>
      <c r="K52" s="180">
        <f t="shared" ref="K52:L56" si="11">B52+E52+H52</f>
        <v>0</v>
      </c>
      <c r="L52" s="133">
        <f t="shared" si="11"/>
        <v>0</v>
      </c>
      <c r="M52" s="968">
        <f t="shared" si="4"/>
        <v>0</v>
      </c>
      <c r="N52" s="206"/>
      <c r="O52" s="180"/>
      <c r="P52" s="133"/>
      <c r="Q52" s="968">
        <f t="shared" si="5"/>
        <v>0</v>
      </c>
      <c r="R52" s="973"/>
      <c r="S52" s="973"/>
      <c r="T52" s="973"/>
      <c r="U52" s="973"/>
      <c r="V52" s="973"/>
      <c r="W52" s="973"/>
      <c r="X52" s="973"/>
      <c r="Y52" s="973"/>
      <c r="Z52" s="973"/>
      <c r="AA52" s="973"/>
      <c r="AB52" s="973"/>
      <c r="AC52" s="973"/>
      <c r="AD52" s="973"/>
      <c r="AE52" s="973"/>
      <c r="AF52" s="973"/>
      <c r="AG52" s="973"/>
      <c r="AH52" s="973"/>
      <c r="AI52" s="973"/>
      <c r="AJ52" s="973"/>
      <c r="AK52" s="973"/>
      <c r="AL52" s="973"/>
      <c r="AM52" s="973"/>
      <c r="AN52" s="973"/>
      <c r="AO52" s="973"/>
      <c r="AP52" s="973"/>
      <c r="AQ52" s="973"/>
      <c r="AR52" s="973"/>
      <c r="AS52" s="973"/>
      <c r="AT52" s="973"/>
      <c r="AU52" s="973"/>
      <c r="AV52" s="973"/>
      <c r="AW52" s="973"/>
      <c r="AX52" s="973"/>
      <c r="AY52" s="973"/>
      <c r="AZ52" s="973"/>
      <c r="BA52" s="973"/>
      <c r="BB52" s="973"/>
      <c r="BC52" s="973"/>
      <c r="BD52" s="973"/>
      <c r="BE52" s="973"/>
      <c r="BF52" s="973"/>
      <c r="BG52" s="973"/>
      <c r="BH52" s="973"/>
      <c r="BI52" s="973"/>
      <c r="BJ52" s="973"/>
      <c r="BK52" s="973"/>
      <c r="BL52" s="973"/>
      <c r="BM52" s="973"/>
      <c r="BN52" s="973"/>
      <c r="BO52" s="973"/>
      <c r="BP52" s="973"/>
      <c r="BQ52" s="973"/>
      <c r="BR52" s="973"/>
      <c r="BS52" s="973"/>
      <c r="BT52" s="973"/>
      <c r="BU52" s="973"/>
      <c r="BV52" s="973"/>
      <c r="BW52" s="973"/>
      <c r="BX52" s="973"/>
      <c r="BY52" s="973"/>
      <c r="BZ52" s="973"/>
      <c r="CA52" s="973"/>
      <c r="CB52" s="973"/>
      <c r="CC52" s="973"/>
      <c r="CD52" s="973"/>
      <c r="CE52" s="973"/>
      <c r="CF52" s="973"/>
      <c r="CG52" s="973"/>
      <c r="CH52" s="973"/>
      <c r="CI52" s="973"/>
      <c r="CJ52" s="973"/>
      <c r="CK52" s="973"/>
      <c r="CL52" s="973"/>
      <c r="CM52" s="973"/>
      <c r="CN52" s="973"/>
      <c r="CO52" s="973"/>
      <c r="CP52" s="973"/>
      <c r="CQ52" s="973"/>
      <c r="CR52" s="973"/>
      <c r="CS52" s="973"/>
      <c r="CT52" s="973"/>
      <c r="CU52" s="973"/>
      <c r="CV52" s="973"/>
      <c r="CW52" s="973"/>
      <c r="CX52" s="973"/>
      <c r="CY52" s="973"/>
      <c r="CZ52" s="973"/>
      <c r="DA52" s="973"/>
      <c r="DB52" s="973"/>
      <c r="DC52" s="973"/>
      <c r="DD52" s="973"/>
      <c r="DE52" s="973"/>
      <c r="DF52" s="973"/>
      <c r="DG52" s="973"/>
      <c r="DH52" s="973"/>
      <c r="DI52" s="973"/>
      <c r="DJ52" s="973"/>
      <c r="DK52" s="973"/>
      <c r="DL52" s="973"/>
      <c r="DM52" s="973"/>
      <c r="DN52" s="973"/>
      <c r="DO52" s="97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33"/>
      <c r="EA52" s="33"/>
      <c r="EB52" s="33"/>
      <c r="EC52" s="33"/>
      <c r="ED52" s="33"/>
      <c r="EE52" s="33"/>
      <c r="EF52" s="33"/>
      <c r="EG52" s="33"/>
      <c r="EH52" s="33"/>
      <c r="EI52" s="33"/>
      <c r="EJ52" s="33"/>
      <c r="EK52" s="33"/>
      <c r="EL52" s="33"/>
      <c r="EM52" s="33"/>
      <c r="EN52" s="33"/>
      <c r="EO52" s="33"/>
      <c r="EP52" s="33"/>
      <c r="EQ52" s="33"/>
      <c r="ER52" s="33"/>
      <c r="ES52" s="33"/>
      <c r="ET52" s="33"/>
      <c r="EU52" s="33"/>
      <c r="EV52" s="33"/>
      <c r="EW52" s="33"/>
      <c r="EX52" s="33"/>
      <c r="EY52" s="33"/>
      <c r="EZ52" s="33"/>
      <c r="FA52" s="33"/>
      <c r="FB52" s="33"/>
      <c r="FC52" s="33"/>
      <c r="FD52" s="33"/>
      <c r="FE52" s="33"/>
      <c r="FF52" s="33"/>
      <c r="FG52" s="33"/>
      <c r="FH52" s="33"/>
      <c r="FI52" s="33"/>
      <c r="FJ52" s="33"/>
      <c r="FK52" s="33"/>
      <c r="FL52" s="33"/>
      <c r="FM52" s="33"/>
      <c r="FN52" s="33"/>
      <c r="FO52" s="33"/>
      <c r="FP52" s="33"/>
      <c r="FQ52" s="33"/>
      <c r="FR52" s="33"/>
      <c r="FS52" s="33"/>
      <c r="FT52" s="33"/>
      <c r="FU52" s="33"/>
      <c r="FV52" s="33"/>
      <c r="FW52" s="33"/>
      <c r="FX52" s="33"/>
      <c r="FY52" s="33"/>
      <c r="FZ52" s="33"/>
      <c r="GA52" s="33"/>
      <c r="GB52" s="33"/>
      <c r="GC52" s="33"/>
      <c r="GD52" s="33"/>
      <c r="GE52" s="33"/>
      <c r="GF52" s="33"/>
      <c r="GG52" s="33"/>
      <c r="GH52" s="33"/>
      <c r="GI52" s="33"/>
      <c r="GJ52" s="33"/>
      <c r="GK52" s="33"/>
    </row>
    <row r="53" spans="1:193" x14ac:dyDescent="0.25">
      <c r="A53" s="453" t="s">
        <v>471</v>
      </c>
      <c r="B53" s="182">
        <v>2</v>
      </c>
      <c r="C53" s="167">
        <v>2</v>
      </c>
      <c r="D53" s="967">
        <f t="shared" si="1"/>
        <v>0</v>
      </c>
      <c r="E53" s="182">
        <v>12</v>
      </c>
      <c r="F53" s="167">
        <v>12</v>
      </c>
      <c r="G53" s="967">
        <f t="shared" si="2"/>
        <v>0</v>
      </c>
      <c r="H53" s="182">
        <v>5</v>
      </c>
      <c r="I53" s="167">
        <v>5</v>
      </c>
      <c r="J53" s="967">
        <f t="shared" si="3"/>
        <v>0</v>
      </c>
      <c r="K53" s="182">
        <f t="shared" si="11"/>
        <v>19</v>
      </c>
      <c r="L53" s="167">
        <f t="shared" si="11"/>
        <v>19</v>
      </c>
      <c r="M53" s="967">
        <f t="shared" si="4"/>
        <v>0</v>
      </c>
      <c r="N53" s="198" t="e">
        <f>#REF!+#REF!+#REF!+#REF!+#REF!+#REF!+#REF!+#REF!+#REF!+#REF!</f>
        <v>#REF!</v>
      </c>
      <c r="O53" s="182">
        <v>5</v>
      </c>
      <c r="P53" s="167">
        <v>6</v>
      </c>
      <c r="Q53" s="967">
        <f t="shared" si="5"/>
        <v>1</v>
      </c>
      <c r="R53" s="1237">
        <f>L53+P53</f>
        <v>25</v>
      </c>
    </row>
    <row r="54" spans="1:193" x14ac:dyDescent="0.25">
      <c r="A54" s="453" t="s">
        <v>472</v>
      </c>
      <c r="B54" s="182">
        <v>12.5</v>
      </c>
      <c r="C54" s="167">
        <v>12.5</v>
      </c>
      <c r="D54" s="967">
        <f t="shared" si="1"/>
        <v>0</v>
      </c>
      <c r="E54" s="182">
        <v>18</v>
      </c>
      <c r="F54" s="167">
        <v>18</v>
      </c>
      <c r="G54" s="967">
        <f t="shared" si="2"/>
        <v>0</v>
      </c>
      <c r="H54" s="182">
        <v>9</v>
      </c>
      <c r="I54" s="167">
        <v>9</v>
      </c>
      <c r="J54" s="967">
        <f t="shared" si="3"/>
        <v>0</v>
      </c>
      <c r="K54" s="182">
        <f t="shared" si="11"/>
        <v>39.5</v>
      </c>
      <c r="L54" s="167">
        <f t="shared" si="11"/>
        <v>39.5</v>
      </c>
      <c r="M54" s="967">
        <f t="shared" si="4"/>
        <v>0</v>
      </c>
      <c r="N54" s="198" t="e">
        <f>#REF!+#REF!+#REF!+#REF!+#REF!+#REF!+#REF!+#REF!+#REF!+#REF!</f>
        <v>#REF!</v>
      </c>
      <c r="O54" s="182">
        <v>71</v>
      </c>
      <c r="P54" s="167">
        <v>69</v>
      </c>
      <c r="Q54" s="967">
        <f t="shared" si="5"/>
        <v>-2</v>
      </c>
      <c r="R54" s="1237">
        <f t="shared" ref="R54:R60" si="12">L54+P54</f>
        <v>108.5</v>
      </c>
    </row>
    <row r="55" spans="1:193" x14ac:dyDescent="0.25">
      <c r="A55" s="453" t="s">
        <v>473</v>
      </c>
      <c r="B55" s="181"/>
      <c r="C55" s="166"/>
      <c r="D55" s="967">
        <f t="shared" si="1"/>
        <v>0</v>
      </c>
      <c r="E55" s="182">
        <v>0</v>
      </c>
      <c r="F55" s="167">
        <v>0</v>
      </c>
      <c r="G55" s="967">
        <f t="shared" si="2"/>
        <v>0</v>
      </c>
      <c r="H55" s="182"/>
      <c r="I55" s="167"/>
      <c r="J55" s="967">
        <f t="shared" si="3"/>
        <v>0</v>
      </c>
      <c r="K55" s="182">
        <f t="shared" si="11"/>
        <v>0</v>
      </c>
      <c r="L55" s="167">
        <f t="shared" si="11"/>
        <v>0</v>
      </c>
      <c r="M55" s="967">
        <f t="shared" si="4"/>
        <v>0</v>
      </c>
      <c r="N55" s="198" t="e">
        <f>#REF!+#REF!+#REF!+#REF!+#REF!+#REF!+#REF!+#REF!+#REF!+#REF!</f>
        <v>#REF!</v>
      </c>
      <c r="O55" s="182"/>
      <c r="P55" s="167"/>
      <c r="Q55" s="967">
        <f t="shared" si="5"/>
        <v>0</v>
      </c>
      <c r="R55" s="1237">
        <f t="shared" si="12"/>
        <v>0</v>
      </c>
    </row>
    <row r="56" spans="1:193" x14ac:dyDescent="0.25">
      <c r="A56" s="453" t="s">
        <v>474</v>
      </c>
      <c r="B56" s="182">
        <v>1</v>
      </c>
      <c r="C56" s="167">
        <v>1</v>
      </c>
      <c r="D56" s="967">
        <f t="shared" si="1"/>
        <v>0</v>
      </c>
      <c r="E56" s="182">
        <v>2</v>
      </c>
      <c r="F56" s="167">
        <v>2</v>
      </c>
      <c r="G56" s="967">
        <f t="shared" si="2"/>
        <v>0</v>
      </c>
      <c r="H56" s="182">
        <v>2</v>
      </c>
      <c r="I56" s="167">
        <v>2</v>
      </c>
      <c r="J56" s="967">
        <f t="shared" si="3"/>
        <v>0</v>
      </c>
      <c r="K56" s="182">
        <f t="shared" si="11"/>
        <v>5</v>
      </c>
      <c r="L56" s="167">
        <f t="shared" si="11"/>
        <v>5</v>
      </c>
      <c r="M56" s="967">
        <f t="shared" si="4"/>
        <v>0</v>
      </c>
      <c r="N56" s="198" t="e">
        <f>#REF!+#REF!+#REF!+#REF!+#REF!+#REF!+#REF!+#REF!+#REF!+#REF!</f>
        <v>#REF!</v>
      </c>
      <c r="O56" s="182"/>
      <c r="P56" s="167"/>
      <c r="Q56" s="967">
        <f t="shared" si="5"/>
        <v>0</v>
      </c>
      <c r="R56" s="1237">
        <f t="shared" si="12"/>
        <v>5</v>
      </c>
    </row>
    <row r="57" spans="1:193" x14ac:dyDescent="0.25">
      <c r="A57" s="453" t="s">
        <v>475</v>
      </c>
      <c r="B57" s="182">
        <f>SUM(B53:B56)</f>
        <v>15.5</v>
      </c>
      <c r="C57" s="167">
        <f>SUM(C53:C56)</f>
        <v>15.5</v>
      </c>
      <c r="D57" s="967">
        <f t="shared" si="1"/>
        <v>0</v>
      </c>
      <c r="E57" s="182">
        <f>SUM(E53:E56)</f>
        <v>32</v>
      </c>
      <c r="F57" s="167">
        <f>SUM(F53:F56)</f>
        <v>32</v>
      </c>
      <c r="G57" s="967">
        <f t="shared" si="2"/>
        <v>0</v>
      </c>
      <c r="H57" s="182">
        <f>SUM(H53:H56)</f>
        <v>16</v>
      </c>
      <c r="I57" s="167">
        <f>SUM(I53:I56)</f>
        <v>16</v>
      </c>
      <c r="J57" s="967">
        <f t="shared" si="3"/>
        <v>0</v>
      </c>
      <c r="K57" s="182">
        <f>SUM(K53:K56)</f>
        <v>63.5</v>
      </c>
      <c r="L57" s="167">
        <f>SUM(L53:L56)</f>
        <v>63.5</v>
      </c>
      <c r="M57" s="967">
        <f t="shared" si="4"/>
        <v>0</v>
      </c>
      <c r="N57" s="198" t="e">
        <f>SUM(N53:N56)</f>
        <v>#REF!</v>
      </c>
      <c r="O57" s="182">
        <f>SUM(O53:O56)</f>
        <v>76</v>
      </c>
      <c r="P57" s="167">
        <f>SUM(P53:P56)</f>
        <v>75</v>
      </c>
      <c r="Q57" s="967">
        <f t="shared" si="5"/>
        <v>-1</v>
      </c>
      <c r="R57" s="1237">
        <f t="shared" si="12"/>
        <v>138.5</v>
      </c>
    </row>
    <row r="58" spans="1:193" x14ac:dyDescent="0.25">
      <c r="A58" s="453" t="s">
        <v>476</v>
      </c>
      <c r="B58" s="181"/>
      <c r="C58" s="166"/>
      <c r="D58" s="967">
        <f t="shared" si="1"/>
        <v>0</v>
      </c>
      <c r="E58" s="181"/>
      <c r="F58" s="166"/>
      <c r="G58" s="967">
        <f t="shared" si="2"/>
        <v>0</v>
      </c>
      <c r="H58" s="182"/>
      <c r="I58" s="167"/>
      <c r="J58" s="967">
        <f t="shared" si="3"/>
        <v>0</v>
      </c>
      <c r="K58" s="181"/>
      <c r="L58" s="166"/>
      <c r="M58" s="967">
        <f t="shared" si="4"/>
        <v>0</v>
      </c>
      <c r="N58" s="198" t="e">
        <f>#REF!+#REF!+#REF!+#REF!+#REF!+#REF!+#REF!+#REF!+#REF!+#REF!</f>
        <v>#REF!</v>
      </c>
      <c r="O58" s="182">
        <v>3</v>
      </c>
      <c r="P58" s="167">
        <v>3</v>
      </c>
      <c r="Q58" s="967">
        <f t="shared" si="5"/>
        <v>0</v>
      </c>
      <c r="R58" s="1237">
        <f t="shared" si="12"/>
        <v>3</v>
      </c>
    </row>
    <row r="59" spans="1:193" x14ac:dyDescent="0.25">
      <c r="A59" s="485" t="s">
        <v>122</v>
      </c>
      <c r="B59" s="181"/>
      <c r="C59" s="166"/>
      <c r="D59" s="967">
        <f t="shared" si="1"/>
        <v>0</v>
      </c>
      <c r="E59" s="181"/>
      <c r="F59" s="166"/>
      <c r="G59" s="967">
        <f t="shared" si="2"/>
        <v>0</v>
      </c>
      <c r="H59" s="182"/>
      <c r="I59" s="167"/>
      <c r="J59" s="967">
        <f t="shared" si="3"/>
        <v>0</v>
      </c>
      <c r="K59" s="181"/>
      <c r="L59" s="166"/>
      <c r="M59" s="967">
        <f t="shared" si="4"/>
        <v>0</v>
      </c>
      <c r="N59" s="198"/>
      <c r="O59" s="182">
        <v>1</v>
      </c>
      <c r="P59" s="167">
        <v>1</v>
      </c>
      <c r="Q59" s="967">
        <f t="shared" si="5"/>
        <v>0</v>
      </c>
      <c r="R59" s="1237"/>
    </row>
    <row r="60" spans="1:193" ht="14.4" thickBot="1" x14ac:dyDescent="0.3">
      <c r="A60" s="454" t="s">
        <v>477</v>
      </c>
      <c r="B60" s="876"/>
      <c r="C60" s="877"/>
      <c r="D60" s="974">
        <f t="shared" si="1"/>
        <v>0</v>
      </c>
      <c r="E60" s="183"/>
      <c r="F60" s="878"/>
      <c r="G60" s="974">
        <f t="shared" si="2"/>
        <v>0</v>
      </c>
      <c r="H60" s="209"/>
      <c r="I60" s="879"/>
      <c r="J60" s="974">
        <f t="shared" si="3"/>
        <v>0</v>
      </c>
      <c r="K60" s="183"/>
      <c r="L60" s="878"/>
      <c r="M60" s="974">
        <f t="shared" si="4"/>
        <v>0</v>
      </c>
      <c r="N60" s="355" t="e">
        <f>#REF!+#REF!+#REF!+#REF!+#REF!+#REF!+#REF!+#REF!+#REF!+#REF!</f>
        <v>#REF!</v>
      </c>
      <c r="O60" s="209">
        <v>20</v>
      </c>
      <c r="P60" s="879">
        <v>20</v>
      </c>
      <c r="Q60" s="974">
        <f t="shared" si="5"/>
        <v>0</v>
      </c>
      <c r="R60" s="1237">
        <f t="shared" si="12"/>
        <v>20</v>
      </c>
    </row>
    <row r="61" spans="1:193" x14ac:dyDescent="0.25">
      <c r="R61" s="1237">
        <f>SUM(R57:R60)</f>
        <v>161.5</v>
      </c>
    </row>
  </sheetData>
  <sheetProtection selectLockedCells="1" selectUnlockedCells="1"/>
  <mergeCells count="7">
    <mergeCell ref="A6:Q6"/>
    <mergeCell ref="A10:A11"/>
    <mergeCell ref="O10:Q10"/>
    <mergeCell ref="B10:D10"/>
    <mergeCell ref="E10:G10"/>
    <mergeCell ref="H10:J10"/>
    <mergeCell ref="K10:M10"/>
  </mergeCells>
  <phoneticPr fontId="27" type="noConversion"/>
  <printOptions horizontalCentered="1"/>
  <pageMargins left="2.75E-2" right="0.25" top="0.75" bottom="0.75" header="0.3" footer="0.3"/>
  <pageSetup paperSize="9" scale="44" firstPageNumber="0" fitToWidth="0" fitToHeight="0" orientation="landscape" r:id="rId1"/>
  <headerFooter alignWithMargins="0">
    <oddHeader xml:space="preserve">&amp;C
2/a. melléklet 
az önkormányzat 2018. évi költségvetéséről szóló 11/2018. (III.01.) önkormányzati rendelethez&amp;R&amp;12
&amp;P. oldal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view="pageLayout" zoomScaleNormal="100" zoomScaleSheetLayoutView="78" workbookViewId="0">
      <selection activeCell="A91" sqref="A91"/>
    </sheetView>
  </sheetViews>
  <sheetFormatPr defaultRowHeight="13.8" x14ac:dyDescent="0.25"/>
  <cols>
    <col min="1" max="1" width="77.5546875" style="139" customWidth="1"/>
    <col min="2" max="2" width="9.6640625" style="139" customWidth="1"/>
    <col min="3" max="3" width="10.44140625" style="139" customWidth="1"/>
    <col min="4" max="4" width="11" style="139" bestFit="1" customWidth="1"/>
    <col min="5" max="5" width="15.33203125" style="139" customWidth="1"/>
    <col min="6" max="6" width="10.44140625" customWidth="1"/>
    <col min="7" max="7" width="12.33203125" customWidth="1"/>
    <col min="8" max="8" width="15" customWidth="1"/>
    <col min="10" max="10" width="13.6640625" customWidth="1"/>
  </cols>
  <sheetData>
    <row r="1" spans="1:8" ht="15.6" x14ac:dyDescent="0.3">
      <c r="A1" s="1659" t="s">
        <v>372</v>
      </c>
      <c r="B1" s="1659"/>
      <c r="C1" s="1659"/>
      <c r="D1" s="1659"/>
      <c r="E1" s="1659"/>
    </row>
    <row r="2" spans="1:8" ht="14.4" thickBot="1" x14ac:dyDescent="0.3"/>
    <row r="3" spans="1:8" ht="26.4" customHeight="1" x14ac:dyDescent="0.25">
      <c r="A3" s="1662" t="s">
        <v>784</v>
      </c>
      <c r="B3" s="1664" t="s">
        <v>478</v>
      </c>
      <c r="C3" s="1666" t="s">
        <v>479</v>
      </c>
      <c r="D3" s="1668" t="s">
        <v>480</v>
      </c>
      <c r="E3" s="1660" t="s">
        <v>759</v>
      </c>
      <c r="F3" s="1664" t="s">
        <v>478</v>
      </c>
      <c r="G3" s="1672" t="s">
        <v>978</v>
      </c>
      <c r="H3" s="1670" t="s">
        <v>979</v>
      </c>
    </row>
    <row r="4" spans="1:8" ht="13.95" customHeight="1" thickBot="1" x14ac:dyDescent="0.3">
      <c r="A4" s="1663"/>
      <c r="B4" s="1665"/>
      <c r="C4" s="1667"/>
      <c r="D4" s="1669"/>
      <c r="E4" s="1661"/>
      <c r="F4" s="1665"/>
      <c r="G4" s="1673"/>
      <c r="H4" s="1671"/>
    </row>
    <row r="5" spans="1:8" x14ac:dyDescent="0.25">
      <c r="A5" s="1103" t="s">
        <v>799</v>
      </c>
      <c r="B5" s="816"/>
      <c r="C5" s="819"/>
      <c r="D5" s="1106"/>
      <c r="E5" s="1108">
        <f>E6+E28</f>
        <v>465551718</v>
      </c>
      <c r="F5" s="1109"/>
      <c r="G5" s="1110">
        <f>G6+G28</f>
        <v>532530</v>
      </c>
      <c r="H5" s="1108">
        <f>H6+H28</f>
        <v>466084248</v>
      </c>
    </row>
    <row r="6" spans="1:8" x14ac:dyDescent="0.25">
      <c r="A6" s="140" t="s">
        <v>878</v>
      </c>
      <c r="B6" s="138"/>
      <c r="C6" s="141"/>
      <c r="D6" s="142"/>
      <c r="E6" s="976">
        <f>E7+E10+E20+E21+E23+E24+E26+E27</f>
        <v>465551718</v>
      </c>
      <c r="F6" s="977"/>
      <c r="G6" s="977">
        <f>G7+G10+G20+G21+G23+G24+G26+G27</f>
        <v>0</v>
      </c>
      <c r="H6" s="460">
        <f>H7+H10+H20+H21+H23+H24+H26+H27</f>
        <v>465551718</v>
      </c>
    </row>
    <row r="7" spans="1:8" x14ac:dyDescent="0.25">
      <c r="A7" s="140" t="s">
        <v>481</v>
      </c>
      <c r="B7" s="138"/>
      <c r="C7" s="143"/>
      <c r="D7" s="142"/>
      <c r="E7" s="978">
        <f>E8</f>
        <v>180406200</v>
      </c>
      <c r="F7" s="979"/>
      <c r="G7" s="979">
        <f>G8</f>
        <v>0</v>
      </c>
      <c r="H7" s="461">
        <f>H8</f>
        <v>180406200</v>
      </c>
    </row>
    <row r="8" spans="1:8" x14ac:dyDescent="0.25">
      <c r="A8" s="135" t="s">
        <v>482</v>
      </c>
      <c r="B8" s="138"/>
      <c r="C8" s="144">
        <v>39.39</v>
      </c>
      <c r="D8" s="134">
        <v>4580000</v>
      </c>
      <c r="E8" s="980">
        <f>C8*D8</f>
        <v>180406200</v>
      </c>
      <c r="F8" s="136"/>
      <c r="G8" s="136"/>
      <c r="H8" s="1013">
        <f t="shared" ref="H8:H28" si="0">E8+G8</f>
        <v>180406200</v>
      </c>
    </row>
    <row r="9" spans="1:8" x14ac:dyDescent="0.25">
      <c r="A9" s="135" t="s">
        <v>484</v>
      </c>
      <c r="B9" s="138"/>
      <c r="C9" s="143"/>
      <c r="D9" s="142"/>
      <c r="E9" s="981">
        <v>0</v>
      </c>
      <c r="F9" s="136"/>
      <c r="G9" s="136"/>
      <c r="H9" s="1013">
        <f t="shared" si="0"/>
        <v>0</v>
      </c>
    </row>
    <row r="10" spans="1:8" x14ac:dyDescent="0.25">
      <c r="A10" s="388" t="s">
        <v>841</v>
      </c>
      <c r="B10" s="138"/>
      <c r="C10" s="143"/>
      <c r="D10" s="142"/>
      <c r="E10" s="978">
        <f>E11+E12+E13+E14+E15+E16+E17+E18</f>
        <v>0</v>
      </c>
      <c r="F10" s="136"/>
      <c r="G10" s="136"/>
      <c r="H10" s="1013">
        <f t="shared" si="0"/>
        <v>0</v>
      </c>
    </row>
    <row r="11" spans="1:8" x14ac:dyDescent="0.25">
      <c r="A11" s="145" t="s">
        <v>968</v>
      </c>
      <c r="B11" s="138"/>
      <c r="C11" s="143"/>
      <c r="D11" s="142">
        <v>22300</v>
      </c>
      <c r="E11" s="980">
        <v>15719270</v>
      </c>
      <c r="F11" s="136"/>
      <c r="G11" s="136"/>
      <c r="H11" s="1013">
        <f t="shared" si="0"/>
        <v>15719270</v>
      </c>
    </row>
    <row r="12" spans="1:8" x14ac:dyDescent="0.25">
      <c r="A12" s="145" t="s">
        <v>484</v>
      </c>
      <c r="B12" s="138"/>
      <c r="C12" s="143"/>
      <c r="D12" s="142"/>
      <c r="E12" s="981">
        <v>-15719270</v>
      </c>
      <c r="F12" s="136"/>
      <c r="G12" s="136"/>
      <c r="H12" s="1013">
        <f t="shared" si="0"/>
        <v>-15719270</v>
      </c>
    </row>
    <row r="13" spans="1:8" x14ac:dyDescent="0.25">
      <c r="A13" s="145" t="s">
        <v>485</v>
      </c>
      <c r="B13" s="138"/>
      <c r="C13" s="141"/>
      <c r="D13" s="142"/>
      <c r="E13" s="980">
        <v>58360000</v>
      </c>
      <c r="F13" s="136"/>
      <c r="G13" s="136"/>
      <c r="H13" s="1013">
        <f t="shared" si="0"/>
        <v>58360000</v>
      </c>
    </row>
    <row r="14" spans="1:8" x14ac:dyDescent="0.25">
      <c r="A14" s="145" t="s">
        <v>484</v>
      </c>
      <c r="B14" s="138"/>
      <c r="C14" s="141"/>
      <c r="D14" s="142"/>
      <c r="E14" s="981">
        <v>-58360000</v>
      </c>
      <c r="F14" s="136"/>
      <c r="G14" s="136"/>
      <c r="H14" s="1013">
        <f t="shared" si="0"/>
        <v>-58360000</v>
      </c>
    </row>
    <row r="15" spans="1:8" x14ac:dyDescent="0.25">
      <c r="A15" s="145" t="s">
        <v>486</v>
      </c>
      <c r="B15" s="138"/>
      <c r="C15" s="141"/>
      <c r="D15" s="142"/>
      <c r="E15" s="980">
        <v>2176616</v>
      </c>
      <c r="F15" s="136"/>
      <c r="G15" s="136"/>
      <c r="H15" s="1013">
        <f t="shared" si="0"/>
        <v>2176616</v>
      </c>
    </row>
    <row r="16" spans="1:8" x14ac:dyDescent="0.25">
      <c r="A16" s="145" t="s">
        <v>484</v>
      </c>
      <c r="B16" s="138"/>
      <c r="C16" s="141"/>
      <c r="D16" s="142"/>
      <c r="E16" s="981">
        <v>-2176616</v>
      </c>
      <c r="F16" s="136"/>
      <c r="G16" s="136"/>
      <c r="H16" s="1013">
        <f t="shared" si="0"/>
        <v>-2176616</v>
      </c>
    </row>
    <row r="17" spans="1:10" x14ac:dyDescent="0.25">
      <c r="A17" s="145" t="s">
        <v>487</v>
      </c>
      <c r="B17" s="138"/>
      <c r="C17" s="141"/>
      <c r="D17" s="142"/>
      <c r="E17" s="980">
        <v>22310850</v>
      </c>
      <c r="F17" s="136"/>
      <c r="G17" s="136"/>
      <c r="H17" s="1013">
        <f t="shared" si="0"/>
        <v>22310850</v>
      </c>
    </row>
    <row r="18" spans="1:10" x14ac:dyDescent="0.25">
      <c r="A18" s="145" t="s">
        <v>484</v>
      </c>
      <c r="B18" s="138"/>
      <c r="C18" s="141"/>
      <c r="D18" s="142"/>
      <c r="E18" s="981">
        <v>-22310850</v>
      </c>
      <c r="F18" s="136"/>
      <c r="G18" s="136"/>
      <c r="H18" s="1013">
        <f t="shared" si="0"/>
        <v>-22310850</v>
      </c>
    </row>
    <row r="19" spans="1:10" x14ac:dyDescent="0.25">
      <c r="A19" s="140" t="s">
        <v>842</v>
      </c>
      <c r="B19" s="138"/>
      <c r="C19" s="141"/>
      <c r="D19" s="142"/>
      <c r="E19" s="976">
        <f>E20+E21</f>
        <v>0</v>
      </c>
      <c r="F19" s="136"/>
      <c r="G19" s="136"/>
      <c r="H19" s="1013">
        <f t="shared" si="0"/>
        <v>0</v>
      </c>
    </row>
    <row r="20" spans="1:10" x14ac:dyDescent="0.25">
      <c r="A20" s="135" t="s">
        <v>788</v>
      </c>
      <c r="B20" s="137"/>
      <c r="C20" s="137"/>
      <c r="D20" s="134">
        <v>2700</v>
      </c>
      <c r="E20" s="980">
        <v>37497600</v>
      </c>
      <c r="F20" s="136"/>
      <c r="G20" s="136"/>
      <c r="H20" s="1013">
        <f t="shared" si="0"/>
        <v>37497600</v>
      </c>
      <c r="J20" t="s">
        <v>484</v>
      </c>
    </row>
    <row r="21" spans="1:10" x14ac:dyDescent="0.25">
      <c r="A21" s="145" t="s">
        <v>484</v>
      </c>
      <c r="B21" s="138"/>
      <c r="C21" s="146"/>
      <c r="D21" s="134"/>
      <c r="E21" s="980">
        <v>-37497600</v>
      </c>
      <c r="F21" s="136"/>
      <c r="G21" s="136"/>
      <c r="H21" s="1013">
        <f t="shared" si="0"/>
        <v>-37497600</v>
      </c>
      <c r="J21" s="373">
        <f>E21+E24+E27+E18+E16+E14+E12</f>
        <v>-179376397</v>
      </c>
    </row>
    <row r="22" spans="1:10" x14ac:dyDescent="0.25">
      <c r="A22" s="140" t="s">
        <v>843</v>
      </c>
      <c r="B22" s="138"/>
      <c r="C22" s="146"/>
      <c r="D22" s="134"/>
      <c r="E22" s="978">
        <f>E23+E24</f>
        <v>0</v>
      </c>
      <c r="F22" s="136"/>
      <c r="G22" s="136"/>
      <c r="H22" s="1013">
        <f t="shared" si="0"/>
        <v>0</v>
      </c>
    </row>
    <row r="23" spans="1:10" x14ac:dyDescent="0.25">
      <c r="A23" s="135" t="s">
        <v>510</v>
      </c>
      <c r="B23" s="138"/>
      <c r="C23" s="146"/>
      <c r="D23" s="147"/>
      <c r="E23" s="982">
        <v>316200</v>
      </c>
      <c r="F23" s="136"/>
      <c r="G23" s="136"/>
      <c r="H23" s="1013">
        <f t="shared" si="0"/>
        <v>316200</v>
      </c>
    </row>
    <row r="24" spans="1:10" x14ac:dyDescent="0.25">
      <c r="A24" s="145" t="s">
        <v>484</v>
      </c>
      <c r="B24" s="138"/>
      <c r="C24" s="141"/>
      <c r="D24" s="387"/>
      <c r="E24" s="983">
        <v>-316200</v>
      </c>
      <c r="F24" s="136"/>
      <c r="G24" s="136"/>
      <c r="H24" s="1013">
        <f t="shared" si="0"/>
        <v>-316200</v>
      </c>
      <c r="J24" s="228"/>
    </row>
    <row r="25" spans="1:10" x14ac:dyDescent="0.25">
      <c r="A25" s="389" t="s">
        <v>844</v>
      </c>
      <c r="B25" s="138"/>
      <c r="C25" s="146"/>
      <c r="D25" s="134"/>
      <c r="E25" s="984">
        <f>SUM(E26:E27)</f>
        <v>285145518</v>
      </c>
      <c r="F25" s="136"/>
      <c r="G25" s="136"/>
      <c r="H25" s="1013">
        <f t="shared" si="0"/>
        <v>285145518</v>
      </c>
    </row>
    <row r="26" spans="1:10" x14ac:dyDescent="0.25">
      <c r="A26" s="148" t="s">
        <v>845</v>
      </c>
      <c r="B26" s="138"/>
      <c r="C26" s="146"/>
      <c r="D26" s="134"/>
      <c r="E26" s="985">
        <v>328141379</v>
      </c>
      <c r="F26" s="136"/>
      <c r="G26" s="136"/>
      <c r="H26" s="1013">
        <f t="shared" si="0"/>
        <v>328141379</v>
      </c>
    </row>
    <row r="27" spans="1:10" x14ac:dyDescent="0.25">
      <c r="A27" s="145" t="s">
        <v>484</v>
      </c>
      <c r="B27" s="138"/>
      <c r="C27" s="146"/>
      <c r="D27" s="134"/>
      <c r="E27" s="980">
        <v>-42995861</v>
      </c>
      <c r="F27" s="136"/>
      <c r="G27" s="136"/>
      <c r="H27" s="1013">
        <f t="shared" si="0"/>
        <v>-42995861</v>
      </c>
    </row>
    <row r="28" spans="1:10" x14ac:dyDescent="0.25">
      <c r="A28" s="388" t="s">
        <v>61</v>
      </c>
      <c r="B28" s="138"/>
      <c r="C28" s="141"/>
      <c r="D28" s="142"/>
      <c r="E28" s="978">
        <v>0</v>
      </c>
      <c r="F28" s="136"/>
      <c r="G28" s="1014">
        <v>532530</v>
      </c>
      <c r="H28" s="1013">
        <f t="shared" si="0"/>
        <v>532530</v>
      </c>
    </row>
    <row r="29" spans="1:10" x14ac:dyDescent="0.25">
      <c r="A29" s="145"/>
      <c r="B29" s="138"/>
      <c r="C29" s="146"/>
      <c r="D29" s="134"/>
      <c r="E29" s="980"/>
      <c r="F29" s="136"/>
      <c r="G29" s="1014"/>
      <c r="H29" s="1015"/>
    </row>
    <row r="30" spans="1:10" x14ac:dyDescent="0.25">
      <c r="A30" s="140" t="s">
        <v>846</v>
      </c>
      <c r="B30" s="138"/>
      <c r="C30" s="146"/>
      <c r="D30" s="134"/>
      <c r="E30" s="986">
        <f>SUM(E31:E39)</f>
        <v>248514968</v>
      </c>
      <c r="F30" s="142"/>
      <c r="G30" s="987">
        <f>SUM(G31:G39)</f>
        <v>-199233</v>
      </c>
      <c r="H30" s="463">
        <f>SUM(H31:H39)</f>
        <v>248315735</v>
      </c>
    </row>
    <row r="31" spans="1:10" x14ac:dyDescent="0.25">
      <c r="A31" s="135" t="s">
        <v>502</v>
      </c>
      <c r="B31" s="137">
        <v>34.9</v>
      </c>
      <c r="C31" s="149">
        <f t="shared" ref="C31:C37" si="1">E31/D31</f>
        <v>23.266666666666666</v>
      </c>
      <c r="D31" s="134">
        <v>4419000</v>
      </c>
      <c r="E31" s="988">
        <v>102815400</v>
      </c>
      <c r="F31" s="137">
        <v>35</v>
      </c>
      <c r="G31" s="136">
        <v>294600</v>
      </c>
      <c r="H31" s="1013">
        <f t="shared" ref="H31:H39" si="2">E31+G31</f>
        <v>103110000</v>
      </c>
    </row>
    <row r="32" spans="1:10" x14ac:dyDescent="0.25">
      <c r="A32" s="135" t="s">
        <v>503</v>
      </c>
      <c r="B32" s="137">
        <v>26</v>
      </c>
      <c r="C32" s="149">
        <f t="shared" si="1"/>
        <v>17.333333333333332</v>
      </c>
      <c r="D32" s="134">
        <v>2205000</v>
      </c>
      <c r="E32" s="988">
        <v>38220000</v>
      </c>
      <c r="F32" s="137">
        <v>26</v>
      </c>
      <c r="G32" s="136"/>
      <c r="H32" s="1013">
        <f t="shared" si="2"/>
        <v>38220000</v>
      </c>
    </row>
    <row r="33" spans="1:8" x14ac:dyDescent="0.25">
      <c r="A33" s="135" t="s">
        <v>504</v>
      </c>
      <c r="B33" s="137">
        <v>34.5</v>
      </c>
      <c r="C33" s="149">
        <f t="shared" si="1"/>
        <v>11.5</v>
      </c>
      <c r="D33" s="134">
        <v>4419000</v>
      </c>
      <c r="E33" s="988">
        <v>50818500</v>
      </c>
      <c r="F33" s="137">
        <v>34.4</v>
      </c>
      <c r="G33" s="136">
        <v>-147300</v>
      </c>
      <c r="H33" s="1013">
        <f t="shared" si="2"/>
        <v>50671200</v>
      </c>
    </row>
    <row r="34" spans="1:8" x14ac:dyDescent="0.25">
      <c r="A34" s="135" t="s">
        <v>506</v>
      </c>
      <c r="B34" s="137">
        <v>26</v>
      </c>
      <c r="C34" s="149">
        <f t="shared" si="1"/>
        <v>8.6666666666666661</v>
      </c>
      <c r="D34" s="134">
        <v>2205000</v>
      </c>
      <c r="E34" s="988">
        <v>19110000</v>
      </c>
      <c r="F34" s="137">
        <v>26</v>
      </c>
      <c r="G34" s="136"/>
      <c r="H34" s="1013">
        <f t="shared" si="2"/>
        <v>19110000</v>
      </c>
    </row>
    <row r="35" spans="1:8" s="227" customFormat="1" x14ac:dyDescent="0.25">
      <c r="A35" s="135" t="s">
        <v>505</v>
      </c>
      <c r="B35" s="137">
        <v>36.6</v>
      </c>
      <c r="C35" s="149">
        <f t="shared" si="1"/>
        <v>0</v>
      </c>
      <c r="D35" s="146">
        <v>38200</v>
      </c>
      <c r="E35" s="983">
        <v>0</v>
      </c>
      <c r="F35" s="137">
        <v>36.6</v>
      </c>
      <c r="G35" s="1016"/>
      <c r="H35" s="1013">
        <f t="shared" si="2"/>
        <v>0</v>
      </c>
    </row>
    <row r="36" spans="1:8" x14ac:dyDescent="0.25">
      <c r="A36" s="135" t="s">
        <v>442</v>
      </c>
      <c r="B36" s="137">
        <v>378</v>
      </c>
      <c r="C36" s="149">
        <f t="shared" si="1"/>
        <v>252</v>
      </c>
      <c r="D36" s="134">
        <v>81700</v>
      </c>
      <c r="E36" s="988">
        <v>20588400</v>
      </c>
      <c r="F36" s="137">
        <v>379</v>
      </c>
      <c r="G36" s="136">
        <v>54467</v>
      </c>
      <c r="H36" s="1013">
        <f t="shared" si="2"/>
        <v>20642867</v>
      </c>
    </row>
    <row r="37" spans="1:8" x14ac:dyDescent="0.25">
      <c r="A37" s="135" t="s">
        <v>443</v>
      </c>
      <c r="B37" s="137">
        <v>375</v>
      </c>
      <c r="C37" s="149">
        <f t="shared" si="1"/>
        <v>127.65625</v>
      </c>
      <c r="D37" s="134">
        <v>80000</v>
      </c>
      <c r="E37" s="988">
        <v>10212500</v>
      </c>
      <c r="F37" s="137">
        <v>375</v>
      </c>
      <c r="G37" s="136"/>
      <c r="H37" s="1013">
        <f t="shared" si="2"/>
        <v>10212500</v>
      </c>
    </row>
    <row r="38" spans="1:8" x14ac:dyDescent="0.25">
      <c r="A38" s="148" t="s">
        <v>62</v>
      </c>
      <c r="B38" s="137">
        <v>15</v>
      </c>
      <c r="C38" s="137">
        <v>15</v>
      </c>
      <c r="D38" s="134">
        <v>401000</v>
      </c>
      <c r="E38" s="982">
        <f>D38*C38</f>
        <v>6015000</v>
      </c>
      <c r="F38" s="137">
        <v>14</v>
      </c>
      <c r="G38" s="137">
        <v>-401000</v>
      </c>
      <c r="H38" s="1013">
        <f t="shared" si="2"/>
        <v>5614000</v>
      </c>
    </row>
    <row r="39" spans="1:8" ht="28.2" thickBot="1" x14ac:dyDescent="0.3">
      <c r="A39" s="487" t="s">
        <v>359</v>
      </c>
      <c r="B39" s="162">
        <v>2</v>
      </c>
      <c r="C39" s="162">
        <v>2</v>
      </c>
      <c r="D39" s="488">
        <v>367584</v>
      </c>
      <c r="E39" s="489">
        <v>735168</v>
      </c>
      <c r="F39" s="162">
        <v>2</v>
      </c>
      <c r="G39" s="1017"/>
      <c r="H39" s="1018">
        <f t="shared" si="2"/>
        <v>735168</v>
      </c>
    </row>
    <row r="40" spans="1:8" ht="12.75" customHeight="1" x14ac:dyDescent="0.25">
      <c r="A40" s="1662" t="s">
        <v>784</v>
      </c>
      <c r="B40" s="1664" t="s">
        <v>478</v>
      </c>
      <c r="C40" s="1666" t="s">
        <v>479</v>
      </c>
      <c r="D40" s="1668" t="s">
        <v>480</v>
      </c>
      <c r="E40" s="1660" t="s">
        <v>759</v>
      </c>
      <c r="F40" s="1664" t="s">
        <v>478</v>
      </c>
      <c r="G40" s="1672" t="s">
        <v>978</v>
      </c>
      <c r="H40" s="1670" t="s">
        <v>979</v>
      </c>
    </row>
    <row r="41" spans="1:8" ht="13.5" customHeight="1" thickBot="1" x14ac:dyDescent="0.3">
      <c r="A41" s="1663"/>
      <c r="B41" s="1665"/>
      <c r="C41" s="1667"/>
      <c r="D41" s="1669"/>
      <c r="E41" s="1661"/>
      <c r="F41" s="1665"/>
      <c r="G41" s="1673"/>
      <c r="H41" s="1671"/>
    </row>
    <row r="42" spans="1:8" x14ac:dyDescent="0.25">
      <c r="A42" s="1103" t="s">
        <v>800</v>
      </c>
      <c r="B42" s="816"/>
      <c r="C42" s="1003"/>
      <c r="D42" s="1104"/>
      <c r="E42" s="1105">
        <f>E43+E46+E57</f>
        <v>182314391</v>
      </c>
      <c r="F42" s="1106"/>
      <c r="G42" s="1106">
        <f>G43+G46+G57</f>
        <v>11832251</v>
      </c>
      <c r="H42" s="1107">
        <f>H43+H46+H57</f>
        <v>194146642</v>
      </c>
    </row>
    <row r="43" spans="1:8" x14ac:dyDescent="0.25">
      <c r="A43" s="140" t="s">
        <v>488</v>
      </c>
      <c r="B43" s="138"/>
      <c r="C43" s="146"/>
      <c r="D43" s="134"/>
      <c r="E43" s="986">
        <f>SUM(E44:E45)</f>
        <v>0</v>
      </c>
      <c r="F43" s="136"/>
      <c r="G43" s="136"/>
      <c r="H43" s="1019"/>
    </row>
    <row r="44" spans="1:8" x14ac:dyDescent="0.25">
      <c r="A44" s="135" t="s">
        <v>791</v>
      </c>
      <c r="B44" s="138"/>
      <c r="C44" s="146"/>
      <c r="D44" s="134"/>
      <c r="E44" s="988"/>
      <c r="F44" s="136"/>
      <c r="G44" s="136"/>
      <c r="H44" s="1019"/>
    </row>
    <row r="45" spans="1:8" x14ac:dyDescent="0.25">
      <c r="A45" s="135" t="s">
        <v>790</v>
      </c>
      <c r="B45" s="138"/>
      <c r="C45" s="146"/>
      <c r="D45" s="134"/>
      <c r="E45" s="988"/>
      <c r="F45" s="136"/>
      <c r="G45" s="136"/>
      <c r="H45" s="1019"/>
    </row>
    <row r="46" spans="1:8" x14ac:dyDescent="0.25">
      <c r="A46" s="140" t="s">
        <v>489</v>
      </c>
      <c r="B46" s="137"/>
      <c r="C46" s="146"/>
      <c r="D46" s="134"/>
      <c r="E46" s="986">
        <f>E47+E48+E49+E50+E52+E53+E61+E51+E64</f>
        <v>103131000</v>
      </c>
      <c r="F46" s="142">
        <f>F47+F48+F49+F50+F52+F53+F61+F51+F64</f>
        <v>171</v>
      </c>
      <c r="G46" s="142">
        <f>G47+G48+G49+G50+G52+G53+G61+G51+G64</f>
        <v>11832251</v>
      </c>
      <c r="H46" s="463">
        <f>H47+H48+H49+H50+H52+H53+H61+H51+H64</f>
        <v>114963251</v>
      </c>
    </row>
    <row r="47" spans="1:8" ht="14.4" x14ac:dyDescent="0.3">
      <c r="A47" s="390" t="s">
        <v>847</v>
      </c>
      <c r="B47" s="137"/>
      <c r="C47" s="144">
        <f>E47/D47</f>
        <v>7.6</v>
      </c>
      <c r="D47" s="134">
        <v>3400000</v>
      </c>
      <c r="E47" s="988">
        <v>25840000</v>
      </c>
      <c r="F47" s="136"/>
      <c r="G47" s="136"/>
      <c r="H47" s="1013">
        <f t="shared" ref="H47:H64" si="3">E47+G47</f>
        <v>25840000</v>
      </c>
    </row>
    <row r="48" spans="1:8" ht="14.4" x14ac:dyDescent="0.3">
      <c r="A48" s="390" t="s">
        <v>848</v>
      </c>
      <c r="B48" s="137"/>
      <c r="C48" s="144">
        <f>E48/D48</f>
        <v>3.7</v>
      </c>
      <c r="D48" s="134">
        <v>3300000</v>
      </c>
      <c r="E48" s="988">
        <v>12210000</v>
      </c>
      <c r="F48" s="136"/>
      <c r="G48" s="136"/>
      <c r="H48" s="1013">
        <f t="shared" si="3"/>
        <v>12210000</v>
      </c>
    </row>
    <row r="49" spans="1:8" x14ac:dyDescent="0.25">
      <c r="A49" s="135" t="s">
        <v>494</v>
      </c>
      <c r="B49" s="137">
        <v>100</v>
      </c>
      <c r="C49" s="146">
        <v>100</v>
      </c>
      <c r="D49" s="134">
        <v>55360</v>
      </c>
      <c r="E49" s="988">
        <f>C49*D49</f>
        <v>5536000</v>
      </c>
      <c r="F49" s="137">
        <v>100</v>
      </c>
      <c r="G49" s="136"/>
      <c r="H49" s="1013">
        <f t="shared" si="3"/>
        <v>5536000</v>
      </c>
    </row>
    <row r="50" spans="1:8" x14ac:dyDescent="0.25">
      <c r="A50" s="135" t="s">
        <v>969</v>
      </c>
      <c r="B50" s="137">
        <v>6</v>
      </c>
      <c r="C50" s="146">
        <v>6</v>
      </c>
      <c r="D50" s="134">
        <v>25000</v>
      </c>
      <c r="E50" s="988">
        <f>C50*D50</f>
        <v>150000</v>
      </c>
      <c r="F50" s="137">
        <v>6</v>
      </c>
      <c r="G50" s="136"/>
      <c r="H50" s="1013">
        <f t="shared" si="3"/>
        <v>150000</v>
      </c>
    </row>
    <row r="51" spans="1:8" x14ac:dyDescent="0.25">
      <c r="A51" s="135" t="s">
        <v>332</v>
      </c>
      <c r="B51" s="137">
        <v>22</v>
      </c>
      <c r="C51" s="146">
        <v>22</v>
      </c>
      <c r="D51" s="134">
        <v>429000</v>
      </c>
      <c r="E51" s="988">
        <f>D51*C51</f>
        <v>9438000</v>
      </c>
      <c r="F51" s="137">
        <v>22</v>
      </c>
      <c r="G51" s="136"/>
      <c r="H51" s="1013">
        <f t="shared" si="3"/>
        <v>9438000</v>
      </c>
    </row>
    <row r="52" spans="1:8" x14ac:dyDescent="0.25">
      <c r="A52" s="151" t="s">
        <v>849</v>
      </c>
      <c r="B52" s="137">
        <v>43</v>
      </c>
      <c r="C52" s="146">
        <v>43</v>
      </c>
      <c r="D52" s="147">
        <v>163500</v>
      </c>
      <c r="E52" s="988">
        <f>C52*D52</f>
        <v>7030500</v>
      </c>
      <c r="F52" s="137">
        <v>43</v>
      </c>
      <c r="G52" s="136"/>
      <c r="H52" s="1013">
        <f t="shared" si="3"/>
        <v>7030500</v>
      </c>
    </row>
    <row r="53" spans="1:8" ht="14.4" x14ac:dyDescent="0.3">
      <c r="A53" s="390" t="s">
        <v>495</v>
      </c>
      <c r="B53" s="152"/>
      <c r="C53" s="153"/>
      <c r="D53" s="154"/>
      <c r="E53" s="988">
        <f>E54+E55+E56</f>
        <v>16060000</v>
      </c>
      <c r="F53" s="152"/>
      <c r="G53" s="136"/>
      <c r="H53" s="1013">
        <f t="shared" si="3"/>
        <v>16060000</v>
      </c>
    </row>
    <row r="54" spans="1:8" x14ac:dyDescent="0.25">
      <c r="A54" s="135" t="s">
        <v>801</v>
      </c>
      <c r="B54" s="137">
        <v>13</v>
      </c>
      <c r="C54" s="146">
        <v>13</v>
      </c>
      <c r="D54" s="134">
        <v>550000</v>
      </c>
      <c r="E54" s="988">
        <f>C54*D54</f>
        <v>7150000</v>
      </c>
      <c r="F54" s="137">
        <v>13</v>
      </c>
      <c r="G54" s="136"/>
      <c r="H54" s="1013">
        <f t="shared" si="3"/>
        <v>7150000</v>
      </c>
    </row>
    <row r="55" spans="1:8" x14ac:dyDescent="0.25">
      <c r="A55" s="151" t="s">
        <v>497</v>
      </c>
      <c r="B55" s="137">
        <v>23</v>
      </c>
      <c r="C55" s="146">
        <v>23</v>
      </c>
      <c r="D55" s="134">
        <v>220000</v>
      </c>
      <c r="E55" s="988">
        <f>C55*D55</f>
        <v>5060000</v>
      </c>
      <c r="F55" s="137">
        <v>23</v>
      </c>
      <c r="G55" s="136"/>
      <c r="H55" s="1013">
        <f t="shared" si="3"/>
        <v>5060000</v>
      </c>
    </row>
    <row r="56" spans="1:8" x14ac:dyDescent="0.25">
      <c r="A56" s="148" t="s">
        <v>802</v>
      </c>
      <c r="B56" s="137">
        <v>7</v>
      </c>
      <c r="C56" s="146">
        <v>7</v>
      </c>
      <c r="D56" s="134">
        <v>550000</v>
      </c>
      <c r="E56" s="988">
        <f>C56*D56</f>
        <v>3850000</v>
      </c>
      <c r="F56" s="137">
        <v>7</v>
      </c>
      <c r="G56" s="136"/>
      <c r="H56" s="1013">
        <f t="shared" si="3"/>
        <v>3850000</v>
      </c>
    </row>
    <row r="57" spans="1:8" x14ac:dyDescent="0.25">
      <c r="A57" s="140" t="s">
        <v>499</v>
      </c>
      <c r="B57" s="138"/>
      <c r="C57" s="155"/>
      <c r="D57" s="142">
        <v>1632000</v>
      </c>
      <c r="E57" s="986">
        <f>E58+E59+E60</f>
        <v>79183391</v>
      </c>
      <c r="F57" s="138"/>
      <c r="G57" s="136"/>
      <c r="H57" s="1021">
        <f t="shared" si="3"/>
        <v>79183391</v>
      </c>
    </row>
    <row r="58" spans="1:8" x14ac:dyDescent="0.25">
      <c r="A58" s="135" t="s">
        <v>500</v>
      </c>
      <c r="B58" s="137"/>
      <c r="C58" s="137">
        <v>25.34</v>
      </c>
      <c r="D58" s="134">
        <v>1900000</v>
      </c>
      <c r="E58" s="988">
        <v>48146000</v>
      </c>
      <c r="F58" s="137"/>
      <c r="G58" s="136"/>
      <c r="H58" s="1013">
        <f t="shared" si="3"/>
        <v>48146000</v>
      </c>
    </row>
    <row r="59" spans="1:8" x14ac:dyDescent="0.25">
      <c r="A59" s="135" t="s">
        <v>501</v>
      </c>
      <c r="B59" s="137"/>
      <c r="C59" s="156">
        <v>1126</v>
      </c>
      <c r="D59" s="134"/>
      <c r="E59" s="988">
        <v>30205647</v>
      </c>
      <c r="F59" s="137"/>
      <c r="G59" s="136"/>
      <c r="H59" s="1013">
        <f t="shared" si="3"/>
        <v>30205647</v>
      </c>
    </row>
    <row r="60" spans="1:8" x14ac:dyDescent="0.25">
      <c r="A60" s="135" t="s">
        <v>850</v>
      </c>
      <c r="B60" s="138">
        <v>2432</v>
      </c>
      <c r="C60" s="156">
        <v>2432</v>
      </c>
      <c r="D60" s="134">
        <v>342</v>
      </c>
      <c r="E60" s="988">
        <v>831744</v>
      </c>
      <c r="F60" s="138">
        <v>2432</v>
      </c>
      <c r="G60" s="136"/>
      <c r="H60" s="1013">
        <f t="shared" si="3"/>
        <v>831744</v>
      </c>
    </row>
    <row r="61" spans="1:8" ht="14.4" x14ac:dyDescent="0.3">
      <c r="A61" s="390" t="s">
        <v>498</v>
      </c>
      <c r="B61" s="138"/>
      <c r="C61" s="156"/>
      <c r="D61" s="134"/>
      <c r="E61" s="988">
        <f>E62+E63</f>
        <v>26866500</v>
      </c>
      <c r="F61" s="136"/>
      <c r="G61" s="136"/>
      <c r="H61" s="1013">
        <f t="shared" si="3"/>
        <v>26866500</v>
      </c>
    </row>
    <row r="62" spans="1:8" ht="27.6" x14ac:dyDescent="0.25">
      <c r="A62" s="151" t="s">
        <v>63</v>
      </c>
      <c r="B62" s="138"/>
      <c r="C62" s="156">
        <v>1</v>
      </c>
      <c r="D62" s="134">
        <v>4419000</v>
      </c>
      <c r="E62" s="988">
        <f>C62*D62</f>
        <v>4419000</v>
      </c>
      <c r="F62" s="136"/>
      <c r="G62" s="136"/>
      <c r="H62" s="1013">
        <f t="shared" si="3"/>
        <v>4419000</v>
      </c>
    </row>
    <row r="63" spans="1:8" ht="27.6" x14ac:dyDescent="0.25">
      <c r="A63" s="151" t="s">
        <v>64</v>
      </c>
      <c r="B63" s="138"/>
      <c r="C63" s="464">
        <v>7.5</v>
      </c>
      <c r="D63" s="134">
        <v>2993000</v>
      </c>
      <c r="E63" s="988">
        <f>C63*D63</f>
        <v>22447500</v>
      </c>
      <c r="F63" s="136"/>
      <c r="G63" s="136"/>
      <c r="H63" s="1013">
        <f t="shared" si="3"/>
        <v>22447500</v>
      </c>
    </row>
    <row r="64" spans="1:8" x14ac:dyDescent="0.25">
      <c r="A64" s="135" t="s">
        <v>360</v>
      </c>
      <c r="B64" s="137"/>
      <c r="C64" s="137"/>
      <c r="D64" s="134"/>
      <c r="E64" s="988"/>
      <c r="F64" s="136"/>
      <c r="G64" s="1020">
        <f>'[3]2c. tábla 2018.'!I61+'[3]2c. tábla 2018.'!I76</f>
        <v>11832251</v>
      </c>
      <c r="H64" s="1013">
        <f t="shared" si="3"/>
        <v>11832251</v>
      </c>
    </row>
    <row r="65" spans="1:8" x14ac:dyDescent="0.25">
      <c r="A65" s="135"/>
      <c r="B65" s="137"/>
      <c r="C65" s="137"/>
      <c r="D65" s="134"/>
      <c r="E65" s="989"/>
      <c r="F65" s="136"/>
      <c r="G65" s="136"/>
      <c r="H65" s="1013"/>
    </row>
    <row r="66" spans="1:8" x14ac:dyDescent="0.25">
      <c r="A66" s="135"/>
      <c r="B66" s="137"/>
      <c r="C66" s="137"/>
      <c r="D66" s="134"/>
      <c r="E66" s="989"/>
      <c r="F66" s="136"/>
      <c r="G66" s="136"/>
      <c r="H66" s="1019"/>
    </row>
    <row r="67" spans="1:8" x14ac:dyDescent="0.25">
      <c r="A67" s="391" t="s">
        <v>507</v>
      </c>
      <c r="B67" s="386"/>
      <c r="C67" s="386"/>
      <c r="D67" s="386"/>
      <c r="E67" s="984">
        <f>E68</f>
        <v>16804480</v>
      </c>
      <c r="F67" s="136"/>
      <c r="G67" s="1020">
        <f>G68+G69+G70</f>
        <v>2830191</v>
      </c>
      <c r="H67" s="1021">
        <f>E67+G67</f>
        <v>19634671</v>
      </c>
    </row>
    <row r="68" spans="1:8" x14ac:dyDescent="0.25">
      <c r="A68" s="392" t="s">
        <v>508</v>
      </c>
      <c r="B68" s="146"/>
      <c r="C68" s="146">
        <f>E68/D68</f>
        <v>13888</v>
      </c>
      <c r="D68" s="134">
        <v>1210</v>
      </c>
      <c r="E68" s="1012">
        <v>16804480</v>
      </c>
      <c r="F68" s="136"/>
      <c r="G68" s="136"/>
      <c r="H68" s="462">
        <v>16804480</v>
      </c>
    </row>
    <row r="69" spans="1:8" x14ac:dyDescent="0.25">
      <c r="A69" s="148" t="s">
        <v>879</v>
      </c>
      <c r="B69" s="146"/>
      <c r="C69" s="146"/>
      <c r="D69" s="134"/>
      <c r="E69" s="982"/>
      <c r="F69" s="136"/>
      <c r="G69" s="1020">
        <f>'[3]2c. tábla 2018.'!I84</f>
        <v>901906</v>
      </c>
      <c r="H69" s="1013">
        <f>E69+G69</f>
        <v>901906</v>
      </c>
    </row>
    <row r="70" spans="1:8" x14ac:dyDescent="0.25">
      <c r="A70" s="148" t="s">
        <v>361</v>
      </c>
      <c r="B70" s="146"/>
      <c r="C70" s="146"/>
      <c r="D70" s="134"/>
      <c r="E70" s="982"/>
      <c r="F70" s="136"/>
      <c r="G70" s="1020">
        <f>'[3]2c. tábla 2018.'!I86</f>
        <v>1928285</v>
      </c>
      <c r="H70" s="1013">
        <f>E70+G70</f>
        <v>1928285</v>
      </c>
    </row>
    <row r="71" spans="1:8" x14ac:dyDescent="0.25">
      <c r="A71" s="148"/>
      <c r="B71" s="146"/>
      <c r="C71" s="146"/>
      <c r="D71" s="134"/>
      <c r="E71" s="982"/>
      <c r="F71" s="136"/>
      <c r="G71" s="136"/>
      <c r="H71" s="1013">
        <f>E71+G71</f>
        <v>0</v>
      </c>
    </row>
    <row r="72" spans="1:8" s="191" customFormat="1" x14ac:dyDescent="0.25">
      <c r="A72" s="389" t="s">
        <v>826</v>
      </c>
      <c r="B72" s="141"/>
      <c r="C72" s="141"/>
      <c r="D72" s="142"/>
      <c r="E72" s="984">
        <f>E73+E74+E75</f>
        <v>0</v>
      </c>
      <c r="F72" s="1022"/>
      <c r="G72" s="1023">
        <f>G73+G74+G75</f>
        <v>1990042</v>
      </c>
      <c r="H72" s="1021">
        <f>E72+G72</f>
        <v>1990042</v>
      </c>
    </row>
    <row r="73" spans="1:8" x14ac:dyDescent="0.25">
      <c r="A73" s="148" t="s">
        <v>362</v>
      </c>
      <c r="B73" s="146"/>
      <c r="C73" s="146"/>
      <c r="D73" s="134"/>
      <c r="E73" s="982">
        <v>0</v>
      </c>
      <c r="F73" s="136"/>
      <c r="G73" s="1020">
        <f>'[3]2c. tábla 2018.'!I14+'[3]2c. tábla 2018.'!I26+'[3]2c. tábla 2018.'!I38+'[3]2c. tábla 2018.'!I51+'[3]2c. tábla 2018.'!I60+'[3]2c. tábla 2018.'!I75+'[3]2c. tábla 2018.'!I80+'[3]2c. tábla 2018.'!I85+'[3]2c. tábla 2018.'!I89-G28</f>
        <v>1990042</v>
      </c>
      <c r="H73" s="1013">
        <f>E73+G73</f>
        <v>1990042</v>
      </c>
    </row>
    <row r="74" spans="1:8" x14ac:dyDescent="0.25">
      <c r="A74" s="148" t="s">
        <v>363</v>
      </c>
      <c r="B74" s="146"/>
      <c r="C74" s="146"/>
      <c r="D74" s="134"/>
      <c r="E74" s="982"/>
      <c r="F74" s="136"/>
      <c r="G74" s="1020"/>
      <c r="H74" s="1019"/>
    </row>
    <row r="75" spans="1:8" x14ac:dyDescent="0.25">
      <c r="A75" s="148" t="s">
        <v>608</v>
      </c>
      <c r="B75" s="146"/>
      <c r="C75" s="146"/>
      <c r="D75" s="134"/>
      <c r="E75" s="982"/>
      <c r="F75" s="136"/>
      <c r="G75" s="1020"/>
      <c r="H75" s="1019"/>
    </row>
    <row r="76" spans="1:8" x14ac:dyDescent="0.25">
      <c r="A76" s="148"/>
      <c r="B76" s="146"/>
      <c r="C76" s="146"/>
      <c r="D76" s="134"/>
      <c r="E76" s="982"/>
      <c r="F76" s="136"/>
      <c r="G76" s="1020"/>
      <c r="H76" s="1019"/>
    </row>
    <row r="77" spans="1:8" s="191" customFormat="1" x14ac:dyDescent="0.25">
      <c r="A77" s="389" t="s">
        <v>824</v>
      </c>
      <c r="B77" s="141"/>
      <c r="C77" s="141"/>
      <c r="D77" s="142"/>
      <c r="E77" s="984"/>
      <c r="F77" s="1022"/>
      <c r="G77" s="1023"/>
      <c r="H77" s="1024"/>
    </row>
    <row r="78" spans="1:8" s="191" customFormat="1" x14ac:dyDescent="0.25">
      <c r="A78" s="389"/>
      <c r="B78" s="141"/>
      <c r="C78" s="141"/>
      <c r="D78" s="142"/>
      <c r="E78" s="984"/>
      <c r="F78" s="1022"/>
      <c r="G78" s="1023"/>
      <c r="H78" s="1024"/>
    </row>
    <row r="79" spans="1:8" s="191" customFormat="1" x14ac:dyDescent="0.25">
      <c r="A79" s="389" t="s">
        <v>622</v>
      </c>
      <c r="B79" s="141"/>
      <c r="C79" s="141"/>
      <c r="D79" s="142"/>
      <c r="E79" s="984"/>
      <c r="F79" s="1022"/>
      <c r="G79" s="1023"/>
      <c r="H79" s="1024"/>
    </row>
    <row r="80" spans="1:8" s="191" customFormat="1" x14ac:dyDescent="0.25">
      <c r="A80" s="389"/>
      <c r="B80" s="141"/>
      <c r="C80" s="141"/>
      <c r="D80" s="142"/>
      <c r="E80" s="984"/>
      <c r="F80" s="1022"/>
      <c r="G80" s="1023"/>
      <c r="H80" s="1024"/>
    </row>
    <row r="81" spans="1:8" s="191" customFormat="1" x14ac:dyDescent="0.25">
      <c r="A81" s="389" t="s">
        <v>611</v>
      </c>
      <c r="B81" s="141"/>
      <c r="C81" s="141"/>
      <c r="D81" s="142"/>
      <c r="E81" s="990">
        <f>SUM(E82:E83)</f>
        <v>0</v>
      </c>
      <c r="F81" s="1022"/>
      <c r="G81" s="1023"/>
      <c r="H81" s="1024"/>
    </row>
    <row r="82" spans="1:8" s="191" customFormat="1" x14ac:dyDescent="0.25">
      <c r="A82" s="148"/>
      <c r="B82" s="141"/>
      <c r="C82" s="141"/>
      <c r="D82" s="142"/>
      <c r="E82" s="982"/>
      <c r="F82" s="1022"/>
      <c r="G82" s="1022"/>
      <c r="H82" s="1024"/>
    </row>
    <row r="83" spans="1:8" s="132" customFormat="1" x14ac:dyDescent="0.25">
      <c r="A83" s="148"/>
      <c r="B83" s="146"/>
      <c r="C83" s="146"/>
      <c r="D83" s="134"/>
      <c r="E83" s="982"/>
      <c r="F83" s="136"/>
      <c r="G83" s="136"/>
      <c r="H83" s="1019"/>
    </row>
    <row r="84" spans="1:8" s="132" customFormat="1" x14ac:dyDescent="0.25">
      <c r="A84" s="148"/>
      <c r="B84" s="146"/>
      <c r="C84" s="146"/>
      <c r="D84" s="134"/>
      <c r="E84" s="982"/>
      <c r="F84" s="136"/>
      <c r="G84" s="136"/>
      <c r="H84" s="1019"/>
    </row>
    <row r="85" spans="1:8" s="132" customFormat="1" x14ac:dyDescent="0.25">
      <c r="A85" s="465"/>
      <c r="B85" s="146"/>
      <c r="C85" s="146"/>
      <c r="D85" s="134"/>
      <c r="E85" s="982"/>
      <c r="F85" s="136"/>
      <c r="G85" s="136"/>
      <c r="H85" s="1019"/>
    </row>
    <row r="86" spans="1:8" x14ac:dyDescent="0.25">
      <c r="A86" s="392"/>
      <c r="B86" s="146"/>
      <c r="C86" s="146"/>
      <c r="D86" s="134"/>
      <c r="E86" s="982"/>
      <c r="F86" s="136"/>
      <c r="G86" s="136"/>
      <c r="H86" s="1019"/>
    </row>
    <row r="87" spans="1:8" ht="14.4" thickBot="1" x14ac:dyDescent="0.3">
      <c r="A87" s="393" t="s">
        <v>511</v>
      </c>
      <c r="B87" s="394"/>
      <c r="C87" s="394"/>
      <c r="D87" s="394"/>
      <c r="E87" s="395">
        <f>E67+E42+E30+E5+E81+E72</f>
        <v>913185557</v>
      </c>
      <c r="F87" s="1101"/>
      <c r="G87" s="1102">
        <f>G67+G42+G30+G5+G81+G72</f>
        <v>16985781</v>
      </c>
      <c r="H87" s="1100">
        <f>H67+H42+H30+H5+H81+H72</f>
        <v>930171338</v>
      </c>
    </row>
  </sheetData>
  <mergeCells count="17">
    <mergeCell ref="F3:F4"/>
    <mergeCell ref="H3:H4"/>
    <mergeCell ref="G3:G4"/>
    <mergeCell ref="F40:F41"/>
    <mergeCell ref="G40:G41"/>
    <mergeCell ref="H40:H41"/>
    <mergeCell ref="A1:E1"/>
    <mergeCell ref="E40:E41"/>
    <mergeCell ref="A3:A4"/>
    <mergeCell ref="B3:B4"/>
    <mergeCell ref="C3:C4"/>
    <mergeCell ref="D3:D4"/>
    <mergeCell ref="E3:E4"/>
    <mergeCell ref="A40:A41"/>
    <mergeCell ref="B40:B41"/>
    <mergeCell ref="C40:C41"/>
    <mergeCell ref="D40:D41"/>
  </mergeCells>
  <phoneticPr fontId="27" type="noConversion"/>
  <pageMargins left="0.7" right="0.7" top="0.75" bottom="0.75" header="0.3" footer="0.3"/>
  <pageSetup paperSize="9" scale="67" orientation="landscape" r:id="rId1"/>
  <headerFooter alignWithMargins="0">
    <oddHeader>&amp;C2/b. melléklet 
az önkormányzat 2018. évi költségvetéséről szóló 11/2018. (III.01.) önkormányzati rendelethez&amp;R&amp;P. oldal</oddHeader>
  </headerFooter>
  <rowBreaks count="1" manualBreakCount="1">
    <brk id="39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3"/>
  <sheetViews>
    <sheetView view="pageLayout" zoomScaleNormal="100" zoomScaleSheetLayoutView="148" workbookViewId="0">
      <selection activeCell="N11" sqref="N11"/>
    </sheetView>
  </sheetViews>
  <sheetFormatPr defaultRowHeight="13.8" x14ac:dyDescent="0.25"/>
  <cols>
    <col min="1" max="1" width="9.109375" style="139" customWidth="1"/>
    <col min="2" max="2" width="10.109375" style="139" customWidth="1"/>
    <col min="3" max="3" width="60.6640625" style="139" customWidth="1"/>
    <col min="4" max="4" width="9.109375" style="139" customWidth="1"/>
    <col min="5" max="5" width="10" style="139" customWidth="1"/>
    <col min="6" max="6" width="11.5546875" style="139" customWidth="1"/>
    <col min="7" max="7" width="17.109375" style="229" customWidth="1"/>
    <col min="8" max="8" width="9.109375" style="139" customWidth="1"/>
    <col min="9" max="9" width="12.6640625" style="991" customWidth="1"/>
    <col min="10" max="10" width="16" style="991" customWidth="1"/>
    <col min="11" max="11" width="8.88671875" style="227"/>
    <col min="12" max="12" width="12.33203125" customWidth="1"/>
    <col min="13" max="13" width="10.109375" bestFit="1" customWidth="1"/>
    <col min="14" max="14" width="11.109375" bestFit="1" customWidth="1"/>
  </cols>
  <sheetData>
    <row r="1" spans="1:14" ht="15.6" x14ac:dyDescent="0.3">
      <c r="C1" s="1659" t="s">
        <v>977</v>
      </c>
      <c r="D1" s="1659"/>
      <c r="E1" s="1659"/>
      <c r="F1" s="1659"/>
      <c r="G1" s="1659"/>
      <c r="H1" s="975"/>
    </row>
    <row r="2" spans="1:14" ht="14.4" thickBot="1" x14ac:dyDescent="0.3">
      <c r="A2" s="365"/>
      <c r="B2" s="366"/>
      <c r="C2" s="365"/>
      <c r="D2" s="367"/>
      <c r="E2" s="365"/>
      <c r="F2" s="365"/>
      <c r="G2" s="368"/>
      <c r="H2" s="367"/>
    </row>
    <row r="3" spans="1:14" ht="15" customHeight="1" x14ac:dyDescent="0.25">
      <c r="A3" s="1678" t="s">
        <v>512</v>
      </c>
      <c r="B3" s="1680" t="s">
        <v>513</v>
      </c>
      <c r="C3" s="1682" t="s">
        <v>784</v>
      </c>
      <c r="D3" s="1684" t="s">
        <v>478</v>
      </c>
      <c r="E3" s="1686" t="s">
        <v>479</v>
      </c>
      <c r="F3" s="1674" t="s">
        <v>480</v>
      </c>
      <c r="G3" s="1676" t="s">
        <v>759</v>
      </c>
      <c r="H3" s="1688" t="s">
        <v>478</v>
      </c>
      <c r="I3" s="1672" t="s">
        <v>978</v>
      </c>
      <c r="J3" s="1670" t="s">
        <v>979</v>
      </c>
    </row>
    <row r="4" spans="1:14" ht="15.75" customHeight="1" thickBot="1" x14ac:dyDescent="0.3">
      <c r="A4" s="1679"/>
      <c r="B4" s="1681"/>
      <c r="C4" s="1683"/>
      <c r="D4" s="1685"/>
      <c r="E4" s="1687"/>
      <c r="F4" s="1675"/>
      <c r="G4" s="1677"/>
      <c r="H4" s="1689"/>
      <c r="I4" s="1673"/>
      <c r="J4" s="1671"/>
    </row>
    <row r="5" spans="1:14" x14ac:dyDescent="0.25">
      <c r="A5" s="999">
        <v>2</v>
      </c>
      <c r="B5" s="1119" t="s">
        <v>515</v>
      </c>
      <c r="C5" s="1112" t="s">
        <v>502</v>
      </c>
      <c r="D5" s="149">
        <v>13.7</v>
      </c>
      <c r="E5" s="149">
        <v>17.2</v>
      </c>
      <c r="F5" s="134">
        <v>4419000</v>
      </c>
      <c r="G5" s="1073">
        <v>40360200</v>
      </c>
      <c r="H5" s="1080">
        <v>13.8</v>
      </c>
      <c r="I5" s="992">
        <v>294600</v>
      </c>
      <c r="J5" s="993">
        <f t="shared" ref="J5:J16" si="0">G5+I5</f>
        <v>40654800</v>
      </c>
      <c r="L5" s="228">
        <f t="shared" ref="L5:L11" si="1">G5+G18+G30+G42</f>
        <v>102815400</v>
      </c>
    </row>
    <row r="6" spans="1:14" x14ac:dyDescent="0.25">
      <c r="A6" s="490">
        <v>2</v>
      </c>
      <c r="B6" s="1120" t="s">
        <v>515</v>
      </c>
      <c r="C6" s="1112" t="s">
        <v>503</v>
      </c>
      <c r="D6" s="149">
        <v>10</v>
      </c>
      <c r="E6" s="149">
        <v>14</v>
      </c>
      <c r="F6" s="134">
        <v>2205000</v>
      </c>
      <c r="G6" s="983">
        <v>14700000</v>
      </c>
      <c r="H6" s="1080">
        <v>10</v>
      </c>
      <c r="I6" s="994"/>
      <c r="J6" s="995">
        <f t="shared" si="0"/>
        <v>14700000</v>
      </c>
      <c r="L6" s="228">
        <f t="shared" si="1"/>
        <v>38220000</v>
      </c>
    </row>
    <row r="7" spans="1:14" x14ac:dyDescent="0.25">
      <c r="A7" s="492">
        <v>2</v>
      </c>
      <c r="B7" s="1121" t="s">
        <v>515</v>
      </c>
      <c r="C7" s="1113" t="s">
        <v>504</v>
      </c>
      <c r="D7" s="996">
        <v>13.7</v>
      </c>
      <c r="E7" s="996">
        <v>16.899999999999999</v>
      </c>
      <c r="F7" s="997">
        <v>4419000</v>
      </c>
      <c r="G7" s="1074">
        <v>20180100</v>
      </c>
      <c r="H7" s="1081">
        <v>13.8</v>
      </c>
      <c r="I7" s="998">
        <v>147300</v>
      </c>
      <c r="J7" s="995">
        <f t="shared" si="0"/>
        <v>20327400</v>
      </c>
      <c r="L7" s="228">
        <f t="shared" si="1"/>
        <v>50818500</v>
      </c>
    </row>
    <row r="8" spans="1:14" x14ac:dyDescent="0.25">
      <c r="A8" s="490">
        <v>2</v>
      </c>
      <c r="B8" s="1120" t="s">
        <v>515</v>
      </c>
      <c r="C8" s="1112" t="s">
        <v>506</v>
      </c>
      <c r="D8" s="149">
        <v>10</v>
      </c>
      <c r="E8" s="149">
        <f>D8/3</f>
        <v>3.3333333333333335</v>
      </c>
      <c r="F8" s="134">
        <v>2205000</v>
      </c>
      <c r="G8" s="983">
        <v>7350000</v>
      </c>
      <c r="H8" s="1080">
        <v>10</v>
      </c>
      <c r="I8" s="994"/>
      <c r="J8" s="995">
        <f t="shared" si="0"/>
        <v>7350000</v>
      </c>
      <c r="L8" s="228">
        <f t="shared" si="1"/>
        <v>19110000</v>
      </c>
    </row>
    <row r="9" spans="1:14" x14ac:dyDescent="0.25">
      <c r="A9" s="999">
        <v>2</v>
      </c>
      <c r="B9" s="1119" t="s">
        <v>516</v>
      </c>
      <c r="C9" s="1114" t="s">
        <v>517</v>
      </c>
      <c r="D9" s="1001">
        <v>154</v>
      </c>
      <c r="E9" s="1002">
        <f>G9/F9</f>
        <v>102.66667074663403</v>
      </c>
      <c r="F9" s="1003">
        <v>81700</v>
      </c>
      <c r="G9" s="1075">
        <v>8387867</v>
      </c>
      <c r="H9" s="1082">
        <v>154</v>
      </c>
      <c r="I9" s="1004"/>
      <c r="J9" s="995">
        <f t="shared" si="0"/>
        <v>8387867</v>
      </c>
      <c r="L9" s="228">
        <f t="shared" si="1"/>
        <v>20588400</v>
      </c>
    </row>
    <row r="10" spans="1:14" x14ac:dyDescent="0.25">
      <c r="A10" s="490">
        <v>2</v>
      </c>
      <c r="B10" s="1120" t="s">
        <v>516</v>
      </c>
      <c r="C10" s="1112" t="s">
        <v>518</v>
      </c>
      <c r="D10" s="149">
        <v>154</v>
      </c>
      <c r="E10" s="157">
        <f>G10/F10</f>
        <v>51.333329253365974</v>
      </c>
      <c r="F10" s="146">
        <v>81700</v>
      </c>
      <c r="G10" s="983">
        <v>4193933</v>
      </c>
      <c r="H10" s="1080">
        <v>154</v>
      </c>
      <c r="I10" s="994"/>
      <c r="J10" s="995">
        <f t="shared" si="0"/>
        <v>4193933</v>
      </c>
      <c r="L10" s="228">
        <f t="shared" si="1"/>
        <v>10212500</v>
      </c>
    </row>
    <row r="11" spans="1:14" x14ac:dyDescent="0.25">
      <c r="A11" s="490">
        <v>2</v>
      </c>
      <c r="B11" s="1120" t="s">
        <v>66</v>
      </c>
      <c r="C11" s="1014" t="s">
        <v>793</v>
      </c>
      <c r="D11" s="149"/>
      <c r="E11" s="144">
        <v>5</v>
      </c>
      <c r="F11" s="146">
        <v>401000</v>
      </c>
      <c r="G11" s="983">
        <f>E11*F11</f>
        <v>2005000</v>
      </c>
      <c r="H11" s="1080"/>
      <c r="I11" s="994"/>
      <c r="J11" s="995">
        <f t="shared" si="0"/>
        <v>2005000</v>
      </c>
      <c r="L11" s="228">
        <f t="shared" si="1"/>
        <v>6015000</v>
      </c>
      <c r="N11" s="228"/>
    </row>
    <row r="12" spans="1:14" x14ac:dyDescent="0.25">
      <c r="A12" s="490">
        <v>2</v>
      </c>
      <c r="B12" s="1120" t="s">
        <v>119</v>
      </c>
      <c r="C12" s="1014" t="s">
        <v>793</v>
      </c>
      <c r="D12" s="149"/>
      <c r="E12" s="144">
        <v>1</v>
      </c>
      <c r="F12" s="146">
        <v>367584</v>
      </c>
      <c r="G12" s="983">
        <v>367584</v>
      </c>
      <c r="H12" s="1080"/>
      <c r="I12" s="994"/>
      <c r="J12" s="995">
        <f t="shared" si="0"/>
        <v>367584</v>
      </c>
      <c r="L12" s="228"/>
      <c r="N12" s="228"/>
    </row>
    <row r="13" spans="1:14" x14ac:dyDescent="0.25">
      <c r="A13" s="490">
        <v>2</v>
      </c>
      <c r="B13" s="1120" t="s">
        <v>519</v>
      </c>
      <c r="C13" s="1112" t="s">
        <v>520</v>
      </c>
      <c r="D13" s="155"/>
      <c r="E13" s="144">
        <f>G13/F13</f>
        <v>3.4322028186274509</v>
      </c>
      <c r="F13" s="146">
        <v>1632000</v>
      </c>
      <c r="G13" s="983">
        <v>5601355</v>
      </c>
      <c r="H13" s="1083"/>
      <c r="I13" s="994"/>
      <c r="J13" s="995">
        <f t="shared" si="0"/>
        <v>5601355</v>
      </c>
      <c r="L13" s="228">
        <f>G13+G25+G37+G50+G59+G105</f>
        <v>48146000</v>
      </c>
    </row>
    <row r="14" spans="1:14" x14ac:dyDescent="0.25">
      <c r="A14" s="490">
        <v>2</v>
      </c>
      <c r="B14" s="1120" t="s">
        <v>521</v>
      </c>
      <c r="C14" s="1112" t="s">
        <v>522</v>
      </c>
      <c r="D14" s="149"/>
      <c r="E14" s="144"/>
      <c r="F14" s="146"/>
      <c r="G14" s="983">
        <v>6256495</v>
      </c>
      <c r="H14" s="1080"/>
      <c r="I14" s="994"/>
      <c r="J14" s="995">
        <f t="shared" si="0"/>
        <v>6256495</v>
      </c>
      <c r="L14" s="228">
        <f>G14+G26+G38+G51+G60+G106</f>
        <v>30205647</v>
      </c>
    </row>
    <row r="15" spans="1:14" x14ac:dyDescent="0.25">
      <c r="A15" s="490"/>
      <c r="B15" s="1120"/>
      <c r="C15" s="1112" t="s">
        <v>821</v>
      </c>
      <c r="D15" s="149"/>
      <c r="E15" s="144"/>
      <c r="F15" s="146"/>
      <c r="G15" s="983"/>
      <c r="H15" s="1080"/>
      <c r="I15" s="994">
        <v>15372</v>
      </c>
      <c r="J15" s="995">
        <f t="shared" si="0"/>
        <v>15372</v>
      </c>
    </row>
    <row r="16" spans="1:14" x14ac:dyDescent="0.25">
      <c r="A16" s="491"/>
      <c r="B16" s="1122"/>
      <c r="C16" s="1115" t="s">
        <v>136</v>
      </c>
      <c r="D16" s="155"/>
      <c r="E16" s="141"/>
      <c r="F16" s="141"/>
      <c r="G16" s="1010">
        <f>SUM(G5:G15)</f>
        <v>109402534</v>
      </c>
      <c r="H16" s="1083"/>
      <c r="I16" s="1025">
        <f>SUM(I5:I15)</f>
        <v>457272</v>
      </c>
      <c r="J16" s="1011">
        <f t="shared" si="0"/>
        <v>109859806</v>
      </c>
    </row>
    <row r="17" spans="1:13" x14ac:dyDescent="0.25">
      <c r="A17" s="490"/>
      <c r="B17" s="1120"/>
      <c r="C17" s="1116"/>
      <c r="D17" s="149"/>
      <c r="E17" s="137"/>
      <c r="F17" s="146"/>
      <c r="G17" s="983"/>
      <c r="H17" s="1080"/>
      <c r="I17" s="994"/>
      <c r="J17" s="995"/>
      <c r="M17" s="228">
        <f>G15+G27+G39+G52+G61+G86+G81+G90+G76</f>
        <v>0</v>
      </c>
    </row>
    <row r="18" spans="1:13" x14ac:dyDescent="0.25">
      <c r="A18" s="490">
        <v>2</v>
      </c>
      <c r="B18" s="1120" t="s">
        <v>515</v>
      </c>
      <c r="C18" s="1112" t="s">
        <v>502</v>
      </c>
      <c r="D18" s="149">
        <v>11</v>
      </c>
      <c r="E18" s="144">
        <v>10.1</v>
      </c>
      <c r="F18" s="134">
        <v>4419000</v>
      </c>
      <c r="G18" s="983">
        <v>32406000</v>
      </c>
      <c r="H18" s="1080">
        <v>10.9</v>
      </c>
      <c r="I18" s="994">
        <v>-294600</v>
      </c>
      <c r="J18" s="995">
        <f>I18+G18</f>
        <v>32111400</v>
      </c>
      <c r="L18" s="228">
        <f>J15+J27+J39+J52+J61+J76+J81+J86+J90</f>
        <v>2522572</v>
      </c>
    </row>
    <row r="19" spans="1:13" x14ac:dyDescent="0.25">
      <c r="A19" s="490">
        <v>2</v>
      </c>
      <c r="B19" s="1120" t="s">
        <v>515</v>
      </c>
      <c r="C19" s="1112" t="s">
        <v>503</v>
      </c>
      <c r="D19" s="149">
        <v>9</v>
      </c>
      <c r="E19" s="144">
        <f>G19/F19</f>
        <v>6</v>
      </c>
      <c r="F19" s="134">
        <v>2205000</v>
      </c>
      <c r="G19" s="983">
        <v>13230000</v>
      </c>
      <c r="H19" s="1080">
        <v>9</v>
      </c>
      <c r="I19" s="994"/>
      <c r="J19" s="995">
        <f>I19+G19</f>
        <v>13230000</v>
      </c>
    </row>
    <row r="20" spans="1:13" x14ac:dyDescent="0.25">
      <c r="A20" s="490">
        <v>2</v>
      </c>
      <c r="B20" s="1120" t="s">
        <v>515</v>
      </c>
      <c r="C20" s="1112" t="s">
        <v>504</v>
      </c>
      <c r="D20" s="149">
        <v>11.2</v>
      </c>
      <c r="E20" s="144">
        <v>10.1</v>
      </c>
      <c r="F20" s="134">
        <v>4419000</v>
      </c>
      <c r="G20" s="983">
        <v>16497600</v>
      </c>
      <c r="H20" s="1080">
        <v>11</v>
      </c>
      <c r="I20" s="994">
        <v>-294600</v>
      </c>
      <c r="J20" s="995">
        <f>I20+G20</f>
        <v>16203000</v>
      </c>
    </row>
    <row r="21" spans="1:13" x14ac:dyDescent="0.25">
      <c r="A21" s="490">
        <v>2</v>
      </c>
      <c r="B21" s="1120" t="s">
        <v>515</v>
      </c>
      <c r="C21" s="1112" t="s">
        <v>506</v>
      </c>
      <c r="D21" s="158">
        <v>9</v>
      </c>
      <c r="E21" s="144">
        <f>G21/F21</f>
        <v>3</v>
      </c>
      <c r="F21" s="134">
        <v>2205000</v>
      </c>
      <c r="G21" s="983">
        <v>6615000</v>
      </c>
      <c r="H21" s="1084">
        <v>9</v>
      </c>
      <c r="I21" s="994"/>
      <c r="J21" s="995">
        <f>I21+G21</f>
        <v>6615000</v>
      </c>
    </row>
    <row r="22" spans="1:13" x14ac:dyDescent="0.25">
      <c r="A22" s="490">
        <v>2</v>
      </c>
      <c r="B22" s="1120" t="s">
        <v>516</v>
      </c>
      <c r="C22" s="1112" t="s">
        <v>442</v>
      </c>
      <c r="D22" s="149">
        <v>117</v>
      </c>
      <c r="E22" s="144">
        <f>G22/F22</f>
        <v>78</v>
      </c>
      <c r="F22" s="146">
        <v>81700</v>
      </c>
      <c r="G22" s="983">
        <v>6372600</v>
      </c>
      <c r="H22" s="1080">
        <v>118</v>
      </c>
      <c r="I22" s="994">
        <v>54467</v>
      </c>
      <c r="J22" s="995">
        <f t="shared" ref="J22:J28" si="2">G22+I22</f>
        <v>6427067</v>
      </c>
    </row>
    <row r="23" spans="1:13" x14ac:dyDescent="0.25">
      <c r="A23" s="490">
        <v>2</v>
      </c>
      <c r="B23" s="1120" t="s">
        <v>516</v>
      </c>
      <c r="C23" s="1112" t="s">
        <v>443</v>
      </c>
      <c r="D23" s="149">
        <v>120</v>
      </c>
      <c r="E23" s="144">
        <f>G23/F23</f>
        <v>40</v>
      </c>
      <c r="F23" s="146">
        <v>81700</v>
      </c>
      <c r="G23" s="983">
        <v>3268000</v>
      </c>
      <c r="H23" s="1080">
        <v>120</v>
      </c>
      <c r="I23" s="994"/>
      <c r="J23" s="995">
        <f t="shared" si="2"/>
        <v>3268000</v>
      </c>
    </row>
    <row r="24" spans="1:13" x14ac:dyDescent="0.25">
      <c r="A24" s="490">
        <v>2</v>
      </c>
      <c r="B24" s="1120" t="s">
        <v>66</v>
      </c>
      <c r="C24" s="1014" t="s">
        <v>793</v>
      </c>
      <c r="D24" s="149"/>
      <c r="E24" s="144">
        <v>5</v>
      </c>
      <c r="F24" s="146">
        <v>401000</v>
      </c>
      <c r="G24" s="983">
        <f>E24*F24</f>
        <v>2005000</v>
      </c>
      <c r="H24" s="1080"/>
      <c r="I24" s="994"/>
      <c r="J24" s="995">
        <f t="shared" si="2"/>
        <v>2005000</v>
      </c>
    </row>
    <row r="25" spans="1:13" x14ac:dyDescent="0.25">
      <c r="A25" s="490">
        <v>2</v>
      </c>
      <c r="B25" s="1120" t="s">
        <v>519</v>
      </c>
      <c r="C25" s="1112" t="s">
        <v>520</v>
      </c>
      <c r="D25" s="149"/>
      <c r="E25" s="144">
        <f>G25/F25</f>
        <v>2.7510024509803923</v>
      </c>
      <c r="F25" s="146">
        <v>1632000</v>
      </c>
      <c r="G25" s="983">
        <v>4489636</v>
      </c>
      <c r="H25" s="1080"/>
      <c r="I25" s="994"/>
      <c r="J25" s="995">
        <f t="shared" si="2"/>
        <v>4489636</v>
      </c>
    </row>
    <row r="26" spans="1:13" x14ac:dyDescent="0.25">
      <c r="A26" s="490">
        <v>2</v>
      </c>
      <c r="B26" s="1120" t="s">
        <v>521</v>
      </c>
      <c r="C26" s="1112" t="s">
        <v>522</v>
      </c>
      <c r="D26" s="149"/>
      <c r="E26" s="144"/>
      <c r="F26" s="146"/>
      <c r="G26" s="983">
        <v>5920495</v>
      </c>
      <c r="H26" s="1080"/>
      <c r="I26" s="994"/>
      <c r="J26" s="995">
        <f t="shared" si="2"/>
        <v>5920495</v>
      </c>
    </row>
    <row r="27" spans="1:13" x14ac:dyDescent="0.25">
      <c r="A27" s="490"/>
      <c r="B27" s="1120"/>
      <c r="C27" s="1112" t="s">
        <v>821</v>
      </c>
      <c r="D27" s="149"/>
      <c r="E27" s="144"/>
      <c r="F27" s="146"/>
      <c r="G27" s="983"/>
      <c r="H27" s="1080"/>
      <c r="I27" s="994">
        <f>14152+12189+12189+12189+12189+12189</f>
        <v>75097</v>
      </c>
      <c r="J27" s="995">
        <f t="shared" si="2"/>
        <v>75097</v>
      </c>
    </row>
    <row r="28" spans="1:13" x14ac:dyDescent="0.25">
      <c r="A28" s="490"/>
      <c r="B28" s="1122"/>
      <c r="C28" s="1115" t="s">
        <v>135</v>
      </c>
      <c r="D28" s="155"/>
      <c r="E28" s="143"/>
      <c r="F28" s="141"/>
      <c r="G28" s="1010">
        <f>SUM(G18:G27)</f>
        <v>90804331</v>
      </c>
      <c r="H28" s="1083"/>
      <c r="I28" s="1025">
        <f>SUM(I18:I27)</f>
        <v>-459636</v>
      </c>
      <c r="J28" s="1011">
        <f t="shared" si="2"/>
        <v>90344695</v>
      </c>
    </row>
    <row r="29" spans="1:13" x14ac:dyDescent="0.25">
      <c r="A29" s="490"/>
      <c r="B29" s="1120"/>
      <c r="C29" s="1116"/>
      <c r="D29" s="149"/>
      <c r="E29" s="137"/>
      <c r="F29" s="146"/>
      <c r="G29" s="983"/>
      <c r="H29" s="1080"/>
      <c r="I29" s="994"/>
      <c r="J29" s="995"/>
    </row>
    <row r="30" spans="1:13" x14ac:dyDescent="0.25">
      <c r="A30" s="490">
        <v>2</v>
      </c>
      <c r="B30" s="1120" t="s">
        <v>515</v>
      </c>
      <c r="C30" s="1112" t="s">
        <v>502</v>
      </c>
      <c r="D30" s="149">
        <v>6.9</v>
      </c>
      <c r="E30" s="149">
        <v>6.8</v>
      </c>
      <c r="F30" s="134">
        <v>4419000</v>
      </c>
      <c r="G30" s="983">
        <v>20327400</v>
      </c>
      <c r="H30" s="1080">
        <v>7</v>
      </c>
      <c r="I30" s="994">
        <v>294600</v>
      </c>
      <c r="J30" s="995">
        <f t="shared" ref="J30:J40" si="3">G30+I30</f>
        <v>20622000</v>
      </c>
      <c r="K30" s="1160">
        <f>I30+I18+I20+I22+I5+I7</f>
        <v>201767</v>
      </c>
    </row>
    <row r="31" spans="1:13" x14ac:dyDescent="0.25">
      <c r="A31" s="490">
        <v>2</v>
      </c>
      <c r="B31" s="1120" t="s">
        <v>515</v>
      </c>
      <c r="C31" s="1112" t="s">
        <v>503</v>
      </c>
      <c r="D31" s="158">
        <v>5</v>
      </c>
      <c r="E31" s="149">
        <f>G31/F31</f>
        <v>3.3333333333333335</v>
      </c>
      <c r="F31" s="134">
        <v>2205000</v>
      </c>
      <c r="G31" s="983">
        <v>7350000</v>
      </c>
      <c r="H31" s="1084">
        <v>5</v>
      </c>
      <c r="I31" s="994"/>
      <c r="J31" s="995">
        <f t="shared" si="3"/>
        <v>7350000</v>
      </c>
    </row>
    <row r="32" spans="1:13" x14ac:dyDescent="0.25">
      <c r="A32" s="490">
        <v>2</v>
      </c>
      <c r="B32" s="1120" t="s">
        <v>515</v>
      </c>
      <c r="C32" s="1112" t="s">
        <v>504</v>
      </c>
      <c r="D32" s="158">
        <v>6.3</v>
      </c>
      <c r="E32" s="158">
        <v>6.2</v>
      </c>
      <c r="F32" s="134">
        <v>4419000</v>
      </c>
      <c r="G32" s="983">
        <v>9279900</v>
      </c>
      <c r="H32" s="1084">
        <v>6.3</v>
      </c>
      <c r="I32" s="994"/>
      <c r="J32" s="995">
        <f t="shared" si="3"/>
        <v>9279900</v>
      </c>
    </row>
    <row r="33" spans="1:10" x14ac:dyDescent="0.25">
      <c r="A33" s="490">
        <v>2</v>
      </c>
      <c r="B33" s="1120" t="s">
        <v>515</v>
      </c>
      <c r="C33" s="1112" t="s">
        <v>506</v>
      </c>
      <c r="D33" s="158">
        <v>5</v>
      </c>
      <c r="E33" s="149">
        <f>G33/F33</f>
        <v>1.6666666666666667</v>
      </c>
      <c r="F33" s="134">
        <v>2205000</v>
      </c>
      <c r="G33" s="983">
        <v>3675000</v>
      </c>
      <c r="H33" s="1084">
        <v>5</v>
      </c>
      <c r="I33" s="994"/>
      <c r="J33" s="995">
        <f t="shared" si="3"/>
        <v>3675000</v>
      </c>
    </row>
    <row r="34" spans="1:10" x14ac:dyDescent="0.25">
      <c r="A34" s="490">
        <v>2</v>
      </c>
      <c r="B34" s="1120" t="s">
        <v>516</v>
      </c>
      <c r="C34" s="1112" t="s">
        <v>442</v>
      </c>
      <c r="D34" s="158">
        <v>73</v>
      </c>
      <c r="E34" s="149">
        <f>G34/F34</f>
        <v>48.666658506731949</v>
      </c>
      <c r="F34" s="146">
        <v>81700</v>
      </c>
      <c r="G34" s="983">
        <v>3976066</v>
      </c>
      <c r="H34" s="1084">
        <v>73</v>
      </c>
      <c r="I34" s="994"/>
      <c r="J34" s="995">
        <f t="shared" si="3"/>
        <v>3976066</v>
      </c>
    </row>
    <row r="35" spans="1:10" x14ac:dyDescent="0.25">
      <c r="A35" s="490">
        <v>2</v>
      </c>
      <c r="B35" s="1120" t="s">
        <v>516</v>
      </c>
      <c r="C35" s="1112" t="s">
        <v>443</v>
      </c>
      <c r="D35" s="158">
        <v>66</v>
      </c>
      <c r="E35" s="149">
        <f>G35/F35</f>
        <v>22</v>
      </c>
      <c r="F35" s="146">
        <v>81700</v>
      </c>
      <c r="G35" s="983">
        <v>1797400</v>
      </c>
      <c r="H35" s="1084">
        <v>66</v>
      </c>
      <c r="I35" s="994"/>
      <c r="J35" s="995">
        <f t="shared" si="3"/>
        <v>1797400</v>
      </c>
    </row>
    <row r="36" spans="1:10" x14ac:dyDescent="0.25">
      <c r="A36" s="490">
        <v>2</v>
      </c>
      <c r="B36" s="1120" t="s">
        <v>66</v>
      </c>
      <c r="C36" s="1014" t="s">
        <v>793</v>
      </c>
      <c r="D36" s="158"/>
      <c r="E36" s="149">
        <v>4</v>
      </c>
      <c r="F36" s="146">
        <v>401000</v>
      </c>
      <c r="G36" s="983">
        <f>E36*F36</f>
        <v>1604000</v>
      </c>
      <c r="H36" s="1084"/>
      <c r="I36" s="994"/>
      <c r="J36" s="995">
        <f t="shared" si="3"/>
        <v>1604000</v>
      </c>
    </row>
    <row r="37" spans="1:10" x14ac:dyDescent="0.25">
      <c r="A37" s="490">
        <v>2</v>
      </c>
      <c r="B37" s="1120" t="s">
        <v>519</v>
      </c>
      <c r="C37" s="1112" t="s">
        <v>520</v>
      </c>
      <c r="D37" s="158"/>
      <c r="E37" s="149">
        <f>G37/F37</f>
        <v>1.6768014705882353</v>
      </c>
      <c r="F37" s="146">
        <v>1632000</v>
      </c>
      <c r="G37" s="983">
        <v>2736540</v>
      </c>
      <c r="H37" s="1084"/>
      <c r="I37" s="994"/>
      <c r="J37" s="995">
        <f t="shared" si="3"/>
        <v>2736540</v>
      </c>
    </row>
    <row r="38" spans="1:10" x14ac:dyDescent="0.25">
      <c r="A38" s="490">
        <v>2</v>
      </c>
      <c r="B38" s="1120" t="s">
        <v>521</v>
      </c>
      <c r="C38" s="1112" t="s">
        <v>522</v>
      </c>
      <c r="D38" s="158"/>
      <c r="E38" s="149"/>
      <c r="F38" s="146"/>
      <c r="G38" s="983">
        <v>3106356</v>
      </c>
      <c r="H38" s="1084"/>
      <c r="I38" s="994"/>
      <c r="J38" s="995">
        <f t="shared" si="3"/>
        <v>3106356</v>
      </c>
    </row>
    <row r="39" spans="1:10" x14ac:dyDescent="0.25">
      <c r="A39" s="490"/>
      <c r="B39" s="1120"/>
      <c r="C39" s="1112" t="s">
        <v>821</v>
      </c>
      <c r="D39" s="158"/>
      <c r="E39" s="149"/>
      <c r="F39" s="146"/>
      <c r="G39" s="983"/>
      <c r="H39" s="1084"/>
      <c r="I39" s="994">
        <f>40271+2</f>
        <v>40273</v>
      </c>
      <c r="J39" s="995">
        <f t="shared" si="3"/>
        <v>40273</v>
      </c>
    </row>
    <row r="40" spans="1:10" x14ac:dyDescent="0.25">
      <c r="A40" s="491"/>
      <c r="B40" s="1122"/>
      <c r="C40" s="1115" t="s">
        <v>134</v>
      </c>
      <c r="D40" s="155"/>
      <c r="E40" s="138"/>
      <c r="F40" s="141"/>
      <c r="G40" s="1010">
        <f>SUM(G30:G39)</f>
        <v>53852662</v>
      </c>
      <c r="H40" s="1083"/>
      <c r="I40" s="1025">
        <f>SUM(I30:I39)</f>
        <v>334873</v>
      </c>
      <c r="J40" s="1011">
        <f t="shared" si="3"/>
        <v>54187535</v>
      </c>
    </row>
    <row r="41" spans="1:10" x14ac:dyDescent="0.25">
      <c r="A41" s="490"/>
      <c r="B41" s="1120"/>
      <c r="C41" s="1112"/>
      <c r="D41" s="149"/>
      <c r="E41" s="137"/>
      <c r="F41" s="146"/>
      <c r="G41" s="983"/>
      <c r="H41" s="1080"/>
      <c r="I41" s="994"/>
      <c r="J41" s="995"/>
    </row>
    <row r="42" spans="1:10" x14ac:dyDescent="0.25">
      <c r="A42" s="490">
        <v>2</v>
      </c>
      <c r="B42" s="1120" t="s">
        <v>515</v>
      </c>
      <c r="C42" s="1112" t="s">
        <v>502</v>
      </c>
      <c r="D42" s="158">
        <v>3.3</v>
      </c>
      <c r="E42" s="149">
        <v>3.9</v>
      </c>
      <c r="F42" s="134">
        <v>4419000</v>
      </c>
      <c r="G42" s="983">
        <v>9721800</v>
      </c>
      <c r="H42" s="1084">
        <v>3.3</v>
      </c>
      <c r="I42" s="994"/>
      <c r="J42" s="995">
        <f t="shared" ref="J42:J53" si="4">G42+I42</f>
        <v>9721800</v>
      </c>
    </row>
    <row r="43" spans="1:10" x14ac:dyDescent="0.25">
      <c r="A43" s="490">
        <v>2</v>
      </c>
      <c r="B43" s="1120" t="s">
        <v>515</v>
      </c>
      <c r="C43" s="1112" t="s">
        <v>503</v>
      </c>
      <c r="D43" s="158">
        <v>2</v>
      </c>
      <c r="E43" s="149">
        <f>G43/F43</f>
        <v>1.3333333333333333</v>
      </c>
      <c r="F43" s="134">
        <v>2205000</v>
      </c>
      <c r="G43" s="983">
        <v>2940000</v>
      </c>
      <c r="H43" s="1084">
        <v>2</v>
      </c>
      <c r="I43" s="994"/>
      <c r="J43" s="995">
        <f t="shared" si="4"/>
        <v>2940000</v>
      </c>
    </row>
    <row r="44" spans="1:10" x14ac:dyDescent="0.25">
      <c r="A44" s="490">
        <v>2</v>
      </c>
      <c r="B44" s="1120" t="s">
        <v>515</v>
      </c>
      <c r="C44" s="1112" t="s">
        <v>504</v>
      </c>
      <c r="D44" s="158">
        <v>3.3</v>
      </c>
      <c r="E44" s="158">
        <v>3.2</v>
      </c>
      <c r="F44" s="134">
        <v>4419000</v>
      </c>
      <c r="G44" s="983">
        <v>4860900</v>
      </c>
      <c r="H44" s="1084">
        <v>3.3</v>
      </c>
      <c r="I44" s="994"/>
      <c r="J44" s="995">
        <f t="shared" si="4"/>
        <v>4860900</v>
      </c>
    </row>
    <row r="45" spans="1:10" x14ac:dyDescent="0.25">
      <c r="A45" s="490">
        <v>2</v>
      </c>
      <c r="B45" s="1120" t="s">
        <v>515</v>
      </c>
      <c r="C45" s="1112" t="s">
        <v>506</v>
      </c>
      <c r="D45" s="149">
        <v>2</v>
      </c>
      <c r="E45" s="149">
        <f>G45/F45</f>
        <v>0.66666666666666663</v>
      </c>
      <c r="F45" s="134">
        <v>2205000</v>
      </c>
      <c r="G45" s="983">
        <v>1470000</v>
      </c>
      <c r="H45" s="1080">
        <v>2</v>
      </c>
      <c r="I45" s="994"/>
      <c r="J45" s="995">
        <f t="shared" si="4"/>
        <v>1470000</v>
      </c>
    </row>
    <row r="46" spans="1:10" x14ac:dyDescent="0.25">
      <c r="A46" s="490">
        <v>2</v>
      </c>
      <c r="B46" s="1120" t="s">
        <v>516</v>
      </c>
      <c r="C46" s="1112" t="s">
        <v>442</v>
      </c>
      <c r="D46" s="149">
        <v>34</v>
      </c>
      <c r="E46" s="149">
        <f>G46/F46</f>
        <v>22.666670746634026</v>
      </c>
      <c r="F46" s="146">
        <v>81700</v>
      </c>
      <c r="G46" s="983">
        <v>1851867</v>
      </c>
      <c r="H46" s="1080">
        <v>34</v>
      </c>
      <c r="I46" s="994"/>
      <c r="J46" s="995">
        <f t="shared" si="4"/>
        <v>1851867</v>
      </c>
    </row>
    <row r="47" spans="1:10" x14ac:dyDescent="0.25">
      <c r="A47" s="490">
        <v>2</v>
      </c>
      <c r="B47" s="1120" t="s">
        <v>516</v>
      </c>
      <c r="C47" s="1112" t="s">
        <v>443</v>
      </c>
      <c r="D47" s="149">
        <v>35</v>
      </c>
      <c r="E47" s="149">
        <f>G47/F47</f>
        <v>11.666670746634027</v>
      </c>
      <c r="F47" s="146">
        <v>81700</v>
      </c>
      <c r="G47" s="983">
        <v>953167</v>
      </c>
      <c r="H47" s="1080">
        <v>35</v>
      </c>
      <c r="I47" s="994"/>
      <c r="J47" s="995">
        <f t="shared" si="4"/>
        <v>953167</v>
      </c>
    </row>
    <row r="48" spans="1:10" ht="27.6" x14ac:dyDescent="0.25">
      <c r="A48" s="490">
        <v>2</v>
      </c>
      <c r="B48" s="1120" t="s">
        <v>66</v>
      </c>
      <c r="C48" s="1117" t="s">
        <v>364</v>
      </c>
      <c r="D48" s="149"/>
      <c r="E48" s="149">
        <v>1</v>
      </c>
      <c r="F48" s="146">
        <v>401000</v>
      </c>
      <c r="G48" s="983">
        <f>E48*F48</f>
        <v>401000</v>
      </c>
      <c r="H48" s="1080"/>
      <c r="I48" s="994">
        <v>-401000</v>
      </c>
      <c r="J48" s="995">
        <f t="shared" si="4"/>
        <v>0</v>
      </c>
    </row>
    <row r="49" spans="1:11" ht="27.6" x14ac:dyDescent="0.25">
      <c r="A49" s="490">
        <v>2</v>
      </c>
      <c r="B49" s="1120" t="s">
        <v>365</v>
      </c>
      <c r="C49" s="1117" t="s">
        <v>364</v>
      </c>
      <c r="D49" s="149"/>
      <c r="E49" s="149"/>
      <c r="F49" s="146"/>
      <c r="G49" s="983"/>
      <c r="H49" s="1080">
        <v>1</v>
      </c>
      <c r="I49" s="994">
        <v>367584</v>
      </c>
      <c r="J49" s="995">
        <f t="shared" si="4"/>
        <v>367584</v>
      </c>
      <c r="K49" s="1160">
        <f>I49+I48+I30+I22+I20+I18+I7+I5</f>
        <v>168351</v>
      </c>
    </row>
    <row r="50" spans="1:11" x14ac:dyDescent="0.25">
      <c r="A50" s="490">
        <v>2</v>
      </c>
      <c r="B50" s="1120" t="s">
        <v>519</v>
      </c>
      <c r="C50" s="1112" t="s">
        <v>520</v>
      </c>
      <c r="D50" s="149"/>
      <c r="E50" s="149">
        <f>G50/F50</f>
        <v>0.86460110294117642</v>
      </c>
      <c r="F50" s="146">
        <v>1632000</v>
      </c>
      <c r="G50" s="983">
        <v>1411029</v>
      </c>
      <c r="H50" s="1080"/>
      <c r="I50" s="994"/>
      <c r="J50" s="995">
        <f t="shared" si="4"/>
        <v>1411029</v>
      </c>
    </row>
    <row r="51" spans="1:11" x14ac:dyDescent="0.25">
      <c r="A51" s="490">
        <v>2</v>
      </c>
      <c r="B51" s="1120" t="s">
        <v>521</v>
      </c>
      <c r="C51" s="1112" t="s">
        <v>522</v>
      </c>
      <c r="D51" s="149"/>
      <c r="E51" s="149"/>
      <c r="F51" s="146"/>
      <c r="G51" s="983">
        <v>1871899</v>
      </c>
      <c r="H51" s="1080"/>
      <c r="I51" s="994"/>
      <c r="J51" s="995">
        <f t="shared" si="4"/>
        <v>1871899</v>
      </c>
    </row>
    <row r="52" spans="1:11" x14ac:dyDescent="0.25">
      <c r="A52" s="490"/>
      <c r="B52" s="1120"/>
      <c r="C52" s="1112" t="s">
        <v>821</v>
      </c>
      <c r="D52" s="149"/>
      <c r="E52" s="149"/>
      <c r="F52" s="146"/>
      <c r="G52" s="983"/>
      <c r="H52" s="1080"/>
      <c r="I52" s="994">
        <v>14906</v>
      </c>
      <c r="J52" s="995">
        <f t="shared" si="4"/>
        <v>14906</v>
      </c>
    </row>
    <row r="53" spans="1:11" x14ac:dyDescent="0.25">
      <c r="A53" s="492"/>
      <c r="B53" s="1123"/>
      <c r="C53" s="1118" t="s">
        <v>133</v>
      </c>
      <c r="D53" s="370"/>
      <c r="E53" s="369"/>
      <c r="F53" s="371"/>
      <c r="G53" s="1076">
        <f>SUM(G42:G52)</f>
        <v>25481662</v>
      </c>
      <c r="H53" s="1085"/>
      <c r="I53" s="1025">
        <f>SUM(I42:I52)</f>
        <v>-18510</v>
      </c>
      <c r="J53" s="1011">
        <f t="shared" si="4"/>
        <v>25463152</v>
      </c>
    </row>
    <row r="54" spans="1:11" ht="14.4" thickBot="1" x14ac:dyDescent="0.3">
      <c r="A54" s="1005"/>
      <c r="B54" s="1142"/>
      <c r="C54" s="1138"/>
      <c r="D54" s="1007"/>
      <c r="E54" s="1006"/>
      <c r="F54" s="1008"/>
      <c r="G54" s="1077"/>
      <c r="H54" s="1086"/>
      <c r="I54" s="1143"/>
      <c r="J54" s="1144"/>
    </row>
    <row r="55" spans="1:11" ht="15" customHeight="1" x14ac:dyDescent="0.25">
      <c r="A55" s="1678" t="s">
        <v>512</v>
      </c>
      <c r="B55" s="1680" t="s">
        <v>513</v>
      </c>
      <c r="C55" s="1682" t="s">
        <v>784</v>
      </c>
      <c r="D55" s="1684" t="s">
        <v>478</v>
      </c>
      <c r="E55" s="1686" t="s">
        <v>479</v>
      </c>
      <c r="F55" s="1674" t="s">
        <v>480</v>
      </c>
      <c r="G55" s="1676" t="s">
        <v>759</v>
      </c>
      <c r="H55" s="1688" t="s">
        <v>478</v>
      </c>
      <c r="I55" s="1672" t="s">
        <v>978</v>
      </c>
      <c r="J55" s="1670" t="s">
        <v>979</v>
      </c>
    </row>
    <row r="56" spans="1:11" ht="15" customHeight="1" thickBot="1" x14ac:dyDescent="0.3">
      <c r="A56" s="1679"/>
      <c r="B56" s="1681"/>
      <c r="C56" s="1683"/>
      <c r="D56" s="1685"/>
      <c r="E56" s="1687"/>
      <c r="F56" s="1675"/>
      <c r="G56" s="1677"/>
      <c r="H56" s="1689"/>
      <c r="I56" s="1673"/>
      <c r="J56" s="1671"/>
    </row>
    <row r="57" spans="1:11" ht="27.6" x14ac:dyDescent="0.25">
      <c r="A57" s="999"/>
      <c r="B57" s="1132" t="s">
        <v>67</v>
      </c>
      <c r="C57" s="1124" t="s">
        <v>68</v>
      </c>
      <c r="D57" s="1001"/>
      <c r="E57" s="1000">
        <v>1</v>
      </c>
      <c r="F57" s="1003">
        <f>'[4]2b. tábla (3)'!D60</f>
        <v>4419000</v>
      </c>
      <c r="G57" s="1075">
        <f>F57*E57</f>
        <v>4419000</v>
      </c>
      <c r="H57" s="1082"/>
      <c r="I57" s="1004"/>
      <c r="J57" s="1111">
        <f t="shared" ref="J57:J63" si="5">G57+I57</f>
        <v>4419000</v>
      </c>
    </row>
    <row r="58" spans="1:11" ht="41.4" x14ac:dyDescent="0.25">
      <c r="A58" s="491"/>
      <c r="B58" s="1120" t="s">
        <v>69</v>
      </c>
      <c r="C58" s="1125" t="s">
        <v>70</v>
      </c>
      <c r="D58" s="149"/>
      <c r="E58" s="144">
        <v>7.5</v>
      </c>
      <c r="F58" s="146">
        <f>'[4]2b. tábla (3)'!D61</f>
        <v>2993000</v>
      </c>
      <c r="G58" s="983">
        <f>F58*E58</f>
        <v>22447500</v>
      </c>
      <c r="H58" s="1087"/>
      <c r="I58" s="994"/>
      <c r="J58" s="995">
        <f t="shared" si="5"/>
        <v>22447500</v>
      </c>
    </row>
    <row r="59" spans="1:11" x14ac:dyDescent="0.25">
      <c r="A59" s="490">
        <v>2</v>
      </c>
      <c r="B59" s="1120" t="s">
        <v>519</v>
      </c>
      <c r="C59" s="1112" t="s">
        <v>520</v>
      </c>
      <c r="D59" s="149"/>
      <c r="E59" s="144"/>
      <c r="F59" s="146"/>
      <c r="G59" s="983">
        <v>1368270</v>
      </c>
      <c r="H59" s="1087"/>
      <c r="I59" s="994"/>
      <c r="J59" s="995">
        <f t="shared" si="5"/>
        <v>1368270</v>
      </c>
    </row>
    <row r="60" spans="1:11" x14ac:dyDescent="0.25">
      <c r="A60" s="490">
        <v>2</v>
      </c>
      <c r="B60" s="1120" t="s">
        <v>521</v>
      </c>
      <c r="C60" s="1112" t="s">
        <v>522</v>
      </c>
      <c r="D60" s="149"/>
      <c r="E60" s="144"/>
      <c r="F60" s="146"/>
      <c r="G60" s="983">
        <v>2012443</v>
      </c>
      <c r="H60" s="1087"/>
      <c r="I60" s="994"/>
      <c r="J60" s="995">
        <f t="shared" si="5"/>
        <v>2012443</v>
      </c>
    </row>
    <row r="61" spans="1:11" x14ac:dyDescent="0.25">
      <c r="A61" s="845">
        <v>2</v>
      </c>
      <c r="B61" s="1120"/>
      <c r="C61" s="1112" t="s">
        <v>821</v>
      </c>
      <c r="D61" s="149"/>
      <c r="E61" s="144"/>
      <c r="F61" s="146"/>
      <c r="G61" s="983"/>
      <c r="H61" s="1087"/>
      <c r="I61" s="994">
        <f>57340+50668+50668+50669+50669+50669</f>
        <v>310683</v>
      </c>
      <c r="J61" s="995">
        <f t="shared" si="5"/>
        <v>310683</v>
      </c>
    </row>
    <row r="62" spans="1:11" x14ac:dyDescent="0.25">
      <c r="A62" s="846">
        <v>2</v>
      </c>
      <c r="B62" s="1120"/>
      <c r="C62" s="1125" t="s">
        <v>822</v>
      </c>
      <c r="D62" s="149"/>
      <c r="E62" s="144"/>
      <c r="F62" s="146"/>
      <c r="G62" s="983"/>
      <c r="H62" s="1087"/>
      <c r="I62" s="994">
        <f>1213318+318608</f>
        <v>1531926</v>
      </c>
      <c r="J62" s="995">
        <f t="shared" si="5"/>
        <v>1531926</v>
      </c>
    </row>
    <row r="63" spans="1:11" x14ac:dyDescent="0.25">
      <c r="A63" s="847"/>
      <c r="B63" s="1133"/>
      <c r="C63" s="1115" t="s">
        <v>129</v>
      </c>
      <c r="D63" s="155"/>
      <c r="E63" s="138"/>
      <c r="F63" s="141"/>
      <c r="G63" s="1010">
        <f>SUM(G57:G62)</f>
        <v>30247213</v>
      </c>
      <c r="H63" s="1088"/>
      <c r="I63" s="1025">
        <f>I57+I58+I59+I60+I61+I62</f>
        <v>1842609</v>
      </c>
      <c r="J63" s="1011">
        <f t="shared" si="5"/>
        <v>32089822</v>
      </c>
    </row>
    <row r="64" spans="1:11" x14ac:dyDescent="0.25">
      <c r="A64" s="848"/>
      <c r="B64" s="1120"/>
      <c r="C64" s="1112"/>
      <c r="D64" s="149"/>
      <c r="E64" s="137"/>
      <c r="F64" s="815"/>
      <c r="G64" s="1078"/>
      <c r="H64" s="1087"/>
      <c r="I64" s="994"/>
      <c r="J64" s="995"/>
    </row>
    <row r="65" spans="1:10" x14ac:dyDescent="0.25">
      <c r="A65" s="490"/>
      <c r="B65" s="1120" t="s">
        <v>524</v>
      </c>
      <c r="C65" s="1126" t="s">
        <v>525</v>
      </c>
      <c r="D65" s="817"/>
      <c r="E65" s="818"/>
      <c r="F65" s="819"/>
      <c r="G65" s="1079"/>
      <c r="H65" s="1089"/>
      <c r="I65" s="994"/>
      <c r="J65" s="995"/>
    </row>
    <row r="66" spans="1:10" ht="14.4" x14ac:dyDescent="0.3">
      <c r="A66" s="493"/>
      <c r="B66" s="1120" t="s">
        <v>851</v>
      </c>
      <c r="C66" s="1127" t="s">
        <v>847</v>
      </c>
      <c r="D66" s="156"/>
      <c r="E66" s="144">
        <f>G66/F66</f>
        <v>7.6</v>
      </c>
      <c r="F66" s="134">
        <v>3400000</v>
      </c>
      <c r="G66" s="983">
        <v>25840000</v>
      </c>
      <c r="H66" s="1090"/>
      <c r="I66" s="994"/>
      <c r="J66" s="995">
        <f t="shared" ref="J66:J78" si="6">I66+G66</f>
        <v>25840000</v>
      </c>
    </row>
    <row r="67" spans="1:10" ht="14.4" x14ac:dyDescent="0.3">
      <c r="A67" s="490"/>
      <c r="B67" s="1120" t="s">
        <v>852</v>
      </c>
      <c r="C67" s="1127" t="s">
        <v>848</v>
      </c>
      <c r="D67" s="156"/>
      <c r="E67" s="144">
        <f>G67/F67</f>
        <v>3.7</v>
      </c>
      <c r="F67" s="134">
        <v>3300000</v>
      </c>
      <c r="G67" s="983">
        <v>12210000</v>
      </c>
      <c r="H67" s="1090"/>
      <c r="I67" s="994"/>
      <c r="J67" s="995">
        <f t="shared" si="6"/>
        <v>12210000</v>
      </c>
    </row>
    <row r="68" spans="1:10" x14ac:dyDescent="0.25">
      <c r="A68" s="494"/>
      <c r="B68" s="1120" t="s">
        <v>526</v>
      </c>
      <c r="C68" s="1112" t="s">
        <v>494</v>
      </c>
      <c r="D68" s="146"/>
      <c r="E68" s="146">
        <v>100</v>
      </c>
      <c r="F68" s="134">
        <v>55360</v>
      </c>
      <c r="G68" s="983">
        <v>5536000</v>
      </c>
      <c r="H68" s="1091"/>
      <c r="I68" s="994"/>
      <c r="J68" s="995">
        <f t="shared" si="6"/>
        <v>5536000</v>
      </c>
    </row>
    <row r="69" spans="1:10" x14ac:dyDescent="0.25">
      <c r="A69" s="490">
        <v>2</v>
      </c>
      <c r="B69" s="1120" t="s">
        <v>333</v>
      </c>
      <c r="C69" s="1112" t="s">
        <v>969</v>
      </c>
      <c r="D69" s="146"/>
      <c r="E69" s="146">
        <v>6</v>
      </c>
      <c r="F69" s="134">
        <v>25000</v>
      </c>
      <c r="G69" s="983">
        <f>F69*E69</f>
        <v>150000</v>
      </c>
      <c r="H69" s="1091"/>
      <c r="I69" s="994"/>
      <c r="J69" s="995">
        <f t="shared" si="6"/>
        <v>150000</v>
      </c>
    </row>
    <row r="70" spans="1:10" ht="27" customHeight="1" x14ac:dyDescent="0.25">
      <c r="A70" s="490">
        <v>2</v>
      </c>
      <c r="B70" s="1120" t="s">
        <v>334</v>
      </c>
      <c r="C70" s="1125" t="s">
        <v>332</v>
      </c>
      <c r="D70" s="146"/>
      <c r="E70" s="146">
        <v>22</v>
      </c>
      <c r="F70" s="134">
        <v>429000</v>
      </c>
      <c r="G70" s="983">
        <f>F70*E70</f>
        <v>9438000</v>
      </c>
      <c r="H70" s="1091"/>
      <c r="I70" s="994"/>
      <c r="J70" s="995">
        <f t="shared" si="6"/>
        <v>9438000</v>
      </c>
    </row>
    <row r="71" spans="1:10" ht="27.6" x14ac:dyDescent="0.25">
      <c r="A71" s="490">
        <v>2</v>
      </c>
      <c r="B71" s="1120" t="s">
        <v>527</v>
      </c>
      <c r="C71" s="1125" t="s">
        <v>849</v>
      </c>
      <c r="D71" s="146"/>
      <c r="E71" s="146">
        <v>43</v>
      </c>
      <c r="F71" s="147">
        <v>163500</v>
      </c>
      <c r="G71" s="983">
        <f>F71*E71</f>
        <v>7030500</v>
      </c>
      <c r="H71" s="1091"/>
      <c r="I71" s="994"/>
      <c r="J71" s="995">
        <f t="shared" si="6"/>
        <v>7030500</v>
      </c>
    </row>
    <row r="72" spans="1:10" ht="14.4" x14ac:dyDescent="0.3">
      <c r="A72" s="490">
        <v>2</v>
      </c>
      <c r="B72" s="1120" t="s">
        <v>528</v>
      </c>
      <c r="C72" s="1128" t="s">
        <v>495</v>
      </c>
      <c r="D72" s="153"/>
      <c r="E72" s="153"/>
      <c r="F72" s="154"/>
      <c r="G72" s="1009">
        <f>G73+G74+G75</f>
        <v>16060000</v>
      </c>
      <c r="H72" s="1092"/>
      <c r="I72" s="994"/>
      <c r="J72" s="995">
        <f t="shared" si="6"/>
        <v>16060000</v>
      </c>
    </row>
    <row r="73" spans="1:10" x14ac:dyDescent="0.25">
      <c r="A73" s="490">
        <v>2</v>
      </c>
      <c r="B73" s="1120" t="s">
        <v>335</v>
      </c>
      <c r="C73" s="1112" t="s">
        <v>496</v>
      </c>
      <c r="D73" s="146"/>
      <c r="E73" s="146">
        <v>13</v>
      </c>
      <c r="F73" s="134">
        <v>550000</v>
      </c>
      <c r="G73" s="983">
        <f>F73*E73</f>
        <v>7150000</v>
      </c>
      <c r="H73" s="1091"/>
      <c r="I73" s="994"/>
      <c r="J73" s="995">
        <f t="shared" si="6"/>
        <v>7150000</v>
      </c>
    </row>
    <row r="74" spans="1:10" ht="27.6" x14ac:dyDescent="0.25">
      <c r="A74" s="490"/>
      <c r="B74" s="1120" t="s">
        <v>336</v>
      </c>
      <c r="C74" s="1125" t="s">
        <v>497</v>
      </c>
      <c r="D74" s="146"/>
      <c r="E74" s="146">
        <v>23</v>
      </c>
      <c r="F74" s="134">
        <v>220000</v>
      </c>
      <c r="G74" s="983">
        <f>F74*E74</f>
        <v>5060000</v>
      </c>
      <c r="H74" s="1091"/>
      <c r="I74" s="994"/>
      <c r="J74" s="995">
        <f t="shared" si="6"/>
        <v>5060000</v>
      </c>
    </row>
    <row r="75" spans="1:10" ht="27.6" x14ac:dyDescent="0.25">
      <c r="A75" s="490">
        <v>2</v>
      </c>
      <c r="B75" s="1120" t="s">
        <v>337</v>
      </c>
      <c r="C75" s="1117" t="s">
        <v>792</v>
      </c>
      <c r="D75" s="146"/>
      <c r="E75" s="146">
        <v>7</v>
      </c>
      <c r="F75" s="134">
        <v>550000</v>
      </c>
      <c r="G75" s="983">
        <f>F75*E75</f>
        <v>3850000</v>
      </c>
      <c r="H75" s="1091"/>
      <c r="I75" s="994"/>
      <c r="J75" s="995">
        <f t="shared" si="6"/>
        <v>3850000</v>
      </c>
    </row>
    <row r="76" spans="1:10" x14ac:dyDescent="0.25">
      <c r="A76" s="490">
        <v>2</v>
      </c>
      <c r="B76" s="1120"/>
      <c r="C76" s="1112" t="s">
        <v>821</v>
      </c>
      <c r="D76" s="146"/>
      <c r="E76" s="146"/>
      <c r="F76" s="134"/>
      <c r="G76" s="983"/>
      <c r="H76" s="1091"/>
      <c r="I76" s="994">
        <f>188734+153915+151407+151408+141846+141847</f>
        <v>929157</v>
      </c>
      <c r="J76" s="995">
        <f t="shared" si="6"/>
        <v>929157</v>
      </c>
    </row>
    <row r="77" spans="1:10" x14ac:dyDescent="0.25">
      <c r="A77" s="490">
        <v>2</v>
      </c>
      <c r="B77" s="1120"/>
      <c r="C77" s="1125" t="s">
        <v>822</v>
      </c>
      <c r="D77" s="146"/>
      <c r="E77" s="146"/>
      <c r="F77" s="134"/>
      <c r="G77" s="983"/>
      <c r="H77" s="1091"/>
      <c r="I77" s="994">
        <f>8555852+1744473</f>
        <v>10300325</v>
      </c>
      <c r="J77" s="995">
        <f t="shared" si="6"/>
        <v>10300325</v>
      </c>
    </row>
    <row r="78" spans="1:10" x14ac:dyDescent="0.25">
      <c r="A78" s="490">
        <v>2</v>
      </c>
      <c r="B78" s="1122"/>
      <c r="C78" s="1115" t="s">
        <v>132</v>
      </c>
      <c r="D78" s="159"/>
      <c r="E78" s="141"/>
      <c r="F78" s="142"/>
      <c r="G78" s="1010">
        <f>G66+G67+G68+G69+G71+G72+G70+G76+G77</f>
        <v>76264500</v>
      </c>
      <c r="H78" s="1093"/>
      <c r="I78" s="141">
        <f>I66+I67+I68+I69+I71+I72+I70+I76+I77</f>
        <v>11229482</v>
      </c>
      <c r="J78" s="1011">
        <f t="shared" si="6"/>
        <v>87493982</v>
      </c>
    </row>
    <row r="79" spans="1:10" x14ac:dyDescent="0.25">
      <c r="A79" s="490"/>
      <c r="B79" s="1120"/>
      <c r="C79" s="1115"/>
      <c r="D79" s="159"/>
      <c r="E79" s="138"/>
      <c r="F79" s="141"/>
      <c r="G79" s="1010"/>
      <c r="H79" s="1094"/>
      <c r="I79" s="994"/>
      <c r="J79" s="995"/>
    </row>
    <row r="80" spans="1:10" x14ac:dyDescent="0.25">
      <c r="A80" s="490">
        <v>2</v>
      </c>
      <c r="B80" s="1120" t="s">
        <v>71</v>
      </c>
      <c r="C80" s="1112" t="s">
        <v>529</v>
      </c>
      <c r="D80" s="155"/>
      <c r="E80" s="137">
        <v>39.39</v>
      </c>
      <c r="F80" s="141">
        <v>4580000</v>
      </c>
      <c r="G80" s="983">
        <f>'[4]2b. tábla (3)'!E8</f>
        <v>180406200</v>
      </c>
      <c r="H80" s="1088"/>
      <c r="I80" s="994"/>
      <c r="J80" s="995">
        <f>I80+G80</f>
        <v>180406200</v>
      </c>
    </row>
    <row r="81" spans="1:10" x14ac:dyDescent="0.25">
      <c r="A81" s="490"/>
      <c r="B81" s="1120"/>
      <c r="C81" s="1112" t="s">
        <v>821</v>
      </c>
      <c r="D81" s="155"/>
      <c r="E81" s="137"/>
      <c r="F81" s="141"/>
      <c r="G81" s="983"/>
      <c r="H81" s="1088"/>
      <c r="I81" s="994">
        <f>87962+83171+44215+44215+38001+38003</f>
        <v>335567</v>
      </c>
      <c r="J81" s="995">
        <f>I81+G81</f>
        <v>335567</v>
      </c>
    </row>
    <row r="82" spans="1:10" x14ac:dyDescent="0.25">
      <c r="A82" s="491"/>
      <c r="B82" s="1134"/>
      <c r="C82" s="1115" t="s">
        <v>131</v>
      </c>
      <c r="D82" s="159"/>
      <c r="E82" s="138"/>
      <c r="F82" s="141"/>
      <c r="G82" s="1010">
        <f>G80+G81</f>
        <v>180406200</v>
      </c>
      <c r="H82" s="1093"/>
      <c r="I82" s="141">
        <f>I80+I81</f>
        <v>335567</v>
      </c>
      <c r="J82" s="1011">
        <f>I82+G82</f>
        <v>180741767</v>
      </c>
    </row>
    <row r="83" spans="1:10" x14ac:dyDescent="0.25">
      <c r="A83" s="490"/>
      <c r="B83" s="845"/>
      <c r="C83" s="1115"/>
      <c r="D83" s="159"/>
      <c r="E83" s="137"/>
      <c r="F83" s="141"/>
      <c r="G83" s="1010"/>
      <c r="H83" s="1094"/>
      <c r="I83" s="994"/>
      <c r="J83" s="995"/>
    </row>
    <row r="84" spans="1:10" x14ac:dyDescent="0.25">
      <c r="A84" s="490">
        <v>2</v>
      </c>
      <c r="B84" s="845" t="s">
        <v>530</v>
      </c>
      <c r="C84" s="1112" t="s">
        <v>531</v>
      </c>
      <c r="D84" s="156"/>
      <c r="E84" s="137">
        <v>13888</v>
      </c>
      <c r="F84" s="146">
        <v>1210</v>
      </c>
      <c r="G84" s="983">
        <f>E84*F84</f>
        <v>16804480</v>
      </c>
      <c r="H84" s="1090"/>
      <c r="I84" s="994"/>
      <c r="J84" s="995">
        <f>G84+I84</f>
        <v>16804480</v>
      </c>
    </row>
    <row r="85" spans="1:10" x14ac:dyDescent="0.25">
      <c r="A85" s="490"/>
      <c r="B85" s="845" t="s">
        <v>825</v>
      </c>
      <c r="C85" s="1112" t="s">
        <v>823</v>
      </c>
      <c r="D85" s="156"/>
      <c r="E85" s="137"/>
      <c r="F85" s="146"/>
      <c r="G85" s="983"/>
      <c r="H85" s="1090"/>
      <c r="I85" s="994">
        <v>901906</v>
      </c>
      <c r="J85" s="995">
        <v>901906</v>
      </c>
    </row>
    <row r="86" spans="1:10" x14ac:dyDescent="0.25">
      <c r="A86" s="491"/>
      <c r="B86" s="845"/>
      <c r="C86" s="1112" t="s">
        <v>821</v>
      </c>
      <c r="D86" s="156"/>
      <c r="E86" s="137"/>
      <c r="F86" s="146"/>
      <c r="G86" s="983"/>
      <c r="H86" s="1090"/>
      <c r="I86" s="994">
        <f>36844+39913+39674+39674+39674+39674</f>
        <v>235453</v>
      </c>
      <c r="J86" s="995">
        <f>G86+I86</f>
        <v>235453</v>
      </c>
    </row>
    <row r="87" spans="1:10" x14ac:dyDescent="0.25">
      <c r="A87" s="491"/>
      <c r="B87" s="845" t="s">
        <v>366</v>
      </c>
      <c r="C87" s="1112" t="s">
        <v>361</v>
      </c>
      <c r="D87" s="156"/>
      <c r="E87" s="137"/>
      <c r="F87" s="146"/>
      <c r="G87" s="983"/>
      <c r="H87" s="1090"/>
      <c r="I87" s="994">
        <f>297010+277953+305299+339237+350479+358307</f>
        <v>1928285</v>
      </c>
      <c r="J87" s="995">
        <f>G87+I87</f>
        <v>1928285</v>
      </c>
    </row>
    <row r="88" spans="1:10" x14ac:dyDescent="0.25">
      <c r="A88" s="490"/>
      <c r="B88" s="1134"/>
      <c r="C88" s="1115" t="s">
        <v>130</v>
      </c>
      <c r="D88" s="155"/>
      <c r="E88" s="138"/>
      <c r="F88" s="141"/>
      <c r="G88" s="1010">
        <f>G84+G85+G86</f>
        <v>16804480</v>
      </c>
      <c r="H88" s="1088"/>
      <c r="I88" s="1025">
        <f>I84+I85+I86+I87</f>
        <v>3065644</v>
      </c>
      <c r="J88" s="1011">
        <f>G88+I88</f>
        <v>19870124</v>
      </c>
    </row>
    <row r="89" spans="1:10" x14ac:dyDescent="0.25">
      <c r="A89" s="490"/>
      <c r="B89" s="1134"/>
      <c r="C89" s="1115"/>
      <c r="D89" s="155"/>
      <c r="E89" s="138"/>
      <c r="F89" s="141"/>
      <c r="G89" s="1010"/>
      <c r="H89" s="1088"/>
      <c r="I89" s="994"/>
      <c r="J89" s="995"/>
    </row>
    <row r="90" spans="1:10" x14ac:dyDescent="0.25">
      <c r="A90" s="490" t="s">
        <v>840</v>
      </c>
      <c r="B90" s="1134"/>
      <c r="C90" s="1112" t="s">
        <v>821</v>
      </c>
      <c r="D90" s="155"/>
      <c r="E90" s="138"/>
      <c r="F90" s="141"/>
      <c r="G90" s="983"/>
      <c r="H90" s="1088"/>
      <c r="I90" s="994">
        <f>116388+95480+91417+87593+87593+87593</f>
        <v>566064</v>
      </c>
      <c r="J90" s="995">
        <f>I90+G90</f>
        <v>566064</v>
      </c>
    </row>
    <row r="91" spans="1:10" x14ac:dyDescent="0.25">
      <c r="A91" s="490"/>
      <c r="B91" s="1134"/>
      <c r="C91" s="1115" t="s">
        <v>128</v>
      </c>
      <c r="D91" s="155"/>
      <c r="E91" s="138"/>
      <c r="F91" s="141"/>
      <c r="G91" s="1010">
        <f>G90</f>
        <v>0</v>
      </c>
      <c r="H91" s="1088"/>
      <c r="I91" s="1025">
        <f>I90</f>
        <v>566064</v>
      </c>
      <c r="J91" s="1011">
        <f>I91+G91</f>
        <v>566064</v>
      </c>
    </row>
    <row r="92" spans="1:10" ht="14.4" thickBot="1" x14ac:dyDescent="0.3">
      <c r="A92" s="1005"/>
      <c r="B92" s="1137"/>
      <c r="C92" s="1138"/>
      <c r="D92" s="1007"/>
      <c r="E92" s="1006"/>
      <c r="F92" s="1008"/>
      <c r="G92" s="1077"/>
      <c r="H92" s="1139"/>
      <c r="I92" s="1140"/>
      <c r="J92" s="1141"/>
    </row>
    <row r="93" spans="1:10" ht="13.2" x14ac:dyDescent="0.25">
      <c r="A93" s="1678" t="s">
        <v>512</v>
      </c>
      <c r="B93" s="1680" t="s">
        <v>513</v>
      </c>
      <c r="C93" s="1682" t="s">
        <v>784</v>
      </c>
      <c r="D93" s="1684" t="s">
        <v>478</v>
      </c>
      <c r="E93" s="1686" t="s">
        <v>479</v>
      </c>
      <c r="F93" s="1674" t="s">
        <v>480</v>
      </c>
      <c r="G93" s="1676" t="s">
        <v>759</v>
      </c>
      <c r="H93" s="1688" t="s">
        <v>478</v>
      </c>
      <c r="I93" s="1672" t="s">
        <v>978</v>
      </c>
      <c r="J93" s="1670" t="s">
        <v>979</v>
      </c>
    </row>
    <row r="94" spans="1:10" thickBot="1" x14ac:dyDescent="0.3">
      <c r="A94" s="1679"/>
      <c r="B94" s="1681"/>
      <c r="C94" s="1683"/>
      <c r="D94" s="1685"/>
      <c r="E94" s="1687"/>
      <c r="F94" s="1675"/>
      <c r="G94" s="1677"/>
      <c r="H94" s="1689"/>
      <c r="I94" s="1673"/>
      <c r="J94" s="1671"/>
    </row>
    <row r="95" spans="1:10" ht="27.6" x14ac:dyDescent="0.25">
      <c r="A95" s="491"/>
      <c r="B95" s="1120" t="s">
        <v>532</v>
      </c>
      <c r="C95" s="1129" t="s">
        <v>790</v>
      </c>
      <c r="D95" s="149"/>
      <c r="E95" s="137"/>
      <c r="F95" s="146"/>
      <c r="G95" s="1010"/>
      <c r="H95" s="1087"/>
      <c r="I95" s="994"/>
      <c r="J95" s="995"/>
    </row>
    <row r="96" spans="1:10" x14ac:dyDescent="0.25">
      <c r="A96" s="491"/>
      <c r="B96" s="1120" t="s">
        <v>533</v>
      </c>
      <c r="C96" s="1115" t="s">
        <v>534</v>
      </c>
      <c r="D96" s="155"/>
      <c r="E96" s="138"/>
      <c r="F96" s="141"/>
      <c r="G96" s="1010">
        <f>G97+G98+G99+G100</f>
        <v>0</v>
      </c>
      <c r="H96" s="1088"/>
      <c r="I96" s="994"/>
      <c r="J96" s="995">
        <f t="shared" ref="J96:J116" si="7">G96+I96</f>
        <v>0</v>
      </c>
    </row>
    <row r="97" spans="1:10" x14ac:dyDescent="0.25">
      <c r="A97" s="491"/>
      <c r="B97" s="1120" t="s">
        <v>535</v>
      </c>
      <c r="C97" s="1112" t="s">
        <v>483</v>
      </c>
      <c r="D97" s="155"/>
      <c r="E97" s="138"/>
      <c r="F97" s="141"/>
      <c r="G97" s="983">
        <v>0</v>
      </c>
      <c r="H97" s="1088"/>
      <c r="I97" s="994"/>
      <c r="J97" s="995">
        <f t="shared" si="7"/>
        <v>0</v>
      </c>
    </row>
    <row r="98" spans="1:10" x14ac:dyDescent="0.25">
      <c r="A98" s="495" t="s">
        <v>512</v>
      </c>
      <c r="B98" s="1120" t="s">
        <v>536</v>
      </c>
      <c r="C98" s="1112" t="s">
        <v>485</v>
      </c>
      <c r="D98" s="149"/>
      <c r="E98" s="137"/>
      <c r="F98" s="134"/>
      <c r="G98" s="983">
        <v>0</v>
      </c>
      <c r="H98" s="1087"/>
      <c r="I98" s="994"/>
      <c r="J98" s="995">
        <f t="shared" si="7"/>
        <v>0</v>
      </c>
    </row>
    <row r="99" spans="1:10" x14ac:dyDescent="0.25">
      <c r="A99" s="490">
        <v>2</v>
      </c>
      <c r="B99" s="1120" t="s">
        <v>537</v>
      </c>
      <c r="C99" s="1112" t="s">
        <v>486</v>
      </c>
      <c r="D99" s="149"/>
      <c r="E99" s="137"/>
      <c r="F99" s="146"/>
      <c r="G99" s="983">
        <v>0</v>
      </c>
      <c r="H99" s="1087"/>
      <c r="I99" s="994"/>
      <c r="J99" s="995">
        <f t="shared" si="7"/>
        <v>0</v>
      </c>
    </row>
    <row r="100" spans="1:10" x14ac:dyDescent="0.25">
      <c r="A100" s="490">
        <v>2</v>
      </c>
      <c r="B100" s="1120" t="s">
        <v>538</v>
      </c>
      <c r="C100" s="1112" t="s">
        <v>487</v>
      </c>
      <c r="D100" s="149"/>
      <c r="E100" s="146"/>
      <c r="F100" s="157"/>
      <c r="G100" s="983">
        <v>0</v>
      </c>
      <c r="H100" s="1087"/>
      <c r="I100" s="994"/>
      <c r="J100" s="995">
        <f t="shared" si="7"/>
        <v>0</v>
      </c>
    </row>
    <row r="101" spans="1:10" x14ac:dyDescent="0.25">
      <c r="A101" s="490">
        <v>2</v>
      </c>
      <c r="B101" s="1120" t="s">
        <v>789</v>
      </c>
      <c r="C101" s="1112" t="s">
        <v>788</v>
      </c>
      <c r="D101" s="149"/>
      <c r="E101" s="146"/>
      <c r="F101" s="157"/>
      <c r="G101" s="983">
        <v>0</v>
      </c>
      <c r="H101" s="1087"/>
      <c r="I101" s="994"/>
      <c r="J101" s="995">
        <f t="shared" si="7"/>
        <v>0</v>
      </c>
    </row>
    <row r="102" spans="1:10" x14ac:dyDescent="0.25">
      <c r="A102" s="490">
        <v>2</v>
      </c>
      <c r="B102" s="1120" t="s">
        <v>539</v>
      </c>
      <c r="C102" s="1112" t="s">
        <v>510</v>
      </c>
      <c r="D102" s="149"/>
      <c r="E102" s="146"/>
      <c r="F102" s="157"/>
      <c r="G102" s="983">
        <v>0</v>
      </c>
      <c r="H102" s="1087"/>
      <c r="I102" s="994"/>
      <c r="J102" s="995">
        <f t="shared" si="7"/>
        <v>0</v>
      </c>
    </row>
    <row r="103" spans="1:10" x14ac:dyDescent="0.25">
      <c r="A103" s="490">
        <v>2</v>
      </c>
      <c r="B103" s="1120" t="s">
        <v>787</v>
      </c>
      <c r="C103" s="1112" t="s">
        <v>509</v>
      </c>
      <c r="D103" s="158"/>
      <c r="E103" s="146"/>
      <c r="F103" s="160"/>
      <c r="G103" s="983">
        <f>'[4]2b. tábla (3)'!E25</f>
        <v>285145518</v>
      </c>
      <c r="H103" s="1095"/>
      <c r="I103" s="994"/>
      <c r="J103" s="995">
        <f t="shared" si="7"/>
        <v>285145518</v>
      </c>
    </row>
    <row r="104" spans="1:10" x14ac:dyDescent="0.25">
      <c r="A104" s="490">
        <v>2</v>
      </c>
      <c r="B104" s="1120" t="s">
        <v>120</v>
      </c>
      <c r="C104" s="1014" t="s">
        <v>793</v>
      </c>
      <c r="D104" s="149"/>
      <c r="E104" s="137"/>
      <c r="F104" s="146"/>
      <c r="G104" s="983">
        <v>367584</v>
      </c>
      <c r="H104" s="1087"/>
      <c r="I104" s="994">
        <v>-367584</v>
      </c>
      <c r="J104" s="995">
        <f t="shared" si="7"/>
        <v>0</v>
      </c>
    </row>
    <row r="105" spans="1:10" x14ac:dyDescent="0.25">
      <c r="A105" s="490">
        <v>2</v>
      </c>
      <c r="B105" s="1120" t="s">
        <v>519</v>
      </c>
      <c r="C105" s="1112" t="s">
        <v>523</v>
      </c>
      <c r="D105" s="149"/>
      <c r="E105" s="137"/>
      <c r="F105" s="146"/>
      <c r="G105" s="983">
        <v>32539170</v>
      </c>
      <c r="H105" s="1087"/>
      <c r="I105" s="994"/>
      <c r="J105" s="995">
        <f t="shared" si="7"/>
        <v>32539170</v>
      </c>
    </row>
    <row r="106" spans="1:10" x14ac:dyDescent="0.25">
      <c r="A106" s="490">
        <v>2</v>
      </c>
      <c r="B106" s="1120" t="s">
        <v>521</v>
      </c>
      <c r="C106" s="1112" t="s">
        <v>522</v>
      </c>
      <c r="D106" s="149"/>
      <c r="E106" s="137"/>
      <c r="F106" s="146"/>
      <c r="G106" s="983">
        <v>11037959</v>
      </c>
      <c r="H106" s="1087"/>
      <c r="I106" s="994"/>
      <c r="J106" s="995">
        <f t="shared" si="7"/>
        <v>11037959</v>
      </c>
    </row>
    <row r="107" spans="1:10" x14ac:dyDescent="0.25">
      <c r="A107" s="490">
        <v>2</v>
      </c>
      <c r="B107" s="1120" t="s">
        <v>444</v>
      </c>
      <c r="C107" s="1112" t="s">
        <v>853</v>
      </c>
      <c r="D107" s="149"/>
      <c r="E107" s="137">
        <v>2128</v>
      </c>
      <c r="F107" s="146">
        <v>342</v>
      </c>
      <c r="G107" s="983">
        <f>'[4]2b. tábla (3)'!E58</f>
        <v>831744</v>
      </c>
      <c r="H107" s="1087"/>
      <c r="I107" s="994"/>
      <c r="J107" s="995">
        <f t="shared" si="7"/>
        <v>831744</v>
      </c>
    </row>
    <row r="108" spans="1:10" x14ac:dyDescent="0.25">
      <c r="A108" s="490">
        <v>2</v>
      </c>
      <c r="B108" s="1120" t="s">
        <v>854</v>
      </c>
      <c r="C108" s="1130" t="s">
        <v>72</v>
      </c>
      <c r="D108" s="149"/>
      <c r="E108" s="137"/>
      <c r="F108" s="146"/>
      <c r="G108" s="983"/>
      <c r="H108" s="1087"/>
      <c r="I108" s="994"/>
      <c r="J108" s="995">
        <f t="shared" si="7"/>
        <v>0</v>
      </c>
    </row>
    <row r="109" spans="1:10" x14ac:dyDescent="0.25">
      <c r="A109" s="490"/>
      <c r="B109" s="1120" t="s">
        <v>610</v>
      </c>
      <c r="C109" s="1014" t="s">
        <v>65</v>
      </c>
      <c r="D109" s="149"/>
      <c r="E109" s="137"/>
      <c r="F109" s="146"/>
      <c r="G109" s="983"/>
      <c r="H109" s="1087"/>
      <c r="I109" s="994"/>
      <c r="J109" s="995">
        <f t="shared" si="7"/>
        <v>0</v>
      </c>
    </row>
    <row r="110" spans="1:10" x14ac:dyDescent="0.25">
      <c r="A110" s="490"/>
      <c r="B110" s="1120" t="s">
        <v>609</v>
      </c>
      <c r="C110" s="1014" t="s">
        <v>608</v>
      </c>
      <c r="D110" s="149"/>
      <c r="E110" s="137"/>
      <c r="F110" s="146"/>
      <c r="G110" s="983"/>
      <c r="H110" s="1087"/>
      <c r="I110" s="994"/>
      <c r="J110" s="995">
        <f t="shared" si="7"/>
        <v>0</v>
      </c>
    </row>
    <row r="111" spans="1:10" ht="27.6" x14ac:dyDescent="0.25">
      <c r="A111" s="490">
        <v>2</v>
      </c>
      <c r="B111" s="1120"/>
      <c r="C111" s="1117" t="s">
        <v>73</v>
      </c>
      <c r="D111" s="149"/>
      <c r="E111" s="137"/>
      <c r="F111" s="146"/>
      <c r="G111" s="983"/>
      <c r="H111" s="1087"/>
      <c r="I111" s="994"/>
      <c r="J111" s="995">
        <f t="shared" si="7"/>
        <v>0</v>
      </c>
    </row>
    <row r="112" spans="1:10" ht="27.6" x14ac:dyDescent="0.25">
      <c r="A112" s="490">
        <v>2</v>
      </c>
      <c r="B112" s="1120"/>
      <c r="C112" s="1117" t="s">
        <v>612</v>
      </c>
      <c r="D112" s="149"/>
      <c r="E112" s="137"/>
      <c r="F112" s="146"/>
      <c r="G112" s="983"/>
      <c r="H112" s="1087"/>
      <c r="I112" s="994"/>
      <c r="J112" s="995">
        <f t="shared" si="7"/>
        <v>0</v>
      </c>
    </row>
    <row r="113" spans="1:11" x14ac:dyDescent="0.25">
      <c r="A113" s="490"/>
      <c r="B113" s="1120"/>
      <c r="C113" s="1117" t="s">
        <v>623</v>
      </c>
      <c r="D113" s="149"/>
      <c r="E113" s="137"/>
      <c r="F113" s="146"/>
      <c r="G113" s="983"/>
      <c r="H113" s="1087"/>
      <c r="I113" s="994"/>
      <c r="J113" s="995">
        <f t="shared" si="7"/>
        <v>0</v>
      </c>
    </row>
    <row r="114" spans="1:11" x14ac:dyDescent="0.25">
      <c r="A114" s="490"/>
      <c r="B114" s="1120"/>
      <c r="C114" s="1130" t="s">
        <v>824</v>
      </c>
      <c r="D114" s="149"/>
      <c r="E114" s="137"/>
      <c r="F114" s="146"/>
      <c r="G114" s="983"/>
      <c r="H114" s="1087"/>
      <c r="I114" s="994"/>
      <c r="J114" s="995">
        <f t="shared" si="7"/>
        <v>0</v>
      </c>
    </row>
    <row r="115" spans="1:11" x14ac:dyDescent="0.25">
      <c r="A115" s="490"/>
      <c r="B115" s="1120"/>
      <c r="C115" s="1130" t="s">
        <v>622</v>
      </c>
      <c r="D115" s="149"/>
      <c r="E115" s="137"/>
      <c r="F115" s="146"/>
      <c r="G115" s="983"/>
      <c r="H115" s="1087"/>
      <c r="I115" s="994"/>
      <c r="J115" s="995">
        <f t="shared" si="7"/>
        <v>0</v>
      </c>
    </row>
    <row r="116" spans="1:11" x14ac:dyDescent="0.25">
      <c r="A116" s="490"/>
      <c r="B116" s="1135"/>
      <c r="C116" s="1115" t="s">
        <v>540</v>
      </c>
      <c r="D116" s="158"/>
      <c r="E116" s="150"/>
      <c r="F116" s="150"/>
      <c r="G116" s="1010">
        <f>G96+G104+G95+G94+G103+G107+G108+G111+G105+G106+G115</f>
        <v>329921975</v>
      </c>
      <c r="H116" s="1093"/>
      <c r="I116" s="141">
        <f>I96+I104+I95+I94+I103+I107+I108+I111+I105+I106+I115</f>
        <v>-367584</v>
      </c>
      <c r="J116" s="1011">
        <f t="shared" si="7"/>
        <v>329554391</v>
      </c>
    </row>
    <row r="117" spans="1:11" x14ac:dyDescent="0.25">
      <c r="A117" s="494"/>
      <c r="B117" s="1120"/>
      <c r="C117" s="1112"/>
      <c r="D117" s="158"/>
      <c r="E117" s="146"/>
      <c r="F117" s="147"/>
      <c r="G117" s="983"/>
      <c r="H117" s="1095"/>
      <c r="I117" s="994"/>
      <c r="J117" s="995"/>
    </row>
    <row r="118" spans="1:11" x14ac:dyDescent="0.25">
      <c r="A118" s="494"/>
      <c r="B118" s="1120"/>
      <c r="C118" s="1112"/>
      <c r="D118" s="149"/>
      <c r="E118" s="137"/>
      <c r="F118" s="146"/>
      <c r="G118" s="983"/>
      <c r="H118" s="1087"/>
      <c r="I118" s="994"/>
      <c r="J118" s="995"/>
    </row>
    <row r="119" spans="1:11" ht="14.4" thickBot="1" x14ac:dyDescent="0.3">
      <c r="A119" s="496"/>
      <c r="B119" s="1136"/>
      <c r="C119" s="1131" t="s">
        <v>541</v>
      </c>
      <c r="D119" s="161"/>
      <c r="E119" s="162"/>
      <c r="F119" s="163"/>
      <c r="G119" s="1077">
        <f>G16+G28+G40+G53+G78+G82+G116+G63+G88+G91</f>
        <v>913185557</v>
      </c>
      <c r="H119" s="1098">
        <f>H16+H28+H40+H53+H78+H82+H116+H63+H88+H91</f>
        <v>0</v>
      </c>
      <c r="I119" s="1008">
        <f>I16+I28+I40+I53+I78+I82+I116+I63+I88+I91</f>
        <v>16985781</v>
      </c>
      <c r="J119" s="1099">
        <f>J16+J28+J40+J53+J78+J82+J116+J63+J88+J91</f>
        <v>930171338</v>
      </c>
    </row>
    <row r="120" spans="1:11" x14ac:dyDescent="0.25">
      <c r="F120" s="229"/>
      <c r="G120" s="227"/>
      <c r="H120" s="1096"/>
      <c r="I120" s="1097"/>
      <c r="J120" s="1097"/>
      <c r="K120"/>
    </row>
    <row r="121" spans="1:11" x14ac:dyDescent="0.25">
      <c r="F121" s="229"/>
      <c r="G121" s="227"/>
      <c r="I121" s="535"/>
      <c r="J121" s="535">
        <f>J119-G119</f>
        <v>16985781</v>
      </c>
      <c r="K121"/>
    </row>
    <row r="122" spans="1:11" x14ac:dyDescent="0.25">
      <c r="F122" s="229"/>
      <c r="G122" s="227"/>
      <c r="I122" s="535"/>
      <c r="J122" s="535"/>
      <c r="K122"/>
    </row>
    <row r="123" spans="1:11" x14ac:dyDescent="0.25">
      <c r="F123" s="229"/>
      <c r="G123" s="227"/>
      <c r="I123" s="535"/>
      <c r="J123" s="535"/>
      <c r="K123"/>
    </row>
  </sheetData>
  <mergeCells count="31">
    <mergeCell ref="C1:G1"/>
    <mergeCell ref="I3:I4"/>
    <mergeCell ref="J3:J4"/>
    <mergeCell ref="B55:B56"/>
    <mergeCell ref="C55:C56"/>
    <mergeCell ref="D55:D56"/>
    <mergeCell ref="E55:E56"/>
    <mergeCell ref="D3:D4"/>
    <mergeCell ref="E3:E4"/>
    <mergeCell ref="F3:F4"/>
    <mergeCell ref="G3:G4"/>
    <mergeCell ref="H3:H4"/>
    <mergeCell ref="D93:D94"/>
    <mergeCell ref="E93:E94"/>
    <mergeCell ref="F93:F94"/>
    <mergeCell ref="G93:G94"/>
    <mergeCell ref="H55:H56"/>
    <mergeCell ref="H93:H94"/>
    <mergeCell ref="A3:A4"/>
    <mergeCell ref="A55:A56"/>
    <mergeCell ref="A93:A94"/>
    <mergeCell ref="B93:B94"/>
    <mergeCell ref="C93:C94"/>
    <mergeCell ref="B3:B4"/>
    <mergeCell ref="C3:C4"/>
    <mergeCell ref="I93:I94"/>
    <mergeCell ref="J93:J94"/>
    <mergeCell ref="F55:F56"/>
    <mergeCell ref="G55:G56"/>
    <mergeCell ref="I55:I56"/>
    <mergeCell ref="J55:J56"/>
  </mergeCells>
  <phoneticPr fontId="27" type="noConversion"/>
  <pageMargins left="0.7" right="0.7" top="0.75" bottom="0.75" header="0.3" footer="0.3"/>
  <pageSetup paperSize="9" scale="62" orientation="landscape" r:id="rId1"/>
  <headerFooter alignWithMargins="0">
    <oddHeader>&amp;C2/c. melléklet
az önkormányzat 2018. évi költségvetéséről szóló 11/2018. (III.01.) önkormányzati rendelethez&amp;R&amp;P. oldal</oddHeader>
  </headerFooter>
  <rowBreaks count="3" manualBreakCount="3">
    <brk id="54" max="9" man="1"/>
    <brk id="92" max="9" man="1"/>
    <brk id="119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0"/>
  </sheetPr>
  <dimension ref="A1:BC18"/>
  <sheetViews>
    <sheetView view="pageLayout" topLeftCell="A10" zoomScaleNormal="95" zoomScaleSheetLayoutView="89" workbookViewId="0">
      <selection activeCell="AB22" sqref="AB22"/>
    </sheetView>
  </sheetViews>
  <sheetFormatPr defaultColWidth="9.109375" defaultRowHeight="13.2" x14ac:dyDescent="0.25"/>
  <cols>
    <col min="1" max="1" width="24.88671875" style="11" customWidth="1"/>
    <col min="2" max="2" width="15.109375" style="11" customWidth="1"/>
    <col min="3" max="3" width="15.6640625" style="11" customWidth="1"/>
    <col min="4" max="4" width="16" style="11" customWidth="1"/>
    <col min="5" max="5" width="14.6640625" style="11" customWidth="1"/>
    <col min="6" max="6" width="16.109375" style="11" customWidth="1"/>
    <col min="7" max="7" width="16.5546875" style="11" customWidth="1"/>
    <col min="8" max="9" width="14.33203125" style="11" customWidth="1"/>
    <col min="10" max="10" width="15.5546875" style="11" customWidth="1"/>
    <col min="11" max="11" width="15.109375" style="11" customWidth="1"/>
    <col min="12" max="12" width="16.44140625" style="11" customWidth="1"/>
    <col min="13" max="13" width="16.109375" style="11" customWidth="1"/>
    <col min="14" max="14" width="27.33203125" style="11" customWidth="1"/>
    <col min="15" max="15" width="15.88671875" style="11" customWidth="1"/>
    <col min="16" max="16" width="16.6640625" style="11" customWidth="1"/>
    <col min="17" max="17" width="16.33203125" style="11" bestFit="1" customWidth="1"/>
    <col min="18" max="18" width="16.44140625" style="11" bestFit="1" customWidth="1"/>
    <col min="19" max="19" width="16.6640625" style="11" customWidth="1"/>
    <col min="20" max="20" width="15.88671875" style="11" customWidth="1"/>
    <col min="21" max="21" width="16" style="11" customWidth="1"/>
    <col min="22" max="22" width="16.88671875" style="11" customWidth="1"/>
    <col min="23" max="23" width="17.44140625" style="11" customWidth="1"/>
    <col min="24" max="25" width="18.5546875" style="11" customWidth="1"/>
    <col min="26" max="27" width="19" style="11" customWidth="1"/>
    <col min="28" max="28" width="17.5546875" style="11" customWidth="1"/>
    <col min="29" max="29" width="14.88671875" style="11" customWidth="1"/>
    <col min="30" max="16384" width="9.109375" style="11"/>
  </cols>
  <sheetData>
    <row r="1" spans="1:55" ht="12.75" customHeight="1" x14ac:dyDescent="0.25">
      <c r="A1" s="1694"/>
      <c r="B1" s="1694"/>
      <c r="C1" s="1694"/>
      <c r="D1" s="1694"/>
      <c r="E1" s="1694"/>
      <c r="F1" s="1694"/>
      <c r="G1" s="1694"/>
      <c r="H1" s="1694"/>
      <c r="I1" s="1694"/>
      <c r="J1" s="1694"/>
      <c r="K1" s="1694"/>
      <c r="L1" s="1"/>
      <c r="M1" s="1"/>
      <c r="N1" s="1223"/>
      <c r="O1" s="1700"/>
      <c r="P1" s="1700"/>
      <c r="Q1" s="1700"/>
      <c r="R1" s="1700"/>
      <c r="S1" s="1700"/>
      <c r="T1" s="1700"/>
      <c r="U1" s="1700"/>
      <c r="V1" s="1700"/>
      <c r="W1" s="1700"/>
    </row>
    <row r="2" spans="1:55" ht="12.75" customHeight="1" x14ac:dyDescent="0.25">
      <c r="A2" s="1694"/>
      <c r="B2" s="1694"/>
      <c r="C2" s="1694"/>
      <c r="D2" s="1694"/>
      <c r="E2" s="1694"/>
      <c r="F2" s="1694"/>
      <c r="G2" s="1694"/>
      <c r="H2" s="1694"/>
      <c r="I2" s="1694"/>
      <c r="J2" s="1694"/>
      <c r="K2" s="1694"/>
      <c r="L2" s="1"/>
      <c r="M2" s="1694"/>
      <c r="N2" s="1694"/>
      <c r="O2" s="1694"/>
      <c r="P2" s="1694"/>
      <c r="Q2" s="1694"/>
      <c r="R2" s="1694"/>
      <c r="S2" s="1694"/>
      <c r="T2" s="1694"/>
      <c r="U2" s="1694"/>
      <c r="V2" s="1694"/>
      <c r="W2" s="1694"/>
    </row>
    <row r="3" spans="1:55" ht="15.6" x14ac:dyDescent="0.3">
      <c r="A3" s="1705" t="s">
        <v>140</v>
      </c>
      <c r="B3" s="1706"/>
      <c r="C3" s="1706"/>
      <c r="D3" s="1706"/>
      <c r="E3" s="1706"/>
      <c r="F3" s="1706"/>
      <c r="G3" s="1706"/>
      <c r="H3" s="1706"/>
      <c r="I3" s="1706"/>
      <c r="J3" s="1706"/>
      <c r="K3" s="1705"/>
      <c r="L3" s="1705"/>
      <c r="M3" s="1705"/>
      <c r="N3" s="1705"/>
      <c r="O3" s="1705"/>
      <c r="P3" s="1705"/>
      <c r="Q3" s="1705"/>
      <c r="R3" s="1705"/>
      <c r="S3" s="1705"/>
      <c r="T3" s="1705"/>
      <c r="U3" s="1705"/>
      <c r="V3" s="1705"/>
      <c r="W3" s="1705"/>
      <c r="X3" s="1705"/>
      <c r="Y3" s="1705"/>
      <c r="Z3" s="1705"/>
      <c r="AA3" s="1705"/>
      <c r="AB3" s="1705"/>
    </row>
    <row r="4" spans="1:55" x14ac:dyDescent="0.25">
      <c r="K4" s="37"/>
      <c r="L4" s="37"/>
      <c r="M4" s="37"/>
      <c r="N4" s="37"/>
      <c r="U4" s="37"/>
      <c r="V4" s="37"/>
      <c r="W4" s="37"/>
    </row>
    <row r="5" spans="1:55" ht="13.8" thickBot="1" x14ac:dyDescent="0.3">
      <c r="K5" s="37"/>
      <c r="L5" s="37"/>
      <c r="M5" s="37"/>
      <c r="N5" s="37"/>
      <c r="U5" s="37"/>
      <c r="V5" s="37"/>
      <c r="W5" s="37"/>
    </row>
    <row r="6" spans="1:55" s="39" customFormat="1" ht="32.25" customHeight="1" thickBot="1" x14ac:dyDescent="0.3">
      <c r="A6" s="1695" t="s">
        <v>784</v>
      </c>
      <c r="B6" s="1701" t="s">
        <v>785</v>
      </c>
      <c r="C6" s="1704"/>
      <c r="D6" s="1703"/>
      <c r="E6" s="1711" t="s">
        <v>542</v>
      </c>
      <c r="F6" s="1702"/>
      <c r="G6" s="1702"/>
      <c r="H6" s="1701" t="s">
        <v>543</v>
      </c>
      <c r="I6" s="1704"/>
      <c r="J6" s="1703"/>
      <c r="K6" s="1701" t="s">
        <v>544</v>
      </c>
      <c r="L6" s="1702"/>
      <c r="M6" s="1703"/>
      <c r="N6" s="1695" t="s">
        <v>784</v>
      </c>
      <c r="O6" s="1701" t="s">
        <v>545</v>
      </c>
      <c r="P6" s="1702"/>
      <c r="Q6" s="1703"/>
      <c r="R6" s="1701" t="s">
        <v>546</v>
      </c>
      <c r="S6" s="1702"/>
      <c r="T6" s="1703"/>
      <c r="U6" s="1698" t="s">
        <v>547</v>
      </c>
      <c r="V6" s="1699"/>
      <c r="W6" s="1699"/>
      <c r="X6" s="1707" t="s">
        <v>306</v>
      </c>
      <c r="Y6" s="1708"/>
      <c r="Z6" s="1709"/>
      <c r="AA6" s="1692"/>
      <c r="AB6" s="1710"/>
    </row>
    <row r="7" spans="1:55" s="39" customFormat="1" ht="32.25" customHeight="1" thickBot="1" x14ac:dyDescent="0.3">
      <c r="A7" s="1696"/>
      <c r="B7" s="1226"/>
      <c r="C7" s="1229"/>
      <c r="D7" s="1228"/>
      <c r="E7" s="1230"/>
      <c r="F7" s="1227"/>
      <c r="G7" s="1227"/>
      <c r="H7" s="1226"/>
      <c r="I7" s="1229"/>
      <c r="J7" s="1228"/>
      <c r="K7" s="1226"/>
      <c r="L7" s="1227"/>
      <c r="M7" s="1228"/>
      <c r="N7" s="1696"/>
      <c r="O7" s="1226"/>
      <c r="P7" s="1227"/>
      <c r="Q7" s="1228"/>
      <c r="R7" s="1226"/>
      <c r="S7" s="1227"/>
      <c r="T7" s="1228"/>
      <c r="U7" s="1224"/>
      <c r="V7" s="1225"/>
      <c r="W7" s="1713" t="s">
        <v>358</v>
      </c>
      <c r="X7" s="1707" t="s">
        <v>307</v>
      </c>
      <c r="Y7" s="1690" t="s">
        <v>308</v>
      </c>
      <c r="Z7" s="1691"/>
      <c r="AA7" s="1692" t="s">
        <v>986</v>
      </c>
      <c r="AB7" s="1693"/>
    </row>
    <row r="8" spans="1:55" s="40" customFormat="1" ht="63.75" customHeight="1" thickBot="1" x14ac:dyDescent="0.3">
      <c r="A8" s="1697"/>
      <c r="B8" s="886" t="s">
        <v>191</v>
      </c>
      <c r="C8" s="887" t="s">
        <v>357</v>
      </c>
      <c r="D8" s="888" t="s">
        <v>358</v>
      </c>
      <c r="E8" s="852" t="s">
        <v>191</v>
      </c>
      <c r="F8" s="767" t="s">
        <v>357</v>
      </c>
      <c r="G8" s="853" t="s">
        <v>358</v>
      </c>
      <c r="H8" s="852" t="s">
        <v>191</v>
      </c>
      <c r="I8" s="767" t="s">
        <v>357</v>
      </c>
      <c r="J8" s="853" t="s">
        <v>358</v>
      </c>
      <c r="K8" s="852" t="s">
        <v>191</v>
      </c>
      <c r="L8" s="767" t="s">
        <v>357</v>
      </c>
      <c r="M8" s="853" t="s">
        <v>358</v>
      </c>
      <c r="N8" s="1697"/>
      <c r="O8" s="852" t="s">
        <v>191</v>
      </c>
      <c r="P8" s="767" t="s">
        <v>357</v>
      </c>
      <c r="Q8" s="853" t="s">
        <v>358</v>
      </c>
      <c r="R8" s="852" t="s">
        <v>191</v>
      </c>
      <c r="S8" s="767" t="s">
        <v>357</v>
      </c>
      <c r="T8" s="853" t="s">
        <v>358</v>
      </c>
      <c r="U8" s="852" t="s">
        <v>191</v>
      </c>
      <c r="V8" s="767" t="s">
        <v>357</v>
      </c>
      <c r="W8" s="1714"/>
      <c r="X8" s="1712"/>
      <c r="Y8" s="760" t="s">
        <v>1013</v>
      </c>
      <c r="Z8" s="760" t="s">
        <v>1014</v>
      </c>
      <c r="AA8" s="760" t="s">
        <v>1013</v>
      </c>
      <c r="AB8" s="760" t="s">
        <v>1014</v>
      </c>
    </row>
    <row r="9" spans="1:55" s="44" customFormat="1" ht="27.6" x14ac:dyDescent="0.25">
      <c r="A9" s="880" t="s">
        <v>666</v>
      </c>
      <c r="B9" s="374">
        <f>'2c. tábla 2018.'!G88</f>
        <v>16804480</v>
      </c>
      <c r="C9" s="359">
        <f>'2c. tábla 2018.'!J88</f>
        <v>19870124</v>
      </c>
      <c r="D9" s="889">
        <f>C9-B9</f>
        <v>3065644</v>
      </c>
      <c r="E9" s="403">
        <f>'2.a tábla ÚJ '!B50-'3.sz. tábla  (2)'!B9</f>
        <v>53143754</v>
      </c>
      <c r="F9" s="403">
        <f>'2.a tábla ÚJ '!C50-'3.sz. tábla  (2)'!C9</f>
        <v>51462118</v>
      </c>
      <c r="G9" s="889">
        <f>F9-E9</f>
        <v>-1681636</v>
      </c>
      <c r="H9" s="374">
        <f>B9+E9</f>
        <v>69948234</v>
      </c>
      <c r="I9" s="359">
        <f>C9+F9</f>
        <v>71332242</v>
      </c>
      <c r="J9" s="889">
        <f>I9-H9</f>
        <v>1384008</v>
      </c>
      <c r="K9" s="359">
        <f>'2.a tábla ÚJ '!B44</f>
        <v>13118271</v>
      </c>
      <c r="L9" s="359">
        <f>'2.a tábla ÚJ '!C44</f>
        <v>13118271</v>
      </c>
      <c r="M9" s="889">
        <f>L9-K9</f>
        <v>0</v>
      </c>
      <c r="N9" s="231" t="s">
        <v>666</v>
      </c>
      <c r="O9" s="359">
        <f>'2.a tábla ÚJ '!B46</f>
        <v>90498</v>
      </c>
      <c r="P9" s="359">
        <f>'2.a tábla ÚJ '!C46</f>
        <v>2938295</v>
      </c>
      <c r="Q9" s="889">
        <f>P9-O9</f>
        <v>2847797</v>
      </c>
      <c r="R9" s="374"/>
      <c r="S9" s="359"/>
      <c r="T9" s="892"/>
      <c r="U9" s="376">
        <f t="shared" ref="U9:V11" si="0">H9+K9+O9+R9</f>
        <v>83157003</v>
      </c>
      <c r="V9" s="377">
        <f t="shared" si="0"/>
        <v>87388808</v>
      </c>
      <c r="W9" s="889">
        <f>V9-U9</f>
        <v>4231805</v>
      </c>
      <c r="X9" s="1147">
        <f>V9-Y9-Z9</f>
        <v>57933806</v>
      </c>
      <c r="Y9" s="1149">
        <f>9344000+705300</f>
        <v>10049300</v>
      </c>
      <c r="Z9" s="1149">
        <f>'4.sz.tábla '!AP6-'3.sz. tábla  (2)'!Y9</f>
        <v>19405702</v>
      </c>
      <c r="AA9" s="1235"/>
      <c r="AB9" s="762"/>
      <c r="AC9" s="797">
        <f>SUM(X9:AB9)</f>
        <v>87388808</v>
      </c>
      <c r="AD9" s="42"/>
      <c r="AE9" s="43"/>
      <c r="AF9" s="42"/>
      <c r="AG9" s="42"/>
      <c r="AH9" s="42"/>
      <c r="AI9" s="43"/>
      <c r="AJ9" s="43"/>
      <c r="AK9" s="43"/>
      <c r="AL9" s="43"/>
      <c r="AM9" s="43"/>
      <c r="AO9" s="41"/>
      <c r="AP9" s="43"/>
      <c r="AQ9" s="43"/>
      <c r="AR9" s="41"/>
      <c r="AS9" s="43"/>
      <c r="AT9" s="43"/>
      <c r="AU9" s="43"/>
      <c r="AV9" s="43"/>
      <c r="AW9" s="43"/>
      <c r="AX9" s="43"/>
      <c r="AY9" s="43"/>
      <c r="AZ9" s="43"/>
      <c r="BA9" s="43"/>
    </row>
    <row r="10" spans="1:55" ht="27.6" x14ac:dyDescent="0.25">
      <c r="A10" s="881" t="s">
        <v>128</v>
      </c>
      <c r="B10" s="186">
        <f>'2c. tábla 2018.'!G91</f>
        <v>0</v>
      </c>
      <c r="C10" s="97">
        <f>'2c. tábla 2018.'!J91</f>
        <v>566064</v>
      </c>
      <c r="D10" s="470">
        <f t="shared" ref="D10:D16" si="1">C10-B10</f>
        <v>566064</v>
      </c>
      <c r="E10" s="399">
        <f>'2.a tábla ÚJ '!E50-'3.sz. tábla  (2)'!B10</f>
        <v>47490565</v>
      </c>
      <c r="F10" s="399">
        <f>'2.a tábla ÚJ '!F50-'3.sz. tábla  (2)'!C10</f>
        <v>43372599</v>
      </c>
      <c r="G10" s="470">
        <f t="shared" ref="G10:G16" si="2">F10-E10</f>
        <v>-4117966</v>
      </c>
      <c r="H10" s="186">
        <f>B10+E10</f>
        <v>47490565</v>
      </c>
      <c r="I10" s="97">
        <f>C10+F10</f>
        <v>43938663</v>
      </c>
      <c r="J10" s="470">
        <f t="shared" ref="J10:J16" si="3">I10-H10</f>
        <v>-3551902</v>
      </c>
      <c r="K10" s="97">
        <f>'2.a tábla ÚJ '!E44</f>
        <v>153438941</v>
      </c>
      <c r="L10" s="97">
        <v>156566855</v>
      </c>
      <c r="M10" s="470">
        <f t="shared" ref="M10:M16" si="4">L10-K10</f>
        <v>3127914</v>
      </c>
      <c r="N10" s="210" t="s">
        <v>128</v>
      </c>
      <c r="O10" s="97">
        <f>'2.a tábla ÚJ '!E46</f>
        <v>271494</v>
      </c>
      <c r="P10" s="97">
        <f>'2.a tábla ÚJ '!F46</f>
        <v>9314574</v>
      </c>
      <c r="Q10" s="470">
        <f t="shared" ref="Q10:Q16" si="5">P10-O10</f>
        <v>9043080</v>
      </c>
      <c r="R10" s="186"/>
      <c r="S10" s="97"/>
      <c r="T10" s="893"/>
      <c r="U10" s="188">
        <f t="shared" si="0"/>
        <v>201201000</v>
      </c>
      <c r="V10" s="98">
        <f t="shared" si="0"/>
        <v>209820092</v>
      </c>
      <c r="W10" s="470">
        <f t="shared" ref="W10:W16" si="6">V10-U10</f>
        <v>8619092</v>
      </c>
      <c r="X10" s="1147">
        <f t="shared" ref="X10:X11" si="7">V10-Y10-Z10</f>
        <v>108955801</v>
      </c>
      <c r="Y10" s="1235">
        <f>53893000+22769000+176762+157878+700000</f>
        <v>77696640</v>
      </c>
      <c r="Z10" s="1150">
        <f>'4.sz.tábla '!AP7-'3.sz. tábla  (2)'!Y10</f>
        <v>23167651</v>
      </c>
      <c r="AA10" s="1236"/>
      <c r="AB10" s="484"/>
      <c r="AC10" s="797">
        <f t="shared" ref="AC10:AC15" si="8">SUM(X10:AB10)</f>
        <v>209820092</v>
      </c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O10" s="17"/>
      <c r="AP10" s="45"/>
      <c r="AQ10" s="45"/>
      <c r="AR10" s="17"/>
      <c r="AS10" s="45"/>
      <c r="AT10" s="45"/>
      <c r="AU10" s="45"/>
      <c r="AV10" s="45"/>
      <c r="AW10" s="45"/>
      <c r="AX10" s="45"/>
      <c r="AY10" s="45"/>
      <c r="AZ10" s="45"/>
      <c r="BA10" s="45"/>
    </row>
    <row r="11" spans="1:55" s="50" customFormat="1" ht="28.5" customHeight="1" x14ac:dyDescent="0.25">
      <c r="A11" s="882" t="s">
        <v>129</v>
      </c>
      <c r="B11" s="186">
        <f>'2c. tábla 2018.'!G63</f>
        <v>30247213</v>
      </c>
      <c r="C11" s="97">
        <f>'2c. tábla 2018.'!J63</f>
        <v>32089822</v>
      </c>
      <c r="D11" s="470">
        <f t="shared" si="1"/>
        <v>1842609</v>
      </c>
      <c r="E11" s="399">
        <f>'2.a tábla ÚJ '!H50-'3.sz. tábla  (2)'!B11</f>
        <v>31619752</v>
      </c>
      <c r="F11" s="399">
        <f>'2.a tábla ÚJ '!I50-'3.sz. tábla  (2)'!C11</f>
        <v>28250333</v>
      </c>
      <c r="G11" s="470">
        <f t="shared" si="2"/>
        <v>-3369419</v>
      </c>
      <c r="H11" s="186">
        <f>SUM(B11+E11)</f>
        <v>61866965</v>
      </c>
      <c r="I11" s="97">
        <f>SUM(C11+F11)</f>
        <v>60340155</v>
      </c>
      <c r="J11" s="470">
        <f t="shared" si="3"/>
        <v>-1526810</v>
      </c>
      <c r="K11" s="97">
        <f>'2.a tábla ÚJ '!H44</f>
        <v>2827953</v>
      </c>
      <c r="L11" s="97">
        <f>'2.a tábla ÚJ '!I44</f>
        <v>2827953</v>
      </c>
      <c r="M11" s="470">
        <f t="shared" si="4"/>
        <v>0</v>
      </c>
      <c r="N11" s="232" t="s">
        <v>129</v>
      </c>
      <c r="O11" s="97">
        <f>'2.a tábla ÚJ '!H46</f>
        <v>90498</v>
      </c>
      <c r="P11" s="97">
        <f>'2.a tábla ÚJ '!I46</f>
        <v>5011083</v>
      </c>
      <c r="Q11" s="470">
        <f t="shared" si="5"/>
        <v>4920585</v>
      </c>
      <c r="R11" s="186"/>
      <c r="S11" s="97"/>
      <c r="T11" s="894"/>
      <c r="U11" s="188">
        <f t="shared" si="0"/>
        <v>64785416</v>
      </c>
      <c r="V11" s="98">
        <f t="shared" si="0"/>
        <v>68179191</v>
      </c>
      <c r="W11" s="470">
        <f t="shared" si="6"/>
        <v>3393775</v>
      </c>
      <c r="X11" s="1147">
        <f t="shared" si="7"/>
        <v>64183513</v>
      </c>
      <c r="Y11" s="1236">
        <v>0</v>
      </c>
      <c r="Z11" s="1150">
        <f>'4.sz.tábla '!AP8-'3.sz. tábla  (2)'!Y11</f>
        <v>3995678</v>
      </c>
      <c r="AA11" s="360"/>
      <c r="AB11" s="763"/>
      <c r="AC11" s="797">
        <f t="shared" si="8"/>
        <v>68179191</v>
      </c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O11" s="48"/>
      <c r="AP11" s="49"/>
      <c r="AQ11" s="49"/>
      <c r="AR11" s="48"/>
      <c r="AS11" s="49"/>
      <c r="AT11" s="49"/>
      <c r="AU11" s="49"/>
      <c r="AV11" s="49"/>
      <c r="AW11" s="49"/>
      <c r="AX11" s="49"/>
      <c r="AY11" s="49"/>
      <c r="AZ11" s="49"/>
      <c r="BA11" s="49"/>
    </row>
    <row r="12" spans="1:55" s="14" customFormat="1" ht="27.75" customHeight="1" x14ac:dyDescent="0.25">
      <c r="A12" s="883" t="s">
        <v>549</v>
      </c>
      <c r="B12" s="187">
        <f>B9+B10+B11</f>
        <v>47051693</v>
      </c>
      <c r="C12" s="100">
        <f>C9+C10+C11</f>
        <v>52526010</v>
      </c>
      <c r="D12" s="473">
        <f t="shared" si="1"/>
        <v>5474317</v>
      </c>
      <c r="E12" s="164">
        <f>E9+E10+E11</f>
        <v>132254071</v>
      </c>
      <c r="F12" s="164">
        <f>F9+F10+F11</f>
        <v>123085050</v>
      </c>
      <c r="G12" s="473">
        <f t="shared" si="2"/>
        <v>-9169021</v>
      </c>
      <c r="H12" s="187">
        <f>H9+H10+H11</f>
        <v>179305764</v>
      </c>
      <c r="I12" s="100">
        <f>I9+I10+I11</f>
        <v>175611060</v>
      </c>
      <c r="J12" s="473">
        <f t="shared" si="3"/>
        <v>-3694704</v>
      </c>
      <c r="K12" s="100">
        <f>K9+K10+K11</f>
        <v>169385165</v>
      </c>
      <c r="L12" s="100">
        <f>L9+L10+L11</f>
        <v>172513079</v>
      </c>
      <c r="M12" s="473">
        <f t="shared" si="4"/>
        <v>3127914</v>
      </c>
      <c r="N12" s="211" t="s">
        <v>549</v>
      </c>
      <c r="O12" s="100">
        <f>O9+O10+O11</f>
        <v>452490</v>
      </c>
      <c r="P12" s="100">
        <f>P9+P10+P11</f>
        <v>17263952</v>
      </c>
      <c r="Q12" s="473">
        <f t="shared" si="5"/>
        <v>16811462</v>
      </c>
      <c r="R12" s="187"/>
      <c r="S12" s="100"/>
      <c r="T12" s="895"/>
      <c r="U12" s="187">
        <f>U9+U10+U11</f>
        <v>349143419</v>
      </c>
      <c r="V12" s="100">
        <f>V9+V10+V11</f>
        <v>365388091</v>
      </c>
      <c r="W12" s="473">
        <f t="shared" si="6"/>
        <v>16244672</v>
      </c>
      <c r="X12" s="1148">
        <f>SUM(X9:X11)</f>
        <v>231073120</v>
      </c>
      <c r="Y12" s="165">
        <f t="shared" ref="Y12:Z12" si="9">SUM(Y9:Y11)</f>
        <v>87745940</v>
      </c>
      <c r="Z12" s="100">
        <f t="shared" si="9"/>
        <v>46569031</v>
      </c>
      <c r="AA12" s="165"/>
      <c r="AB12" s="234">
        <f>SUM(AB9:AB11)</f>
        <v>0</v>
      </c>
      <c r="AC12" s="51">
        <f t="shared" si="8"/>
        <v>365388091</v>
      </c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O12" s="13"/>
      <c r="AP12" s="51"/>
      <c r="AQ12" s="51"/>
      <c r="AR12" s="13"/>
      <c r="AS12" s="51"/>
      <c r="AT12" s="51"/>
      <c r="AU12" s="51"/>
      <c r="AV12" s="51"/>
      <c r="AW12" s="51"/>
      <c r="AX12" s="51"/>
      <c r="AY12" s="51"/>
      <c r="AZ12" s="51"/>
      <c r="BA12" s="51"/>
    </row>
    <row r="13" spans="1:55" s="52" customFormat="1" ht="27.6" x14ac:dyDescent="0.25">
      <c r="A13" s="884" t="s">
        <v>665</v>
      </c>
      <c r="B13" s="186">
        <f>'2c. tábla 2018.'!G82</f>
        <v>180406200</v>
      </c>
      <c r="C13" s="97">
        <f>'2c. tábla 2018.'!J82</f>
        <v>180741767</v>
      </c>
      <c r="D13" s="470">
        <f t="shared" si="1"/>
        <v>335567</v>
      </c>
      <c r="E13" s="399">
        <f>'2.a tábla ÚJ '!O50-'3.sz. tábla  (2)'!B13</f>
        <v>211720876</v>
      </c>
      <c r="F13" s="399">
        <f>'2.a tábla ÚJ '!P50-'3.sz. tábla  (2)'!C13</f>
        <v>197136761</v>
      </c>
      <c r="G13" s="470">
        <f t="shared" si="2"/>
        <v>-14584115</v>
      </c>
      <c r="H13" s="186">
        <f>B13+E13</f>
        <v>392127076</v>
      </c>
      <c r="I13" s="97">
        <f>C13+F13</f>
        <v>377878528</v>
      </c>
      <c r="J13" s="470">
        <f t="shared" si="3"/>
        <v>-14248548</v>
      </c>
      <c r="K13" s="97">
        <f>'2.a tábla ÚJ '!O44</f>
        <v>49017493</v>
      </c>
      <c r="L13" s="97">
        <f>'2.a tábla ÚJ '!P44</f>
        <v>59162323</v>
      </c>
      <c r="M13" s="470">
        <f t="shared" si="4"/>
        <v>10144830</v>
      </c>
      <c r="N13" s="233" t="s">
        <v>665</v>
      </c>
      <c r="O13" s="97">
        <f>'2.a tábla ÚJ '!O46</f>
        <v>0</v>
      </c>
      <c r="P13" s="97">
        <f>'2.a tábla ÚJ '!P46</f>
        <v>36290988</v>
      </c>
      <c r="Q13" s="470">
        <f t="shared" si="5"/>
        <v>36290988</v>
      </c>
      <c r="R13" s="186"/>
      <c r="S13" s="97"/>
      <c r="T13" s="896"/>
      <c r="U13" s="188">
        <f>H13+K13+O13+R13</f>
        <v>441144569</v>
      </c>
      <c r="V13" s="98">
        <f>I13+L13+P13+S13</f>
        <v>473331839</v>
      </c>
      <c r="W13" s="470">
        <f t="shared" si="6"/>
        <v>32187270</v>
      </c>
      <c r="X13" s="1264">
        <f>V13-Y13-Z13-AA13-AB13</f>
        <v>358532756</v>
      </c>
      <c r="Y13" s="1265"/>
      <c r="Z13" s="1262"/>
      <c r="AA13" s="1265">
        <f>'9. sz. tábla (2)'!C84+'9. sz. tábla (2)'!C93</f>
        <v>67293581.468499988</v>
      </c>
      <c r="AB13" s="1263">
        <f>'4.sz.tábla '!AQ10-'3.sz. tábla  (2)'!AA13</f>
        <v>47505501.531500012</v>
      </c>
      <c r="AC13" s="797">
        <f>SUM(X13:AB13)</f>
        <v>473331839</v>
      </c>
    </row>
    <row r="14" spans="1:55" s="14" customFormat="1" ht="28.2" thickBot="1" x14ac:dyDescent="0.3">
      <c r="A14" s="885" t="s">
        <v>548</v>
      </c>
      <c r="B14" s="466">
        <f>SUM(B12:B13)</f>
        <v>227457893</v>
      </c>
      <c r="C14" s="467">
        <f>SUM(C12:C13)</f>
        <v>233267777</v>
      </c>
      <c r="D14" s="471">
        <f t="shared" si="1"/>
        <v>5809884</v>
      </c>
      <c r="E14" s="748">
        <f>SUM(E12:E13)</f>
        <v>343974947</v>
      </c>
      <c r="F14" s="748">
        <f>SUM(F12:F13)</f>
        <v>320221811</v>
      </c>
      <c r="G14" s="471">
        <f t="shared" si="2"/>
        <v>-23753136</v>
      </c>
      <c r="H14" s="466">
        <f>SUM(H12:H13)</f>
        <v>571432840</v>
      </c>
      <c r="I14" s="467">
        <f>SUM(I12:I13)</f>
        <v>553489588</v>
      </c>
      <c r="J14" s="471">
        <f t="shared" si="3"/>
        <v>-17943252</v>
      </c>
      <c r="K14" s="746">
        <f>SUM(K12:K13)</f>
        <v>218402658</v>
      </c>
      <c r="L14" s="746">
        <f>SUM(L12:L13)</f>
        <v>231675402</v>
      </c>
      <c r="M14" s="471">
        <f t="shared" si="4"/>
        <v>13272744</v>
      </c>
      <c r="N14" s="753" t="s">
        <v>548</v>
      </c>
      <c r="O14" s="746">
        <f>SUM(O12:O13)</f>
        <v>452490</v>
      </c>
      <c r="P14" s="746">
        <f>SUM(P12:P13)</f>
        <v>53554940</v>
      </c>
      <c r="Q14" s="471">
        <f t="shared" si="5"/>
        <v>53102450</v>
      </c>
      <c r="R14" s="466"/>
      <c r="S14" s="467"/>
      <c r="T14" s="897"/>
      <c r="U14" s="466">
        <f>SUM(U12:U13)</f>
        <v>790287988</v>
      </c>
      <c r="V14" s="467">
        <f>SUM(V12:V13)</f>
        <v>838719930</v>
      </c>
      <c r="W14" s="471">
        <f t="shared" si="6"/>
        <v>48431942</v>
      </c>
      <c r="X14" s="754">
        <f>SUM(X12:X13)</f>
        <v>589605876</v>
      </c>
      <c r="Y14" s="1233">
        <f>SUM(Y12:Y13)</f>
        <v>87745940</v>
      </c>
      <c r="Z14" s="467">
        <f>SUM(Z12:Z13)</f>
        <v>46569031</v>
      </c>
      <c r="AA14" s="467">
        <f t="shared" ref="AA14:AB14" si="10">SUM(AA12:AA13)</f>
        <v>67293581.468499988</v>
      </c>
      <c r="AB14" s="467">
        <f t="shared" si="10"/>
        <v>47505501.531500012</v>
      </c>
      <c r="AC14" s="51">
        <f>SUM(X14:AB14)</f>
        <v>838719930</v>
      </c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O14" s="13"/>
      <c r="AP14" s="51"/>
      <c r="AQ14" s="51"/>
      <c r="AR14" s="13"/>
      <c r="AS14" s="51"/>
      <c r="AT14" s="51"/>
      <c r="AU14" s="51"/>
      <c r="AV14" s="51"/>
      <c r="AW14" s="51"/>
      <c r="AX14" s="51"/>
      <c r="AY14" s="51"/>
      <c r="AZ14" s="51"/>
      <c r="BA14" s="51"/>
    </row>
    <row r="15" spans="1:55" ht="14.4" thickBot="1" x14ac:dyDescent="0.3">
      <c r="A15" s="504" t="s">
        <v>899</v>
      </c>
      <c r="B15" s="505">
        <f>B18-B14</f>
        <v>685727664</v>
      </c>
      <c r="C15" s="505">
        <f>C18-C14</f>
        <v>696903561</v>
      </c>
      <c r="D15" s="891">
        <f t="shared" si="1"/>
        <v>11175897</v>
      </c>
      <c r="E15" s="890">
        <f>-E14</f>
        <v>-343974947</v>
      </c>
      <c r="F15" s="890">
        <f>-F14</f>
        <v>-320221811</v>
      </c>
      <c r="G15" s="891">
        <f t="shared" si="2"/>
        <v>23753136</v>
      </c>
      <c r="H15" s="751"/>
      <c r="I15" s="751"/>
      <c r="J15" s="891">
        <f t="shared" si="3"/>
        <v>0</v>
      </c>
      <c r="K15" s="515">
        <f>'2.sz.tábla   (2)'!B92-'2.sz.tábla   (2)'!B79-'2.sz.tábla   (2)'!B76-'2.sz.tábla   (2)'!B8-'2.sz.tábla   (2)'!B23</f>
        <v>6009561215</v>
      </c>
      <c r="L15" s="515">
        <f>'2.sz.tábla   (2)'!C92-'2.sz.tábla   (2)'!C79-'2.sz.tábla   (2)'!C76-'2.sz.tábla   (2)'!C8-'2.sz.tábla   (2)'!C23</f>
        <v>6251798081</v>
      </c>
      <c r="M15" s="891">
        <f t="shared" si="4"/>
        <v>242236866</v>
      </c>
      <c r="N15" s="755" t="s">
        <v>899</v>
      </c>
      <c r="O15" s="515">
        <f>'2.sz.tábla   (2)'!B76</f>
        <v>1354099089</v>
      </c>
      <c r="P15" s="515">
        <f>'2.sz.tábla   (2)'!C76</f>
        <v>1637823773</v>
      </c>
      <c r="Q15" s="891">
        <f t="shared" si="5"/>
        <v>283724684</v>
      </c>
      <c r="R15" s="756">
        <f>'2.sz.tábla   (2)'!B79</f>
        <v>1012800000</v>
      </c>
      <c r="S15" s="756">
        <f>'2.sz.tábla   (2)'!C79</f>
        <v>1669499723</v>
      </c>
      <c r="T15" s="891">
        <f>S15-R15</f>
        <v>656699723</v>
      </c>
      <c r="U15" s="758">
        <f>H15+K15+O15+R15+E15+B15</f>
        <v>8718213021</v>
      </c>
      <c r="V15" s="758">
        <f>I15+L15+P15+S15+F15+C15</f>
        <v>9935803327</v>
      </c>
      <c r="W15" s="891">
        <f t="shared" si="6"/>
        <v>1217590306</v>
      </c>
      <c r="X15" s="1231"/>
      <c r="Y15" s="758"/>
      <c r="Z15" s="752"/>
      <c r="AA15" s="758"/>
      <c r="AB15" s="757"/>
      <c r="AC15" s="797">
        <f t="shared" si="8"/>
        <v>0</v>
      </c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O15" s="17"/>
      <c r="AP15" s="45"/>
      <c r="AQ15" s="45"/>
      <c r="AR15" s="17"/>
      <c r="AS15" s="45"/>
      <c r="AT15" s="45"/>
      <c r="AU15" s="45"/>
      <c r="AV15" s="45"/>
      <c r="AW15" s="45"/>
      <c r="AX15" s="45"/>
      <c r="AY15" s="45"/>
      <c r="AZ15" s="45"/>
      <c r="BA15" s="45"/>
    </row>
    <row r="16" spans="1:55" s="14" customFormat="1" ht="14.4" thickBot="1" x14ac:dyDescent="0.3">
      <c r="A16" s="477" t="s">
        <v>550</v>
      </c>
      <c r="B16" s="749">
        <f>SUM(B14:B15)</f>
        <v>913185557</v>
      </c>
      <c r="C16" s="749">
        <f>SUM(C14:C15)</f>
        <v>930171338</v>
      </c>
      <c r="D16" s="898">
        <f t="shared" si="1"/>
        <v>16985781</v>
      </c>
      <c r="E16" s="750">
        <f>SUM(E14:E15)</f>
        <v>0</v>
      </c>
      <c r="F16" s="750">
        <f>SUM(F14:F15)</f>
        <v>0</v>
      </c>
      <c r="G16" s="898">
        <f t="shared" si="2"/>
        <v>0</v>
      </c>
      <c r="H16" s="749">
        <f>SUM(H14:H15)</f>
        <v>571432840</v>
      </c>
      <c r="I16" s="749">
        <f>SUM(I14:I15)</f>
        <v>553489588</v>
      </c>
      <c r="J16" s="898">
        <f t="shared" si="3"/>
        <v>-17943252</v>
      </c>
      <c r="K16" s="401">
        <f>SUM(K14:K15)</f>
        <v>6227963873</v>
      </c>
      <c r="L16" s="401">
        <f>SUM(L14:L15)</f>
        <v>6483473483</v>
      </c>
      <c r="M16" s="898">
        <f t="shared" si="4"/>
        <v>255509610</v>
      </c>
      <c r="N16" s="477" t="s">
        <v>550</v>
      </c>
      <c r="O16" s="212">
        <f>SUM(O14:O15)</f>
        <v>1354551579</v>
      </c>
      <c r="P16" s="212">
        <f>SUM(P14:P15)</f>
        <v>1691378713</v>
      </c>
      <c r="Q16" s="898">
        <f t="shared" si="5"/>
        <v>336827134</v>
      </c>
      <c r="R16" s="212">
        <f>SUM(R14:R15)</f>
        <v>1012800000</v>
      </c>
      <c r="S16" s="212">
        <f>SUM(S14:S15)</f>
        <v>1669499723</v>
      </c>
      <c r="T16" s="898">
        <f>S16-R16</f>
        <v>656699723</v>
      </c>
      <c r="U16" s="401">
        <f>SUM(U14:U15)</f>
        <v>9508501009</v>
      </c>
      <c r="V16" s="401">
        <f>SUM(V14:V15)</f>
        <v>10774523257</v>
      </c>
      <c r="W16" s="898">
        <f t="shared" si="6"/>
        <v>1266022248</v>
      </c>
      <c r="X16" s="1232"/>
      <c r="Y16" s="1234"/>
      <c r="Z16" s="1239"/>
      <c r="AA16" s="1240"/>
      <c r="AB16" s="1240"/>
      <c r="AC16" s="51">
        <f>SUM(X16:AB16)</f>
        <v>0</v>
      </c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Q16" s="13"/>
      <c r="AR16" s="51"/>
      <c r="AS16" s="51"/>
      <c r="AT16" s="13"/>
      <c r="AU16" s="51"/>
      <c r="AV16" s="51"/>
      <c r="AW16" s="51"/>
      <c r="AX16" s="51"/>
      <c r="AY16" s="51"/>
      <c r="AZ16" s="51"/>
      <c r="BA16" s="51"/>
      <c r="BB16" s="51"/>
      <c r="BC16" s="51"/>
    </row>
    <row r="17" spans="2:23" x14ac:dyDescent="0.25">
      <c r="C17" s="38"/>
      <c r="V17" s="83"/>
      <c r="W17" s="38">
        <f>'2.sz.tábla   (2)'!K92-'3.sz. tábla  (2)'!U16</f>
        <v>0</v>
      </c>
    </row>
    <row r="18" spans="2:23" x14ac:dyDescent="0.25">
      <c r="B18" s="38">
        <v>913185557</v>
      </c>
      <c r="C18" s="38">
        <f>'2c. tábla 2018.'!J119</f>
        <v>930171338</v>
      </c>
      <c r="D18" s="38">
        <f>'2c. tábla 2018.'!I119</f>
        <v>16985781</v>
      </c>
    </row>
  </sheetData>
  <sheetProtection selectLockedCells="1" selectUnlockedCells="1"/>
  <mergeCells count="20">
    <mergeCell ref="K6:M6"/>
    <mergeCell ref="N6:N8"/>
    <mergeCell ref="X7:X8"/>
    <mergeCell ref="W7:W8"/>
    <mergeCell ref="Y7:Z7"/>
    <mergeCell ref="AA7:AB7"/>
    <mergeCell ref="A1:K1"/>
    <mergeCell ref="A6:A8"/>
    <mergeCell ref="M2:W2"/>
    <mergeCell ref="U6:W6"/>
    <mergeCell ref="O1:W1"/>
    <mergeCell ref="A2:K2"/>
    <mergeCell ref="O6:Q6"/>
    <mergeCell ref="R6:T6"/>
    <mergeCell ref="B6:D6"/>
    <mergeCell ref="A3:J3"/>
    <mergeCell ref="K3:AB3"/>
    <mergeCell ref="X6:AB6"/>
    <mergeCell ref="E6:G6"/>
    <mergeCell ref="H6:J6"/>
  </mergeCells>
  <phoneticPr fontId="27" type="noConversion"/>
  <printOptions horizontalCentered="1"/>
  <pageMargins left="0.25" right="0.25" top="0.75" bottom="0.75" header="0.3" footer="0.3"/>
  <pageSetup paperSize="9" scale="45" firstPageNumber="0" fitToWidth="0" fitToHeight="0" orientation="landscape" r:id="rId1"/>
  <headerFooter alignWithMargins="0">
    <oddHeader xml:space="preserve">&amp;C
3. melléklet 
az önkormányzat 2018. évi költségvetéséről szóló 11/2018. (III.01.) önkormányzati rendelethez&amp;R
&amp;P. oldal
</oddHeader>
  </headerFooter>
  <colBreaks count="1" manualBreakCount="1">
    <brk id="13" max="1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0"/>
  </sheetPr>
  <dimension ref="A1:AR40"/>
  <sheetViews>
    <sheetView view="pageLayout" topLeftCell="A4" zoomScaleNormal="100" zoomScaleSheetLayoutView="89" workbookViewId="0">
      <selection activeCell="AO16" sqref="AO16"/>
    </sheetView>
  </sheetViews>
  <sheetFormatPr defaultColWidth="9.109375" defaultRowHeight="13.2" x14ac:dyDescent="0.25"/>
  <cols>
    <col min="1" max="1" width="23.44140625" style="11" customWidth="1"/>
    <col min="2" max="4" width="13.33203125" style="11" customWidth="1"/>
    <col min="5" max="7" width="13.44140625" style="11" customWidth="1"/>
    <col min="8" max="8" width="14" style="11" customWidth="1"/>
    <col min="9" max="9" width="15.6640625" style="11" customWidth="1"/>
    <col min="10" max="10" width="16.6640625" style="11" customWidth="1"/>
    <col min="11" max="11" width="12.109375" style="11" customWidth="1"/>
    <col min="12" max="12" width="13.44140625" style="11" customWidth="1"/>
    <col min="13" max="13" width="12.109375" style="11" customWidth="1"/>
    <col min="14" max="17" width="0" style="11" hidden="1" customWidth="1"/>
    <col min="18" max="18" width="24.44140625" style="11" customWidth="1"/>
    <col min="19" max="19" width="14.33203125" style="11" bestFit="1" customWidth="1"/>
    <col min="20" max="20" width="14.109375" style="11" customWidth="1"/>
    <col min="21" max="21" width="16.33203125" style="11" customWidth="1"/>
    <col min="22" max="22" width="14.33203125" style="11" customWidth="1"/>
    <col min="23" max="23" width="16.44140625" style="11" customWidth="1"/>
    <col min="24" max="24" width="16.33203125" style="11" customWidth="1"/>
    <col min="25" max="27" width="13" style="11" customWidth="1"/>
    <col min="28" max="28" width="12.6640625" style="11" customWidth="1"/>
    <col min="29" max="30" width="14.88671875" style="11" customWidth="1"/>
    <col min="31" max="31" width="26.44140625" style="18" customWidth="1"/>
    <col min="32" max="32" width="15.109375" style="11" customWidth="1"/>
    <col min="33" max="33" width="15.33203125" style="11" customWidth="1"/>
    <col min="34" max="34" width="16.33203125" style="11" customWidth="1"/>
    <col min="35" max="36" width="13.6640625" style="11" customWidth="1"/>
    <col min="37" max="38" width="15.33203125" style="11" customWidth="1"/>
    <col min="39" max="39" width="17.33203125" style="11" customWidth="1"/>
    <col min="40" max="40" width="16.6640625" style="11" customWidth="1"/>
    <col min="41" max="41" width="15" style="11" customWidth="1"/>
    <col min="42" max="42" width="14.109375" style="11" customWidth="1"/>
    <col min="43" max="43" width="16.88671875" style="11" customWidth="1"/>
    <col min="44" max="44" width="15.5546875" style="11" customWidth="1"/>
    <col min="45" max="16384" width="9.109375" style="11"/>
  </cols>
  <sheetData>
    <row r="1" spans="1:44" s="1720" customFormat="1" x14ac:dyDescent="0.25">
      <c r="A1" s="1719" t="s">
        <v>138</v>
      </c>
    </row>
    <row r="2" spans="1:44" ht="77.25" customHeight="1" x14ac:dyDescent="0.3">
      <c r="A2" s="1705" t="s">
        <v>139</v>
      </c>
      <c r="B2" s="1705"/>
      <c r="C2" s="1705"/>
      <c r="D2" s="1705"/>
      <c r="E2" s="1705"/>
      <c r="F2" s="1705"/>
      <c r="G2" s="1705"/>
      <c r="H2" s="1705"/>
      <c r="I2" s="1705"/>
      <c r="J2" s="1705"/>
      <c r="K2" s="1705"/>
      <c r="L2" s="1705"/>
      <c r="M2" s="1705"/>
      <c r="R2" s="1705" t="s">
        <v>139</v>
      </c>
      <c r="S2" s="1705"/>
      <c r="T2" s="1705"/>
      <c r="U2" s="1705"/>
      <c r="V2" s="1705"/>
      <c r="W2" s="1705"/>
      <c r="X2" s="1705"/>
      <c r="Y2" s="1705"/>
      <c r="Z2" s="1705"/>
      <c r="AA2" s="1705"/>
      <c r="AB2" s="1705"/>
      <c r="AC2" s="1705"/>
      <c r="AD2" s="1705"/>
      <c r="AE2" s="1705" t="s">
        <v>139</v>
      </c>
      <c r="AF2" s="1705"/>
      <c r="AG2" s="1705"/>
      <c r="AH2" s="1705"/>
      <c r="AI2" s="1705"/>
      <c r="AJ2" s="1705"/>
      <c r="AK2" s="1705"/>
      <c r="AL2" s="1705"/>
      <c r="AM2" s="1705"/>
      <c r="AN2" s="1705"/>
      <c r="AO2" s="1705"/>
      <c r="AP2" s="1705"/>
      <c r="AQ2" s="1705"/>
    </row>
    <row r="3" spans="1:44" ht="13.8" thickBot="1" x14ac:dyDescent="0.3">
      <c r="AF3" s="1715"/>
      <c r="AG3" s="1715"/>
      <c r="AH3" s="1715"/>
      <c r="AI3" s="1715"/>
      <c r="AJ3" s="1715"/>
      <c r="AK3" s="1715"/>
      <c r="AL3" s="1715"/>
      <c r="AM3" s="1715"/>
      <c r="AN3" s="1715"/>
    </row>
    <row r="4" spans="1:44" ht="46.5" customHeight="1" thickBot="1" x14ac:dyDescent="0.3">
      <c r="A4" s="1695" t="s">
        <v>784</v>
      </c>
      <c r="B4" s="1725" t="s">
        <v>551</v>
      </c>
      <c r="C4" s="1725"/>
      <c r="D4" s="1726"/>
      <c r="E4" s="1701" t="s">
        <v>552</v>
      </c>
      <c r="F4" s="1702"/>
      <c r="G4" s="1703"/>
      <c r="H4" s="1728" t="s">
        <v>553</v>
      </c>
      <c r="I4" s="1729"/>
      <c r="J4" s="1730"/>
      <c r="K4" s="1701" t="s">
        <v>554</v>
      </c>
      <c r="L4" s="1702"/>
      <c r="M4" s="1703"/>
      <c r="N4" s="118"/>
      <c r="O4" s="36"/>
      <c r="P4" s="36"/>
      <c r="Q4" s="121"/>
      <c r="R4" s="1695" t="s">
        <v>784</v>
      </c>
      <c r="S4" s="1723" t="s">
        <v>555</v>
      </c>
      <c r="T4" s="1724"/>
      <c r="U4" s="1724"/>
      <c r="V4" s="1722" t="s">
        <v>556</v>
      </c>
      <c r="W4" s="1717"/>
      <c r="X4" s="1717"/>
      <c r="Y4" s="1716" t="s">
        <v>557</v>
      </c>
      <c r="Z4" s="1717"/>
      <c r="AA4" s="1718"/>
      <c r="AB4" s="1698" t="s">
        <v>558</v>
      </c>
      <c r="AC4" s="1699"/>
      <c r="AD4" s="1727"/>
      <c r="AE4" s="1695" t="s">
        <v>784</v>
      </c>
      <c r="AF4" s="1716" t="s">
        <v>559</v>
      </c>
      <c r="AG4" s="1717"/>
      <c r="AH4" s="1717"/>
      <c r="AI4" s="1716" t="s">
        <v>809</v>
      </c>
      <c r="AJ4" s="1717"/>
      <c r="AK4" s="1718"/>
      <c r="AL4" s="1716" t="s">
        <v>560</v>
      </c>
      <c r="AM4" s="1717"/>
      <c r="AN4" s="1718"/>
      <c r="AO4" s="1707" t="s">
        <v>306</v>
      </c>
      <c r="AP4" s="1709"/>
      <c r="AQ4" s="1710"/>
    </row>
    <row r="5" spans="1:44" s="53" customFormat="1" ht="52.5" customHeight="1" thickBot="1" x14ac:dyDescent="0.3">
      <c r="A5" s="1721"/>
      <c r="B5" s="852" t="s">
        <v>191</v>
      </c>
      <c r="C5" s="767" t="s">
        <v>357</v>
      </c>
      <c r="D5" s="853" t="s">
        <v>358</v>
      </c>
      <c r="E5" s="886" t="s">
        <v>191</v>
      </c>
      <c r="F5" s="887" t="s">
        <v>357</v>
      </c>
      <c r="G5" s="888" t="s">
        <v>358</v>
      </c>
      <c r="H5" s="852" t="s">
        <v>191</v>
      </c>
      <c r="I5" s="767" t="s">
        <v>357</v>
      </c>
      <c r="J5" s="853" t="s">
        <v>358</v>
      </c>
      <c r="K5" s="852" t="s">
        <v>191</v>
      </c>
      <c r="L5" s="767" t="s">
        <v>357</v>
      </c>
      <c r="M5" s="853" t="s">
        <v>358</v>
      </c>
      <c r="N5" s="119"/>
      <c r="O5" s="89"/>
      <c r="P5" s="89"/>
      <c r="Q5" s="122"/>
      <c r="R5" s="1697"/>
      <c r="S5" s="852" t="s">
        <v>191</v>
      </c>
      <c r="T5" s="767" t="s">
        <v>357</v>
      </c>
      <c r="U5" s="853" t="s">
        <v>358</v>
      </c>
      <c r="V5" s="852" t="s">
        <v>191</v>
      </c>
      <c r="W5" s="767" t="s">
        <v>357</v>
      </c>
      <c r="X5" s="853" t="s">
        <v>358</v>
      </c>
      <c r="Y5" s="852" t="s">
        <v>191</v>
      </c>
      <c r="Z5" s="767" t="s">
        <v>357</v>
      </c>
      <c r="AA5" s="853" t="s">
        <v>358</v>
      </c>
      <c r="AB5" s="852" t="s">
        <v>191</v>
      </c>
      <c r="AC5" s="767" t="s">
        <v>357</v>
      </c>
      <c r="AD5" s="853" t="s">
        <v>358</v>
      </c>
      <c r="AE5" s="1697"/>
      <c r="AF5" s="852" t="s">
        <v>191</v>
      </c>
      <c r="AG5" s="767" t="s">
        <v>357</v>
      </c>
      <c r="AH5" s="853" t="s">
        <v>358</v>
      </c>
      <c r="AI5" s="852" t="s">
        <v>191</v>
      </c>
      <c r="AJ5" s="767" t="s">
        <v>357</v>
      </c>
      <c r="AK5" s="853" t="s">
        <v>358</v>
      </c>
      <c r="AL5" s="852" t="s">
        <v>191</v>
      </c>
      <c r="AM5" s="767" t="s">
        <v>357</v>
      </c>
      <c r="AN5" s="853" t="s">
        <v>358</v>
      </c>
      <c r="AO5" s="759" t="s">
        <v>307</v>
      </c>
      <c r="AP5" s="760" t="s">
        <v>308</v>
      </c>
      <c r="AQ5" s="761" t="s">
        <v>986</v>
      </c>
    </row>
    <row r="6" spans="1:44" s="44" customFormat="1" ht="28.5" customHeight="1" x14ac:dyDescent="0.25">
      <c r="A6" s="849" t="s">
        <v>666</v>
      </c>
      <c r="B6" s="374">
        <v>43132335</v>
      </c>
      <c r="C6" s="359">
        <v>44397635</v>
      </c>
      <c r="D6" s="1190">
        <f>C6-B6</f>
        <v>1265300</v>
      </c>
      <c r="E6" s="374">
        <v>8555608</v>
      </c>
      <c r="F6" s="359">
        <v>8804321</v>
      </c>
      <c r="G6" s="1193">
        <f>F6-E6</f>
        <v>248713</v>
      </c>
      <c r="H6" s="1151">
        <v>22838000</v>
      </c>
      <c r="I6" s="359">
        <v>24753886</v>
      </c>
      <c r="J6" s="1193">
        <f>I6-H6</f>
        <v>1915886</v>
      </c>
      <c r="K6" s="400"/>
      <c r="L6" s="375"/>
      <c r="M6" s="1193"/>
      <c r="N6" s="116"/>
      <c r="O6" s="32"/>
      <c r="P6" s="32"/>
      <c r="Q6" s="123"/>
      <c r="R6" s="231" t="s">
        <v>666</v>
      </c>
      <c r="S6" s="189"/>
      <c r="T6" s="379"/>
      <c r="U6" s="1193"/>
      <c r="V6" s="359">
        <f>'4a. sz. tábla  (3)'!C5</f>
        <v>8631060</v>
      </c>
      <c r="W6" s="359">
        <v>9432966</v>
      </c>
      <c r="X6" s="484">
        <f t="shared" ref="X6:X13" si="0">W6-V6</f>
        <v>801906</v>
      </c>
      <c r="Y6" s="189"/>
      <c r="Z6" s="378"/>
      <c r="AA6" s="484">
        <f t="shared" ref="AA6:AA13" si="1">Z6-Y6</f>
        <v>0</v>
      </c>
      <c r="AB6" s="375"/>
      <c r="AC6" s="377"/>
      <c r="AD6" s="484">
        <f t="shared" ref="AD6:AD13" si="2">AC6-AB6</f>
        <v>0</v>
      </c>
      <c r="AE6" s="231" t="s">
        <v>666</v>
      </c>
      <c r="AF6" s="375"/>
      <c r="AG6" s="377"/>
      <c r="AH6" s="484">
        <f t="shared" ref="AH6:AH13" si="3">AG6-AF6</f>
        <v>0</v>
      </c>
      <c r="AI6" s="375"/>
      <c r="AJ6" s="377"/>
      <c r="AK6" s="906">
        <f t="shared" ref="AK6:AK13" si="4">AJ6-AI6</f>
        <v>0</v>
      </c>
      <c r="AL6" s="378">
        <f t="shared" ref="AL6:AM8" si="5">SUM(Y6,AB6,AF6,V6,S6,K6,H6,E6,B6)</f>
        <v>83157003</v>
      </c>
      <c r="AM6" s="377">
        <f t="shared" si="5"/>
        <v>87388808</v>
      </c>
      <c r="AN6" s="484">
        <f t="shared" ref="AN6:AN13" si="6">AM6-AL6</f>
        <v>4231805</v>
      </c>
      <c r="AO6" s="1147">
        <f>AM6-AP6</f>
        <v>57933806</v>
      </c>
      <c r="AP6" s="1149">
        <f>28749702+600000+105300</f>
        <v>29455002</v>
      </c>
      <c r="AQ6" s="762"/>
      <c r="AR6" s="851">
        <f t="shared" ref="AR6:AR13" si="7">SUM(AO6:AQ6)</f>
        <v>87388808</v>
      </c>
    </row>
    <row r="7" spans="1:44" ht="27.75" customHeight="1" x14ac:dyDescent="0.25">
      <c r="A7" s="210" t="s">
        <v>128</v>
      </c>
      <c r="B7" s="186">
        <v>100634000</v>
      </c>
      <c r="C7" s="97">
        <v>104269050</v>
      </c>
      <c r="D7" s="358">
        <f>C7-B7</f>
        <v>3635050</v>
      </c>
      <c r="E7" s="186">
        <v>20145000</v>
      </c>
      <c r="F7" s="97">
        <v>20884604</v>
      </c>
      <c r="G7" s="484">
        <f>F7-E7</f>
        <v>739604</v>
      </c>
      <c r="H7" s="905">
        <v>79922000</v>
      </c>
      <c r="I7" s="400">
        <v>83430899</v>
      </c>
      <c r="J7" s="484">
        <f>I7-H7</f>
        <v>3508899</v>
      </c>
      <c r="K7" s="97"/>
      <c r="L7" s="192"/>
      <c r="M7" s="484"/>
      <c r="N7" s="115"/>
      <c r="O7" s="34"/>
      <c r="P7" s="34"/>
      <c r="Q7" s="35"/>
      <c r="R7" s="210" t="s">
        <v>128</v>
      </c>
      <c r="S7" s="192"/>
      <c r="T7" s="356"/>
      <c r="U7" s="484"/>
      <c r="V7" s="192">
        <f>'4a. sz. tábla  (3)'!C33</f>
        <v>500000</v>
      </c>
      <c r="W7" s="97">
        <v>1235539</v>
      </c>
      <c r="X7" s="484">
        <f t="shared" si="0"/>
        <v>735539</v>
      </c>
      <c r="Y7" s="192"/>
      <c r="Z7" s="199"/>
      <c r="AA7" s="484">
        <f t="shared" si="1"/>
        <v>0</v>
      </c>
      <c r="AB7" s="192"/>
      <c r="AC7" s="98"/>
      <c r="AD7" s="484">
        <f t="shared" si="2"/>
        <v>0</v>
      </c>
      <c r="AE7" s="210" t="s">
        <v>128</v>
      </c>
      <c r="AF7" s="192"/>
      <c r="AG7" s="98"/>
      <c r="AH7" s="484">
        <f t="shared" si="3"/>
        <v>0</v>
      </c>
      <c r="AI7" s="189"/>
      <c r="AJ7" s="914"/>
      <c r="AK7" s="906">
        <f t="shared" si="4"/>
        <v>0</v>
      </c>
      <c r="AL7" s="358">
        <f t="shared" si="5"/>
        <v>201201000</v>
      </c>
      <c r="AM7" s="98">
        <f t="shared" si="5"/>
        <v>209820092</v>
      </c>
      <c r="AN7" s="484">
        <f t="shared" si="6"/>
        <v>8619092</v>
      </c>
      <c r="AO7" s="1147">
        <f>AM7-AP7</f>
        <v>108955801</v>
      </c>
      <c r="AP7" s="1150">
        <f>100164291+700000</f>
        <v>100864291</v>
      </c>
      <c r="AQ7" s="484"/>
      <c r="AR7" s="851">
        <f t="shared" si="7"/>
        <v>209820092</v>
      </c>
    </row>
    <row r="8" spans="1:44" s="50" customFormat="1" ht="29.25" customHeight="1" x14ac:dyDescent="0.25">
      <c r="A8" s="232" t="s">
        <v>129</v>
      </c>
      <c r="B8" s="186">
        <v>42708000</v>
      </c>
      <c r="C8" s="907">
        <v>44369582</v>
      </c>
      <c r="D8" s="358">
        <f t="shared" ref="D8:D13" si="8">C8-B8</f>
        <v>1661582</v>
      </c>
      <c r="E8" s="186">
        <v>8935000</v>
      </c>
      <c r="F8" s="907">
        <v>9000287</v>
      </c>
      <c r="G8" s="484">
        <f t="shared" ref="G8:G13" si="9">F8-E8</f>
        <v>65287</v>
      </c>
      <c r="H8" s="905">
        <v>12842416</v>
      </c>
      <c r="I8" s="400">
        <v>14368332</v>
      </c>
      <c r="J8" s="484">
        <f t="shared" ref="J8:J13" si="10">I8-H8</f>
        <v>1525916</v>
      </c>
      <c r="K8" s="97"/>
      <c r="L8" s="360"/>
      <c r="M8" s="484"/>
      <c r="N8" s="117"/>
      <c r="O8" s="46"/>
      <c r="P8" s="46"/>
      <c r="Q8" s="47"/>
      <c r="R8" s="232" t="s">
        <v>129</v>
      </c>
      <c r="S8" s="192"/>
      <c r="T8" s="357"/>
      <c r="U8" s="484"/>
      <c r="V8" s="192">
        <v>300000</v>
      </c>
      <c r="W8" s="97">
        <v>440990</v>
      </c>
      <c r="X8" s="484">
        <f t="shared" si="0"/>
        <v>140990</v>
      </c>
      <c r="Y8" s="192"/>
      <c r="Z8" s="200"/>
      <c r="AA8" s="484">
        <f t="shared" si="1"/>
        <v>0</v>
      </c>
      <c r="AB8" s="192"/>
      <c r="AC8" s="99"/>
      <c r="AD8" s="484">
        <f t="shared" si="2"/>
        <v>0</v>
      </c>
      <c r="AE8" s="232" t="s">
        <v>129</v>
      </c>
      <c r="AF8" s="192"/>
      <c r="AG8" s="99"/>
      <c r="AH8" s="484">
        <f t="shared" si="3"/>
        <v>0</v>
      </c>
      <c r="AI8" s="189"/>
      <c r="AJ8" s="915"/>
      <c r="AK8" s="906">
        <f t="shared" si="4"/>
        <v>0</v>
      </c>
      <c r="AL8" s="358">
        <f t="shared" si="5"/>
        <v>64785416</v>
      </c>
      <c r="AM8" s="98">
        <f t="shared" si="5"/>
        <v>68179191</v>
      </c>
      <c r="AN8" s="484">
        <f t="shared" si="6"/>
        <v>3393775</v>
      </c>
      <c r="AO8" s="1147">
        <f>AM8-AP8</f>
        <v>64183513</v>
      </c>
      <c r="AP8" s="1150">
        <v>3995678</v>
      </c>
      <c r="AQ8" s="763"/>
      <c r="AR8" s="851">
        <f t="shared" si="7"/>
        <v>68179191</v>
      </c>
    </row>
    <row r="9" spans="1:44" s="14" customFormat="1" ht="27.9" customHeight="1" x14ac:dyDescent="0.25">
      <c r="A9" s="211" t="s">
        <v>549</v>
      </c>
      <c r="B9" s="187">
        <f>B6+B7+B8</f>
        <v>186474335</v>
      </c>
      <c r="C9" s="100">
        <f>C6+C7+C8</f>
        <v>193036267</v>
      </c>
      <c r="D9" s="165">
        <f t="shared" si="8"/>
        <v>6561932</v>
      </c>
      <c r="E9" s="187">
        <f>E6+E7+E8</f>
        <v>37635608</v>
      </c>
      <c r="F9" s="100">
        <f>F6+F7+F8</f>
        <v>38689212</v>
      </c>
      <c r="G9" s="234">
        <f t="shared" si="9"/>
        <v>1053604</v>
      </c>
      <c r="H9" s="910">
        <f>H6+H7+H8</f>
        <v>115602416</v>
      </c>
      <c r="I9" s="190">
        <f>I6+I7+I8</f>
        <v>122553117</v>
      </c>
      <c r="J9" s="234">
        <f t="shared" si="10"/>
        <v>6950701</v>
      </c>
      <c r="K9" s="100">
        <f>K6+K7+K8</f>
        <v>0</v>
      </c>
      <c r="L9" s="100">
        <f>L6+L7+L8</f>
        <v>0</v>
      </c>
      <c r="M9" s="234">
        <f>L9-K9</f>
        <v>0</v>
      </c>
      <c r="N9" s="164" t="e">
        <f>#REF!+N6+N7+N8</f>
        <v>#REF!</v>
      </c>
      <c r="O9" s="100" t="e">
        <f>#REF!+O6+O7+O8</f>
        <v>#REF!</v>
      </c>
      <c r="P9" s="100" t="e">
        <f>#REF!+P6+P7+P8</f>
        <v>#REF!</v>
      </c>
      <c r="Q9" s="165" t="e">
        <f>#REF!+Q6+Q7+Q8</f>
        <v>#REF!</v>
      </c>
      <c r="R9" s="211" t="s">
        <v>549</v>
      </c>
      <c r="S9" s="100">
        <f>S6+S7+S8</f>
        <v>0</v>
      </c>
      <c r="T9" s="100">
        <f>T6+T7+T8</f>
        <v>0</v>
      </c>
      <c r="U9" s="234">
        <f>T9-S9</f>
        <v>0</v>
      </c>
      <c r="V9" s="165">
        <f>V6+V7+V8</f>
        <v>9431060</v>
      </c>
      <c r="W9" s="100">
        <f>W6+W7+W8</f>
        <v>11109495</v>
      </c>
      <c r="X9" s="234">
        <f t="shared" si="0"/>
        <v>1678435</v>
      </c>
      <c r="Y9" s="100">
        <f>Y6+Y7+Y8</f>
        <v>0</v>
      </c>
      <c r="Z9" s="100">
        <f>Z6+Z7+Z8</f>
        <v>0</v>
      </c>
      <c r="AA9" s="234">
        <f t="shared" si="1"/>
        <v>0</v>
      </c>
      <c r="AB9" s="165">
        <f>AB6+AB7+AB8</f>
        <v>0</v>
      </c>
      <c r="AC9" s="100">
        <f>AC6+AC7+AC8</f>
        <v>0</v>
      </c>
      <c r="AD9" s="234">
        <f t="shared" si="2"/>
        <v>0</v>
      </c>
      <c r="AE9" s="211" t="s">
        <v>549</v>
      </c>
      <c r="AF9" s="165">
        <f>AF6+AF7+AF8</f>
        <v>0</v>
      </c>
      <c r="AG9" s="100">
        <f t="shared" ref="AG9:AM9" si="11">AG6+AG7+AG8</f>
        <v>0</v>
      </c>
      <c r="AH9" s="234">
        <f t="shared" si="3"/>
        <v>0</v>
      </c>
      <c r="AI9" s="165">
        <f>AI6+AI7+AI8</f>
        <v>0</v>
      </c>
      <c r="AJ9" s="100">
        <f t="shared" si="11"/>
        <v>0</v>
      </c>
      <c r="AK9" s="912">
        <f t="shared" si="4"/>
        <v>0</v>
      </c>
      <c r="AL9" s="165">
        <f>AL6+AL7+AL8</f>
        <v>349143419</v>
      </c>
      <c r="AM9" s="100">
        <f t="shared" si="11"/>
        <v>365388091</v>
      </c>
      <c r="AN9" s="234">
        <f t="shared" si="6"/>
        <v>16244672</v>
      </c>
      <c r="AO9" s="1148">
        <f>SUM(AO6:AO8)</f>
        <v>231073120</v>
      </c>
      <c r="AP9" s="100">
        <f>SUM(AP6:AP8)</f>
        <v>134314971</v>
      </c>
      <c r="AQ9" s="234">
        <f>SUM(AQ6:AQ8)</f>
        <v>0</v>
      </c>
      <c r="AR9" s="851">
        <f t="shared" si="7"/>
        <v>365388091</v>
      </c>
    </row>
    <row r="10" spans="1:44" s="54" customFormat="1" ht="27" customHeight="1" x14ac:dyDescent="0.25">
      <c r="A10" s="233" t="s">
        <v>665</v>
      </c>
      <c r="B10" s="186">
        <f>'5.tábla (2)'!B7</f>
        <v>289638993</v>
      </c>
      <c r="C10" s="97">
        <f>'5.tábla (2)'!C7</f>
        <v>299056678</v>
      </c>
      <c r="D10" s="358">
        <f t="shared" si="8"/>
        <v>9417685</v>
      </c>
      <c r="E10" s="186">
        <f>'5.tábla (2)'!B8</f>
        <v>62845576</v>
      </c>
      <c r="F10" s="97">
        <f>'5.tábla (2)'!C8</f>
        <v>65542144</v>
      </c>
      <c r="G10" s="484">
        <f t="shared" si="9"/>
        <v>2696568</v>
      </c>
      <c r="H10" s="905">
        <f>'5.tábla (2)'!B9</f>
        <v>72986000</v>
      </c>
      <c r="I10" s="192">
        <f>'5.tábla (2)'!C9</f>
        <v>87100069</v>
      </c>
      <c r="J10" s="484">
        <f t="shared" si="10"/>
        <v>14114069</v>
      </c>
      <c r="K10" s="97">
        <f>'5.tábla (2)'!B15+'5.tábla (2)'!B17</f>
        <v>1674000</v>
      </c>
      <c r="L10" s="97">
        <f>'5.tábla (2)'!C15+'5.tábla (2)'!C17</f>
        <v>1674000</v>
      </c>
      <c r="M10" s="484">
        <f>L10-K10</f>
        <v>0</v>
      </c>
      <c r="N10" s="506"/>
      <c r="O10" s="507"/>
      <c r="P10" s="507"/>
      <c r="Q10" s="508"/>
      <c r="R10" s="233" t="s">
        <v>665</v>
      </c>
      <c r="S10" s="99">
        <f>'5.tábla (2)'!B19</f>
        <v>0</v>
      </c>
      <c r="T10" s="99">
        <f>'5.tábla (2)'!C19</f>
        <v>321968</v>
      </c>
      <c r="U10" s="484">
        <f>T10-S10</f>
        <v>321968</v>
      </c>
      <c r="V10" s="192">
        <f>'5.tábla (2)'!B21</f>
        <v>14000000</v>
      </c>
      <c r="W10" s="97">
        <f>'5.tábla (2)'!C21</f>
        <v>19636980</v>
      </c>
      <c r="X10" s="484">
        <f t="shared" si="0"/>
        <v>5636980</v>
      </c>
      <c r="Y10" s="192"/>
      <c r="Z10" s="358"/>
      <c r="AA10" s="484">
        <f t="shared" si="1"/>
        <v>0</v>
      </c>
      <c r="AB10" s="192"/>
      <c r="AC10" s="98"/>
      <c r="AD10" s="484">
        <f t="shared" si="2"/>
        <v>0</v>
      </c>
      <c r="AE10" s="233" t="s">
        <v>665</v>
      </c>
      <c r="AF10" s="192"/>
      <c r="AG10" s="241"/>
      <c r="AH10" s="484">
        <f t="shared" si="3"/>
        <v>0</v>
      </c>
      <c r="AI10" s="192"/>
      <c r="AJ10" s="241"/>
      <c r="AK10" s="906">
        <f t="shared" si="4"/>
        <v>0</v>
      </c>
      <c r="AL10" s="358">
        <f>SUM(Y10,AB10,AF10,V10,S10,K10,H10,E10,B10)</f>
        <v>441144569</v>
      </c>
      <c r="AM10" s="358">
        <f>SUM(Z10,AC10,AG10,W10,T10,L10,I10,F10,C10)</f>
        <v>473331839</v>
      </c>
      <c r="AN10" s="484">
        <f t="shared" si="6"/>
        <v>32187270</v>
      </c>
      <c r="AO10" s="1261">
        <f>AM10-AP10-AQ10</f>
        <v>358532756</v>
      </c>
      <c r="AP10" s="1262"/>
      <c r="AQ10" s="1263">
        <f>'9. sz. tábla (2)'!H84+'9. sz. tábla (2)'!H93</f>
        <v>114799083</v>
      </c>
      <c r="AR10" s="851">
        <f t="shared" si="7"/>
        <v>473331839</v>
      </c>
    </row>
    <row r="11" spans="1:44" s="14" customFormat="1" ht="28.2" thickBot="1" x14ac:dyDescent="0.3">
      <c r="A11" s="509" t="s">
        <v>548</v>
      </c>
      <c r="B11" s="466">
        <f>SUM(B9:B10)</f>
        <v>476113328</v>
      </c>
      <c r="C11" s="467">
        <f t="shared" ref="C11:Q11" si="12">SUM(C9:C10)</f>
        <v>492092945</v>
      </c>
      <c r="D11" s="476">
        <f t="shared" si="8"/>
        <v>15979617</v>
      </c>
      <c r="E11" s="466">
        <f>SUM(E9:E10)</f>
        <v>100481184</v>
      </c>
      <c r="F11" s="467">
        <f t="shared" si="12"/>
        <v>104231356</v>
      </c>
      <c r="G11" s="1194">
        <f t="shared" si="9"/>
        <v>3750172</v>
      </c>
      <c r="H11" s="911">
        <f>SUM(H9:H10)</f>
        <v>188588416</v>
      </c>
      <c r="I11" s="467">
        <f t="shared" si="12"/>
        <v>209653186</v>
      </c>
      <c r="J11" s="1194">
        <f t="shared" si="10"/>
        <v>21064770</v>
      </c>
      <c r="K11" s="467">
        <f>SUM(K9:K10)</f>
        <v>1674000</v>
      </c>
      <c r="L11" s="467">
        <f t="shared" si="12"/>
        <v>1674000</v>
      </c>
      <c r="M11" s="1194">
        <f>L11-K11</f>
        <v>0</v>
      </c>
      <c r="N11" s="510" t="e">
        <f t="shared" si="12"/>
        <v>#REF!</v>
      </c>
      <c r="O11" s="511" t="e">
        <f t="shared" si="12"/>
        <v>#REF!</v>
      </c>
      <c r="P11" s="511" t="e">
        <f t="shared" si="12"/>
        <v>#REF!</v>
      </c>
      <c r="Q11" s="512" t="e">
        <f t="shared" si="12"/>
        <v>#REF!</v>
      </c>
      <c r="R11" s="509" t="s">
        <v>548</v>
      </c>
      <c r="S11" s="467">
        <f>SUM(S9:S10)</f>
        <v>0</v>
      </c>
      <c r="T11" s="467">
        <f>SUM(T9:T10)</f>
        <v>321968</v>
      </c>
      <c r="U11" s="1194">
        <f>T11-S11</f>
        <v>321968</v>
      </c>
      <c r="V11" s="476">
        <f>SUM(V9:V10)</f>
        <v>23431060</v>
      </c>
      <c r="W11" s="467">
        <f>SUM(W9:W10)</f>
        <v>30746475</v>
      </c>
      <c r="X11" s="1194">
        <f t="shared" si="0"/>
        <v>7315415</v>
      </c>
      <c r="Y11" s="467">
        <f>SUM(Y9:Y10)</f>
        <v>0</v>
      </c>
      <c r="Z11" s="467">
        <f>SUM(Z9:Z10)</f>
        <v>0</v>
      </c>
      <c r="AA11" s="1194">
        <f t="shared" si="1"/>
        <v>0</v>
      </c>
      <c r="AB11" s="467">
        <f>SUM(AB9:AB10)</f>
        <v>0</v>
      </c>
      <c r="AC11" s="467">
        <f>SUM(AC9:AC10)</f>
        <v>0</v>
      </c>
      <c r="AD11" s="1194">
        <f t="shared" si="2"/>
        <v>0</v>
      </c>
      <c r="AE11" s="509" t="s">
        <v>548</v>
      </c>
      <c r="AF11" s="467">
        <f>SUM(AF9:AF10)</f>
        <v>0</v>
      </c>
      <c r="AG11" s="467">
        <f>SUM(AG9:AG10)</f>
        <v>0</v>
      </c>
      <c r="AH11" s="1194">
        <f t="shared" si="3"/>
        <v>0</v>
      </c>
      <c r="AI11" s="467">
        <f>SUM(AI9:AI10)</f>
        <v>0</v>
      </c>
      <c r="AJ11" s="467">
        <f>SUM(AJ9:AJ10)</f>
        <v>0</v>
      </c>
      <c r="AK11" s="913">
        <f t="shared" si="4"/>
        <v>0</v>
      </c>
      <c r="AL11" s="476">
        <f>SUM(AL9:AL10)</f>
        <v>790287988</v>
      </c>
      <c r="AM11" s="476">
        <f>SUM(AM9:AM10)</f>
        <v>838719930</v>
      </c>
      <c r="AN11" s="1194">
        <f t="shared" si="6"/>
        <v>48431942</v>
      </c>
      <c r="AO11" s="754">
        <f>SUM(AO9:AO10)</f>
        <v>589605876</v>
      </c>
      <c r="AP11" s="467">
        <f>SUM(AP9:AP10)</f>
        <v>134314971</v>
      </c>
      <c r="AQ11" s="747">
        <f>SUM(AQ9:AQ10)</f>
        <v>114799083</v>
      </c>
      <c r="AR11" s="851">
        <f t="shared" si="7"/>
        <v>838719930</v>
      </c>
    </row>
    <row r="12" spans="1:44" ht="14.4" thickBot="1" x14ac:dyDescent="0.3">
      <c r="A12" s="504" t="s">
        <v>899</v>
      </c>
      <c r="B12" s="497">
        <f>'5.tábla (2)'!B30</f>
        <v>129569315</v>
      </c>
      <c r="C12" s="908">
        <f>'5.tábla (2)'!C30</f>
        <v>138018414</v>
      </c>
      <c r="D12" s="1191">
        <f t="shared" si="8"/>
        <v>8449099</v>
      </c>
      <c r="E12" s="402">
        <f>'5.tábla (2)'!B45</f>
        <v>23634119</v>
      </c>
      <c r="F12" s="402">
        <f>'5.tábla (2)'!C45</f>
        <v>27331842</v>
      </c>
      <c r="G12" s="1191">
        <f t="shared" si="9"/>
        <v>3697723</v>
      </c>
      <c r="H12" s="908">
        <f>'5.tábla (2)'!B60</f>
        <v>813964964</v>
      </c>
      <c r="I12" s="498">
        <f>'5.tábla (2)'!C60</f>
        <v>859756680</v>
      </c>
      <c r="J12" s="1191">
        <f t="shared" si="10"/>
        <v>45791716</v>
      </c>
      <c r="K12" s="475">
        <f>'5.tábla (2)'!B101</f>
        <v>28100000</v>
      </c>
      <c r="L12" s="475">
        <f>'5.tábla (2)'!C101</f>
        <v>28100000</v>
      </c>
      <c r="M12" s="1191">
        <f>L12-K12</f>
        <v>0</v>
      </c>
      <c r="N12" s="499"/>
      <c r="O12" s="500"/>
      <c r="P12" s="500"/>
      <c r="Q12" s="501"/>
      <c r="R12" s="504" t="s">
        <v>899</v>
      </c>
      <c r="S12" s="502">
        <f>'5.tábla (2)'!B110</f>
        <v>1171966248</v>
      </c>
      <c r="T12" s="502">
        <f>'5.tábla (2)'!C110</f>
        <v>1183640002</v>
      </c>
      <c r="U12" s="1191">
        <f>T12-S12</f>
        <v>11673754</v>
      </c>
      <c r="V12" s="497">
        <f>'7. sz. tábla 1'!B108</f>
        <v>4396480479</v>
      </c>
      <c r="W12" s="515">
        <f>'7. sz. tábla 1'!C108</f>
        <v>5206434304</v>
      </c>
      <c r="X12" s="1191">
        <f t="shared" si="0"/>
        <v>809953825</v>
      </c>
      <c r="Y12" s="498">
        <f>'7. sz. tábla 1'!B192</f>
        <v>73149430</v>
      </c>
      <c r="Z12" s="498">
        <f>'7. sz. tábla 1'!C192</f>
        <v>73149430</v>
      </c>
      <c r="AA12" s="1191">
        <f t="shared" si="1"/>
        <v>0</v>
      </c>
      <c r="AB12" s="503">
        <f>'7. sz. tábla 1'!B181</f>
        <v>518990164</v>
      </c>
      <c r="AC12" s="475">
        <f>'7. sz. tábla 1'!C181</f>
        <v>558790164</v>
      </c>
      <c r="AD12" s="1191">
        <f t="shared" si="2"/>
        <v>39800000</v>
      </c>
      <c r="AE12" s="504" t="s">
        <v>899</v>
      </c>
      <c r="AF12" s="497">
        <f>'7. sz. tábla 1'!B187</f>
        <v>1120094200</v>
      </c>
      <c r="AG12" s="497">
        <f>'7. sz. tábla 1'!C187</f>
        <v>1580094200</v>
      </c>
      <c r="AH12" s="1191">
        <f t="shared" si="3"/>
        <v>460000000</v>
      </c>
      <c r="AI12" s="498">
        <f>'1.sz.tábla   (2)'!B30</f>
        <v>442264102</v>
      </c>
      <c r="AJ12" s="756">
        <f>'1.sz.tábla   (2)'!C30</f>
        <v>280488291</v>
      </c>
      <c r="AK12" s="1153">
        <f t="shared" si="4"/>
        <v>-161775811</v>
      </c>
      <c r="AL12" s="1266">
        <f>SUM(Y12,AB12,AF12,V12,S12,K12,H12,E12,B12,AI12)</f>
        <v>8718213021</v>
      </c>
      <c r="AM12" s="758">
        <f>SUM(Z12,AC12,AG12,W12,T12,L12,I12,F12,C12,AJ12)</f>
        <v>9935803327</v>
      </c>
      <c r="AN12" s="757">
        <f t="shared" si="6"/>
        <v>1217590306</v>
      </c>
      <c r="AO12" s="1231"/>
      <c r="AP12" s="752"/>
      <c r="AQ12" s="757"/>
      <c r="AR12" s="851">
        <f t="shared" si="7"/>
        <v>0</v>
      </c>
    </row>
    <row r="13" spans="1:44" s="14" customFormat="1" ht="14.4" thickBot="1" x14ac:dyDescent="0.3">
      <c r="A13" s="477" t="s">
        <v>550</v>
      </c>
      <c r="B13" s="212">
        <f>SUM(B11:B12)</f>
        <v>605682643</v>
      </c>
      <c r="C13" s="401">
        <f t="shared" ref="C13:Q13" si="13">SUM(C11:C12)</f>
        <v>630111359</v>
      </c>
      <c r="D13" s="1192">
        <f t="shared" si="8"/>
        <v>24428716</v>
      </c>
      <c r="E13" s="909">
        <f>SUM(E11:E12)</f>
        <v>124115303</v>
      </c>
      <c r="F13" s="401">
        <f t="shared" si="13"/>
        <v>131563198</v>
      </c>
      <c r="G13" s="1192">
        <f t="shared" si="9"/>
        <v>7447895</v>
      </c>
      <c r="H13" s="216">
        <f>SUM(H11:H12)</f>
        <v>1002553380</v>
      </c>
      <c r="I13" s="212">
        <f>SUM(I11:I12)</f>
        <v>1069409866</v>
      </c>
      <c r="J13" s="1192">
        <f t="shared" si="10"/>
        <v>66856486</v>
      </c>
      <c r="K13" s="212">
        <f>SUM(K11:K12)</f>
        <v>29774000</v>
      </c>
      <c r="L13" s="212">
        <f t="shared" si="13"/>
        <v>29774000</v>
      </c>
      <c r="M13" s="1192">
        <f>L13-K13</f>
        <v>0</v>
      </c>
      <c r="N13" s="213" t="e">
        <f t="shared" si="13"/>
        <v>#REF!</v>
      </c>
      <c r="O13" s="214" t="e">
        <f t="shared" si="13"/>
        <v>#REF!</v>
      </c>
      <c r="P13" s="214" t="e">
        <f t="shared" si="13"/>
        <v>#REF!</v>
      </c>
      <c r="Q13" s="215" t="e">
        <f t="shared" si="13"/>
        <v>#REF!</v>
      </c>
      <c r="R13" s="477" t="s">
        <v>550</v>
      </c>
      <c r="S13" s="212">
        <f>SUM(S11:S12)</f>
        <v>1171966248</v>
      </c>
      <c r="T13" s="212">
        <f>SUM(T11:T12)</f>
        <v>1183961970</v>
      </c>
      <c r="U13" s="1192">
        <f>T13-S13</f>
        <v>11995722</v>
      </c>
      <c r="V13" s="212">
        <f>SUM(V11:V12)</f>
        <v>4419911539</v>
      </c>
      <c r="W13" s="212">
        <f>SUM(W11:W12)</f>
        <v>5237180779</v>
      </c>
      <c r="X13" s="1192">
        <f t="shared" si="0"/>
        <v>817269240</v>
      </c>
      <c r="Y13" s="401">
        <f>SUM(Y11:Y12)</f>
        <v>73149430</v>
      </c>
      <c r="Z13" s="212">
        <f>SUM(Z11:Z12)</f>
        <v>73149430</v>
      </c>
      <c r="AA13" s="1192">
        <f t="shared" si="1"/>
        <v>0</v>
      </c>
      <c r="AB13" s="380">
        <f>SUM(AB11:AB12)</f>
        <v>518990164</v>
      </c>
      <c r="AC13" s="212">
        <f>SUM(AC11:AC12)</f>
        <v>558790164</v>
      </c>
      <c r="AD13" s="1192">
        <f t="shared" si="2"/>
        <v>39800000</v>
      </c>
      <c r="AE13" s="477" t="s">
        <v>550</v>
      </c>
      <c r="AF13" s="478">
        <f>SUM(AF11:AF12)</f>
        <v>1120094200</v>
      </c>
      <c r="AG13" s="478">
        <f>SUM(AG11:AG12)</f>
        <v>1580094200</v>
      </c>
      <c r="AH13" s="1192">
        <f t="shared" si="3"/>
        <v>460000000</v>
      </c>
      <c r="AI13" s="212">
        <f>SUM(AI11:AI12)</f>
        <v>442264102</v>
      </c>
      <c r="AJ13" s="401">
        <f>SUM(AJ11:AJ12)</f>
        <v>280488291</v>
      </c>
      <c r="AK13" s="1154">
        <f t="shared" si="4"/>
        <v>-161775811</v>
      </c>
      <c r="AL13" s="909">
        <f>SUM(AL11:AL12)</f>
        <v>9508501009</v>
      </c>
      <c r="AM13" s="401">
        <f>SUM(AM11:AM12)</f>
        <v>10774523257</v>
      </c>
      <c r="AN13" s="380">
        <f t="shared" si="6"/>
        <v>1266022248</v>
      </c>
      <c r="AO13" s="1152"/>
      <c r="AP13" s="212"/>
      <c r="AQ13" s="380"/>
      <c r="AR13" s="851">
        <f t="shared" si="7"/>
        <v>0</v>
      </c>
    </row>
    <row r="14" spans="1:44" ht="13.8" x14ac:dyDescent="0.25">
      <c r="M14" s="402"/>
      <c r="X14" s="402"/>
      <c r="Y14" s="17"/>
      <c r="Z14" s="17"/>
      <c r="AA14" s="402"/>
    </row>
    <row r="15" spans="1:44" ht="13.8" x14ac:dyDescent="0.25">
      <c r="X15" s="17"/>
      <c r="Y15" s="17"/>
      <c r="Z15" s="17"/>
      <c r="AA15" s="402"/>
    </row>
    <row r="39" spans="25:25" ht="13.8" x14ac:dyDescent="0.25">
      <c r="Y39" s="120" t="e">
        <f>X39-#REF!</f>
        <v>#REF!</v>
      </c>
    </row>
    <row r="40" spans="25:25" ht="13.8" x14ac:dyDescent="0.25">
      <c r="Y40" s="120" t="e">
        <f>X40-#REF!</f>
        <v>#REF!</v>
      </c>
    </row>
  </sheetData>
  <sheetProtection selectLockedCells="1" selectUnlockedCells="1"/>
  <mergeCells count="20">
    <mergeCell ref="R2:AD2"/>
    <mergeCell ref="AE2:AQ2"/>
    <mergeCell ref="AF4:AH4"/>
    <mergeCell ref="AI4:AK4"/>
    <mergeCell ref="K4:M4"/>
    <mergeCell ref="AF3:AN3"/>
    <mergeCell ref="AL4:AN4"/>
    <mergeCell ref="Y4:AA4"/>
    <mergeCell ref="A1:XFD1"/>
    <mergeCell ref="A2:M2"/>
    <mergeCell ref="A4:A5"/>
    <mergeCell ref="V4:X4"/>
    <mergeCell ref="S4:U4"/>
    <mergeCell ref="AE4:AE5"/>
    <mergeCell ref="R4:R5"/>
    <mergeCell ref="B4:D4"/>
    <mergeCell ref="AO4:AQ4"/>
    <mergeCell ref="AB4:AD4"/>
    <mergeCell ref="E4:G4"/>
    <mergeCell ref="H4:J4"/>
  </mergeCells>
  <phoneticPr fontId="27" type="noConversion"/>
  <printOptions horizontalCentered="1"/>
  <pageMargins left="0.7" right="0.7" top="0.75" bottom="0.75" header="0.3" footer="0.3"/>
  <pageSetup paperSize="9" scale="52" firstPageNumber="0" orientation="landscape" r:id="rId1"/>
  <headerFooter alignWithMargins="0">
    <oddHeader xml:space="preserve">&amp;C
 4. melléklet 
az önkormányzat 2018. évi költségvetéséről szóló 11/2018. (III.01.) önkormányzati rendelethez&amp;R
&amp;P. oldal
</oddHeader>
  </headerFooter>
  <colBreaks count="2" manualBreakCount="2">
    <brk id="13" max="12" man="1"/>
    <brk id="3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0"/>
  </sheetPr>
  <dimension ref="A1:E44"/>
  <sheetViews>
    <sheetView view="pageLayout" zoomScaleNormal="100" zoomScaleSheetLayoutView="85" workbookViewId="0">
      <selection activeCell="D31" sqref="D31"/>
    </sheetView>
  </sheetViews>
  <sheetFormatPr defaultColWidth="9.109375" defaultRowHeight="13.8" x14ac:dyDescent="0.25"/>
  <cols>
    <col min="1" max="1" width="22.33203125" style="258" customWidth="1"/>
    <col min="2" max="2" width="39" style="287" bestFit="1" customWidth="1"/>
    <col min="3" max="5" width="12.44140625" style="289" customWidth="1"/>
    <col min="6" max="16384" width="9.109375" style="258"/>
  </cols>
  <sheetData>
    <row r="1" spans="1:5" ht="6.75" customHeight="1" x14ac:dyDescent="0.25">
      <c r="A1" s="264"/>
      <c r="B1" s="265"/>
      <c r="C1" s="288"/>
      <c r="D1" s="288"/>
      <c r="E1" s="288"/>
    </row>
    <row r="2" spans="1:5" ht="19.5" customHeight="1" thickBot="1" x14ac:dyDescent="0.3">
      <c r="A2" s="1731" t="s">
        <v>76</v>
      </c>
      <c r="B2" s="1731"/>
      <c r="C2" s="1731"/>
      <c r="D2" s="1731"/>
      <c r="E2" s="1731"/>
    </row>
    <row r="3" spans="1:5" ht="51.75" customHeight="1" thickBot="1" x14ac:dyDescent="0.3">
      <c r="A3" s="266" t="s">
        <v>422</v>
      </c>
      <c r="B3" s="267" t="s">
        <v>514</v>
      </c>
      <c r="C3" s="886" t="s">
        <v>191</v>
      </c>
      <c r="D3" s="887" t="s">
        <v>357</v>
      </c>
      <c r="E3" s="853" t="s">
        <v>358</v>
      </c>
    </row>
    <row r="4" spans="1:5" s="259" customFormat="1" ht="6" customHeight="1" thickBot="1" x14ac:dyDescent="0.3">
      <c r="A4" s="282"/>
      <c r="B4" s="278"/>
      <c r="C4" s="899"/>
      <c r="D4" s="899"/>
      <c r="E4" s="1161"/>
    </row>
    <row r="5" spans="1:5" s="259" customFormat="1" x14ac:dyDescent="0.25">
      <c r="A5" s="279" t="s">
        <v>667</v>
      </c>
      <c r="B5" s="280"/>
      <c r="C5" s="900">
        <f>SUM(C6:C24)</f>
        <v>8631060</v>
      </c>
      <c r="D5" s="901">
        <f>SUM(D6:D24)</f>
        <v>9432966</v>
      </c>
      <c r="E5" s="1162">
        <f>D5-C5</f>
        <v>801906</v>
      </c>
    </row>
    <row r="6" spans="1:5" x14ac:dyDescent="0.25">
      <c r="A6" s="281"/>
      <c r="B6" s="278" t="s">
        <v>117</v>
      </c>
      <c r="C6" s="268">
        <v>2544000</v>
      </c>
      <c r="D6" s="261">
        <v>3175334</v>
      </c>
      <c r="E6" s="269">
        <f>D6-C6</f>
        <v>631334</v>
      </c>
    </row>
    <row r="7" spans="1:5" ht="15.75" customHeight="1" x14ac:dyDescent="0.25">
      <c r="A7" s="281"/>
      <c r="B7" s="278" t="s">
        <v>108</v>
      </c>
      <c r="C7" s="1145">
        <v>1569720</v>
      </c>
      <c r="D7" s="261">
        <v>1343406</v>
      </c>
      <c r="E7" s="269">
        <f t="shared" ref="E7:E43" si="0">D7-C7</f>
        <v>-226314</v>
      </c>
    </row>
    <row r="8" spans="1:5" ht="15.75" customHeight="1" x14ac:dyDescent="0.25">
      <c r="A8" s="281"/>
      <c r="B8" s="278" t="s">
        <v>982</v>
      </c>
      <c r="C8" s="1145"/>
      <c r="D8" s="261">
        <v>19990</v>
      </c>
      <c r="E8" s="269">
        <f t="shared" si="0"/>
        <v>19990</v>
      </c>
    </row>
    <row r="9" spans="1:5" x14ac:dyDescent="0.25">
      <c r="A9" s="281"/>
      <c r="B9" s="278" t="s">
        <v>109</v>
      </c>
      <c r="C9" s="1145">
        <v>165100</v>
      </c>
      <c r="D9" s="261">
        <v>177800</v>
      </c>
      <c r="E9" s="269">
        <f t="shared" si="0"/>
        <v>12700</v>
      </c>
    </row>
    <row r="10" spans="1:5" x14ac:dyDescent="0.25">
      <c r="A10" s="281"/>
      <c r="B10" s="278" t="s">
        <v>111</v>
      </c>
      <c r="C10" s="1145">
        <v>482600</v>
      </c>
      <c r="D10" s="261">
        <v>482600</v>
      </c>
      <c r="E10" s="269">
        <f t="shared" si="0"/>
        <v>0</v>
      </c>
    </row>
    <row r="11" spans="1:5" x14ac:dyDescent="0.25">
      <c r="A11" s="281"/>
      <c r="B11" s="278" t="s">
        <v>112</v>
      </c>
      <c r="C11" s="1145">
        <v>304800</v>
      </c>
      <c r="D11" s="261">
        <v>304800</v>
      </c>
      <c r="E11" s="269">
        <f t="shared" si="0"/>
        <v>0</v>
      </c>
    </row>
    <row r="12" spans="1:5" x14ac:dyDescent="0.25">
      <c r="A12" s="281"/>
      <c r="B12" s="278" t="s">
        <v>113</v>
      </c>
      <c r="C12" s="1145">
        <v>615950</v>
      </c>
      <c r="D12" s="261">
        <v>615950</v>
      </c>
      <c r="E12" s="269">
        <f t="shared" si="0"/>
        <v>0</v>
      </c>
    </row>
    <row r="13" spans="1:5" x14ac:dyDescent="0.25">
      <c r="A13" s="281"/>
      <c r="B13" s="278" t="s">
        <v>114</v>
      </c>
      <c r="C13" s="1145">
        <v>40640</v>
      </c>
      <c r="D13" s="261">
        <v>40640</v>
      </c>
      <c r="E13" s="269">
        <f t="shared" si="0"/>
        <v>0</v>
      </c>
    </row>
    <row r="14" spans="1:5" ht="14.25" customHeight="1" x14ac:dyDescent="0.25">
      <c r="A14" s="281"/>
      <c r="B14" s="278" t="s">
        <v>115</v>
      </c>
      <c r="C14" s="1145">
        <v>82550</v>
      </c>
      <c r="D14" s="261">
        <v>82550</v>
      </c>
      <c r="E14" s="269">
        <f t="shared" si="0"/>
        <v>0</v>
      </c>
    </row>
    <row r="15" spans="1:5" ht="14.25" customHeight="1" x14ac:dyDescent="0.25">
      <c r="A15" s="281"/>
      <c r="B15" s="278" t="s">
        <v>123</v>
      </c>
      <c r="C15" s="1145">
        <v>292100</v>
      </c>
      <c r="D15" s="261">
        <v>87996</v>
      </c>
      <c r="E15" s="269">
        <f t="shared" si="0"/>
        <v>-204104</v>
      </c>
    </row>
    <row r="16" spans="1:5" ht="14.25" customHeight="1" x14ac:dyDescent="0.25">
      <c r="A16" s="281"/>
      <c r="B16" s="278" t="s">
        <v>983</v>
      </c>
      <c r="C16" s="1145"/>
      <c r="D16" s="261">
        <v>32991</v>
      </c>
      <c r="E16" s="269">
        <f t="shared" si="0"/>
        <v>32991</v>
      </c>
    </row>
    <row r="17" spans="1:5" ht="14.25" customHeight="1" x14ac:dyDescent="0.25">
      <c r="A17" s="281"/>
      <c r="B17" s="278" t="s">
        <v>984</v>
      </c>
      <c r="C17" s="1145"/>
      <c r="D17" s="261">
        <v>7999</v>
      </c>
      <c r="E17" s="269">
        <f t="shared" si="0"/>
        <v>7999</v>
      </c>
    </row>
    <row r="18" spans="1:5" ht="14.25" customHeight="1" x14ac:dyDescent="0.25">
      <c r="A18" s="281"/>
      <c r="B18" s="278" t="s">
        <v>985</v>
      </c>
      <c r="C18" s="1145"/>
      <c r="D18" s="261">
        <v>7475</v>
      </c>
      <c r="E18" s="269">
        <f t="shared" si="0"/>
        <v>7475</v>
      </c>
    </row>
    <row r="19" spans="1:5" ht="14.25" customHeight="1" x14ac:dyDescent="0.25">
      <c r="A19" s="281"/>
      <c r="B19" s="278" t="s">
        <v>124</v>
      </c>
      <c r="C19" s="1145">
        <v>76200</v>
      </c>
      <c r="D19" s="261">
        <v>114300</v>
      </c>
      <c r="E19" s="269">
        <f t="shared" si="0"/>
        <v>38100</v>
      </c>
    </row>
    <row r="20" spans="1:5" x14ac:dyDescent="0.25">
      <c r="A20" s="281"/>
      <c r="B20" s="278" t="s">
        <v>110</v>
      </c>
      <c r="C20" s="1145">
        <v>1879600</v>
      </c>
      <c r="D20" s="261">
        <v>1879600</v>
      </c>
      <c r="E20" s="269">
        <f t="shared" si="0"/>
        <v>0</v>
      </c>
    </row>
    <row r="21" spans="1:5" x14ac:dyDescent="0.25">
      <c r="A21" s="281"/>
      <c r="B21" s="278" t="s">
        <v>118</v>
      </c>
      <c r="C21" s="1145">
        <v>50800</v>
      </c>
      <c r="D21" s="261">
        <v>261963</v>
      </c>
      <c r="E21" s="269">
        <f t="shared" si="0"/>
        <v>211163</v>
      </c>
    </row>
    <row r="22" spans="1:5" ht="14.25" customHeight="1" x14ac:dyDescent="0.25">
      <c r="A22" s="281"/>
      <c r="B22" s="278" t="s">
        <v>116</v>
      </c>
      <c r="C22" s="1145">
        <v>527000</v>
      </c>
      <c r="D22" s="261">
        <v>527000</v>
      </c>
      <c r="E22" s="269">
        <f t="shared" si="0"/>
        <v>0</v>
      </c>
    </row>
    <row r="23" spans="1:5" x14ac:dyDescent="0.25">
      <c r="A23" s="281"/>
      <c r="B23" s="278" t="s">
        <v>424</v>
      </c>
      <c r="C23" s="902"/>
      <c r="D23" s="1146">
        <v>270572</v>
      </c>
      <c r="E23" s="269">
        <f t="shared" si="0"/>
        <v>270572</v>
      </c>
    </row>
    <row r="24" spans="1:5" x14ac:dyDescent="0.25">
      <c r="A24" s="281"/>
      <c r="B24" s="278" t="s">
        <v>423</v>
      </c>
      <c r="C24" s="268"/>
      <c r="D24" s="261"/>
      <c r="E24" s="269"/>
    </row>
    <row r="25" spans="1:5" ht="13.5" customHeight="1" x14ac:dyDescent="0.25">
      <c r="A25" s="281"/>
      <c r="B25" s="278"/>
      <c r="C25" s="268"/>
      <c r="D25" s="261"/>
      <c r="E25" s="269"/>
    </row>
    <row r="26" spans="1:5" s="259" customFormat="1" x14ac:dyDescent="0.25">
      <c r="A26" s="275" t="s">
        <v>126</v>
      </c>
      <c r="B26" s="280"/>
      <c r="C26" s="274">
        <f>SUM(C27:C31)</f>
        <v>300000</v>
      </c>
      <c r="D26" s="260">
        <f>SUM(D27:D31)</f>
        <v>440990</v>
      </c>
      <c r="E26" s="263">
        <f t="shared" si="0"/>
        <v>140990</v>
      </c>
    </row>
    <row r="27" spans="1:5" x14ac:dyDescent="0.25">
      <c r="A27" s="270"/>
      <c r="B27" s="271" t="s">
        <v>972</v>
      </c>
      <c r="C27" s="268"/>
      <c r="D27" s="261"/>
      <c r="E27" s="269"/>
    </row>
    <row r="28" spans="1:5" x14ac:dyDescent="0.25">
      <c r="A28" s="272"/>
      <c r="B28" s="276" t="s">
        <v>971</v>
      </c>
      <c r="C28" s="268"/>
      <c r="D28" s="261"/>
      <c r="E28" s="269"/>
    </row>
    <row r="29" spans="1:5" x14ac:dyDescent="0.25">
      <c r="A29" s="275"/>
      <c r="B29" s="283" t="s">
        <v>426</v>
      </c>
      <c r="C29" s="268"/>
      <c r="D29" s="261"/>
      <c r="E29" s="269"/>
    </row>
    <row r="30" spans="1:5" x14ac:dyDescent="0.25">
      <c r="A30" s="277"/>
      <c r="B30" s="270" t="s">
        <v>425</v>
      </c>
      <c r="C30" s="268">
        <v>300000</v>
      </c>
      <c r="D30" s="261">
        <f>'4.sz.tábla '!W8</f>
        <v>440990</v>
      </c>
      <c r="E30" s="269">
        <f t="shared" si="0"/>
        <v>140990</v>
      </c>
    </row>
    <row r="31" spans="1:5" x14ac:dyDescent="0.25">
      <c r="A31" s="277"/>
      <c r="B31" s="331" t="s">
        <v>970</v>
      </c>
      <c r="C31" s="268"/>
      <c r="D31" s="261"/>
      <c r="E31" s="269"/>
    </row>
    <row r="32" spans="1:5" ht="11.25" customHeight="1" x14ac:dyDescent="0.25">
      <c r="A32" s="277"/>
      <c r="B32" s="270"/>
      <c r="C32" s="268"/>
      <c r="D32" s="261"/>
      <c r="E32" s="269"/>
    </row>
    <row r="33" spans="1:5" s="259" customFormat="1" x14ac:dyDescent="0.25">
      <c r="A33" s="279" t="s">
        <v>127</v>
      </c>
      <c r="B33" s="273"/>
      <c r="C33" s="274">
        <f>SUM(C34:C37)</f>
        <v>500000</v>
      </c>
      <c r="D33" s="260">
        <f>SUM(D34:D37)</f>
        <v>1235539</v>
      </c>
      <c r="E33" s="263">
        <f t="shared" si="0"/>
        <v>735539</v>
      </c>
    </row>
    <row r="34" spans="1:5" x14ac:dyDescent="0.25">
      <c r="A34" s="279"/>
      <c r="B34" s="284" t="s">
        <v>427</v>
      </c>
      <c r="C34" s="268"/>
      <c r="D34" s="261"/>
      <c r="E34" s="269"/>
    </row>
    <row r="35" spans="1:5" x14ac:dyDescent="0.25">
      <c r="A35" s="279"/>
      <c r="B35" s="278" t="s">
        <v>428</v>
      </c>
      <c r="C35" s="268"/>
      <c r="D35" s="261"/>
      <c r="E35" s="269"/>
    </row>
    <row r="36" spans="1:5" x14ac:dyDescent="0.25">
      <c r="A36" s="279"/>
      <c r="B36" s="278" t="s">
        <v>331</v>
      </c>
      <c r="C36" s="268"/>
      <c r="D36" s="261"/>
      <c r="E36" s="269"/>
    </row>
    <row r="37" spans="1:5" x14ac:dyDescent="0.25">
      <c r="A37" s="279"/>
      <c r="B37" s="278" t="s">
        <v>425</v>
      </c>
      <c r="C37" s="268">
        <v>500000</v>
      </c>
      <c r="D37" s="261">
        <v>1235539</v>
      </c>
      <c r="E37" s="269">
        <f t="shared" si="0"/>
        <v>735539</v>
      </c>
    </row>
    <row r="38" spans="1:5" s="259" customFormat="1" ht="23.25" customHeight="1" x14ac:dyDescent="0.25">
      <c r="A38" s="1732" t="s">
        <v>664</v>
      </c>
      <c r="B38" s="1733"/>
      <c r="C38" s="274">
        <f>SUM(C39:C42)</f>
        <v>14000000</v>
      </c>
      <c r="D38" s="260">
        <f>SUM(D39:D42)</f>
        <v>19636980</v>
      </c>
      <c r="E38" s="263">
        <f t="shared" si="0"/>
        <v>5636980</v>
      </c>
    </row>
    <row r="39" spans="1:5" x14ac:dyDescent="0.25">
      <c r="A39" s="278"/>
      <c r="B39" s="278" t="s">
        <v>424</v>
      </c>
      <c r="C39" s="268">
        <v>8000000</v>
      </c>
      <c r="D39" s="261">
        <f>'5.tábla (2)'!C22</f>
        <v>11767242</v>
      </c>
      <c r="E39" s="269">
        <f t="shared" si="0"/>
        <v>3767242</v>
      </c>
    </row>
    <row r="40" spans="1:5" x14ac:dyDescent="0.25">
      <c r="A40" s="278"/>
      <c r="B40" s="278" t="s">
        <v>386</v>
      </c>
      <c r="C40" s="268">
        <v>5000000</v>
      </c>
      <c r="D40" s="261">
        <f>'5.tábla (2)'!C23</f>
        <v>5269738</v>
      </c>
      <c r="E40" s="269">
        <f t="shared" si="0"/>
        <v>269738</v>
      </c>
    </row>
    <row r="41" spans="1:5" x14ac:dyDescent="0.25">
      <c r="A41" s="278"/>
      <c r="B41" s="278" t="s">
        <v>988</v>
      </c>
      <c r="C41" s="268"/>
      <c r="D41" s="261">
        <f>'5.tábla (2)'!C25</f>
        <v>600000</v>
      </c>
      <c r="E41" s="269">
        <f t="shared" si="0"/>
        <v>600000</v>
      </c>
    </row>
    <row r="42" spans="1:5" x14ac:dyDescent="0.25">
      <c r="A42" s="279"/>
      <c r="B42" s="278" t="s">
        <v>425</v>
      </c>
      <c r="C42" s="268">
        <v>1000000</v>
      </c>
      <c r="D42" s="261">
        <f>'5.tábla (2)'!C24</f>
        <v>2000000</v>
      </c>
      <c r="E42" s="269">
        <f t="shared" si="0"/>
        <v>1000000</v>
      </c>
    </row>
    <row r="43" spans="1:5" s="259" customFormat="1" ht="14.4" thickBot="1" x14ac:dyDescent="0.3">
      <c r="A43" s="285" t="s">
        <v>429</v>
      </c>
      <c r="B43" s="286"/>
      <c r="C43" s="903">
        <f>SUM(C5+C26+C33+C38)</f>
        <v>23431060</v>
      </c>
      <c r="D43" s="904">
        <f>SUM(D5+D26+D33+D38)</f>
        <v>30746475</v>
      </c>
      <c r="E43" s="1163">
        <f t="shared" si="0"/>
        <v>7315415</v>
      </c>
    </row>
    <row r="44" spans="1:5" ht="13.2" x14ac:dyDescent="0.25">
      <c r="C44" s="262"/>
      <c r="D44" s="262"/>
      <c r="E44" s="262"/>
    </row>
  </sheetData>
  <sheetProtection selectLockedCells="1" selectUnlockedCells="1"/>
  <mergeCells count="2">
    <mergeCell ref="A2:E2"/>
    <mergeCell ref="A38:B38"/>
  </mergeCells>
  <phoneticPr fontId="27" type="noConversion"/>
  <pageMargins left="1.2" right="0.25" top="0.75" bottom="0.75" header="0.3" footer="0.3"/>
  <pageSetup paperSize="9" scale="65" firstPageNumber="0" fitToWidth="0" fitToHeight="0" orientation="portrait" r:id="rId1"/>
  <headerFooter alignWithMargins="0">
    <oddHeader>&amp;C
4/a. melléklet 
az önkormányzat 2018. évi költségvetéséről szóló 11/2018. (III.01.) önkormányzati rendelethez&amp;R
ezer forint
&amp;P. oldal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5"/>
  </sheetPr>
  <dimension ref="A3:K122"/>
  <sheetViews>
    <sheetView view="pageLayout" zoomScaleNormal="100" zoomScaleSheetLayoutView="80" workbookViewId="0">
      <selection activeCell="C115" sqref="C115"/>
    </sheetView>
  </sheetViews>
  <sheetFormatPr defaultColWidth="9.109375" defaultRowHeight="13.2" x14ac:dyDescent="0.25"/>
  <cols>
    <col min="1" max="1" width="44.44140625" style="10" customWidth="1"/>
    <col min="2" max="2" width="18.109375" style="235" customWidth="1"/>
    <col min="3" max="3" width="19" style="235" customWidth="1"/>
    <col min="4" max="4" width="18.109375" style="235" customWidth="1"/>
    <col min="5" max="5" width="11.6640625" style="10" customWidth="1"/>
    <col min="6" max="6" width="12" style="10" bestFit="1" customWidth="1"/>
    <col min="7" max="7" width="10.6640625" style="10" customWidth="1"/>
    <col min="8" max="16384" width="9.109375" style="10"/>
  </cols>
  <sheetData>
    <row r="3" spans="1:4" ht="15.6" x14ac:dyDescent="0.3">
      <c r="A3" s="1734" t="s">
        <v>77</v>
      </c>
      <c r="B3" s="1734"/>
      <c r="C3" s="1734"/>
      <c r="D3" s="1734"/>
    </row>
    <row r="4" spans="1:4" ht="13.8" thickBot="1" x14ac:dyDescent="0.3"/>
    <row r="5" spans="1:4" ht="51.75" customHeight="1" thickBot="1" x14ac:dyDescent="0.3">
      <c r="A5" s="101" t="s">
        <v>784</v>
      </c>
      <c r="B5" s="1026" t="s">
        <v>191</v>
      </c>
      <c r="C5" s="1027" t="s">
        <v>357</v>
      </c>
      <c r="D5" s="931" t="s">
        <v>358</v>
      </c>
    </row>
    <row r="6" spans="1:4" s="2" customFormat="1" ht="30.75" customHeight="1" x14ac:dyDescent="0.3">
      <c r="A6" s="297" t="s">
        <v>668</v>
      </c>
      <c r="B6" s="1199"/>
      <c r="C6" s="1205"/>
      <c r="D6" s="1195"/>
    </row>
    <row r="7" spans="1:4" s="2" customFormat="1" ht="18.899999999999999" customHeight="1" x14ac:dyDescent="0.3">
      <c r="A7" s="298" t="s">
        <v>562</v>
      </c>
      <c r="B7" s="1200">
        <v>289638993</v>
      </c>
      <c r="C7" s="1206">
        <v>299056678</v>
      </c>
      <c r="D7" s="1196">
        <f>C7-B7</f>
        <v>9417685</v>
      </c>
    </row>
    <row r="8" spans="1:4" s="2" customFormat="1" ht="18.899999999999999" customHeight="1" x14ac:dyDescent="0.3">
      <c r="A8" s="298" t="s">
        <v>563</v>
      </c>
      <c r="B8" s="1200">
        <v>62845576</v>
      </c>
      <c r="C8" s="1206">
        <v>65542144</v>
      </c>
      <c r="D8" s="1196">
        <f t="shared" ref="D8:D26" si="0">C8-B8</f>
        <v>2696568</v>
      </c>
    </row>
    <row r="9" spans="1:4" s="2" customFormat="1" ht="18.899999999999999" customHeight="1" x14ac:dyDescent="0.3">
      <c r="A9" s="298" t="s">
        <v>564</v>
      </c>
      <c r="B9" s="1201">
        <f>SUM(B10:B14)</f>
        <v>72986000</v>
      </c>
      <c r="C9" s="1206">
        <f>SUM(C10:C14)</f>
        <v>87100069</v>
      </c>
      <c r="D9" s="1196">
        <f t="shared" si="0"/>
        <v>14114069</v>
      </c>
    </row>
    <row r="10" spans="1:4" ht="18.899999999999999" customHeight="1" x14ac:dyDescent="0.25">
      <c r="A10" s="299" t="s">
        <v>565</v>
      </c>
      <c r="B10" s="1202">
        <v>57000000</v>
      </c>
      <c r="C10" s="1207">
        <v>71057092</v>
      </c>
      <c r="D10" s="1197">
        <f t="shared" si="0"/>
        <v>14057092</v>
      </c>
    </row>
    <row r="11" spans="1:4" ht="18.899999999999999" customHeight="1" x14ac:dyDescent="0.25">
      <c r="A11" s="299" t="s">
        <v>566</v>
      </c>
      <c r="B11" s="1202">
        <v>1400000</v>
      </c>
      <c r="C11" s="1207">
        <v>1400000</v>
      </c>
      <c r="D11" s="1197">
        <f t="shared" si="0"/>
        <v>0</v>
      </c>
    </row>
    <row r="12" spans="1:4" ht="18.899999999999999" customHeight="1" x14ac:dyDescent="0.25">
      <c r="A12" s="300" t="s">
        <v>490</v>
      </c>
      <c r="B12" s="1202">
        <v>403000</v>
      </c>
      <c r="C12" s="1207">
        <v>403000</v>
      </c>
      <c r="D12" s="1197">
        <f t="shared" si="0"/>
        <v>0</v>
      </c>
    </row>
    <row r="13" spans="1:4" ht="18.899999999999999" customHeight="1" x14ac:dyDescent="0.25">
      <c r="A13" s="300" t="s">
        <v>491</v>
      </c>
      <c r="B13" s="1202">
        <v>9000000</v>
      </c>
      <c r="C13" s="1207">
        <v>9000000</v>
      </c>
      <c r="D13" s="1197">
        <f t="shared" si="0"/>
        <v>0</v>
      </c>
    </row>
    <row r="14" spans="1:4" ht="18.899999999999999" customHeight="1" x14ac:dyDescent="0.25">
      <c r="A14" s="300" t="s">
        <v>492</v>
      </c>
      <c r="B14" s="1202">
        <v>5183000</v>
      </c>
      <c r="C14" s="1207">
        <v>5239977</v>
      </c>
      <c r="D14" s="1197">
        <f t="shared" si="0"/>
        <v>56977</v>
      </c>
    </row>
    <row r="15" spans="1:4" s="2" customFormat="1" ht="31.2" x14ac:dyDescent="0.3">
      <c r="A15" s="298" t="s">
        <v>567</v>
      </c>
      <c r="B15" s="1201">
        <f>B16</f>
        <v>1500000</v>
      </c>
      <c r="C15" s="1206">
        <f>C16</f>
        <v>1500000</v>
      </c>
      <c r="D15" s="1196">
        <f t="shared" si="0"/>
        <v>0</v>
      </c>
    </row>
    <row r="16" spans="1:4" ht="29.25" customHeight="1" x14ac:dyDescent="0.25">
      <c r="A16" s="300" t="s">
        <v>568</v>
      </c>
      <c r="B16" s="1202">
        <v>1500000</v>
      </c>
      <c r="C16" s="1207">
        <v>1500000</v>
      </c>
      <c r="D16" s="1197">
        <f t="shared" si="0"/>
        <v>0</v>
      </c>
    </row>
    <row r="17" spans="1:10" s="2" customFormat="1" ht="31.2" x14ac:dyDescent="0.3">
      <c r="A17" s="298" t="s">
        <v>569</v>
      </c>
      <c r="B17" s="1201">
        <f>SUM(B18:B18)</f>
        <v>174000</v>
      </c>
      <c r="C17" s="1206">
        <f>SUM(C18:C18)</f>
        <v>174000</v>
      </c>
      <c r="D17" s="1196">
        <f t="shared" si="0"/>
        <v>0</v>
      </c>
      <c r="E17" s="3"/>
      <c r="G17" s="55"/>
      <c r="H17" s="56"/>
      <c r="I17" s="56"/>
      <c r="J17" s="56"/>
    </row>
    <row r="18" spans="1:10" s="2" customFormat="1" ht="30" x14ac:dyDescent="0.3">
      <c r="A18" s="300" t="s">
        <v>568</v>
      </c>
      <c r="B18" s="1202">
        <v>174000</v>
      </c>
      <c r="C18" s="1207">
        <v>174000</v>
      </c>
      <c r="D18" s="1197">
        <f t="shared" si="0"/>
        <v>0</v>
      </c>
      <c r="G18" s="55"/>
      <c r="H18" s="56"/>
      <c r="I18" s="56"/>
      <c r="J18" s="56"/>
    </row>
    <row r="19" spans="1:10" s="2" customFormat="1" ht="31.2" x14ac:dyDescent="0.3">
      <c r="A19" s="298" t="s">
        <v>7</v>
      </c>
      <c r="B19" s="1200"/>
      <c r="C19" s="1206">
        <v>321968</v>
      </c>
      <c r="D19" s="1196">
        <f t="shared" si="0"/>
        <v>321968</v>
      </c>
      <c r="G19" s="55"/>
      <c r="H19" s="56"/>
      <c r="I19" s="56"/>
      <c r="J19" s="56"/>
    </row>
    <row r="20" spans="1:10" s="2" customFormat="1" ht="15.6" x14ac:dyDescent="0.3">
      <c r="A20" s="298" t="s">
        <v>880</v>
      </c>
      <c r="B20" s="1201">
        <f>B19+B17+B15+B9+B8+B7</f>
        <v>427144569</v>
      </c>
      <c r="C20" s="1206">
        <f>C19+C17+C15+C9+C8+C7</f>
        <v>453694859</v>
      </c>
      <c r="D20" s="1196">
        <f t="shared" si="0"/>
        <v>26550290</v>
      </c>
      <c r="G20" s="55"/>
      <c r="H20" s="56"/>
      <c r="I20" s="56"/>
      <c r="J20" s="56"/>
    </row>
    <row r="21" spans="1:10" s="2" customFormat="1" ht="18.899999999999999" customHeight="1" x14ac:dyDescent="0.3">
      <c r="A21" s="298" t="s">
        <v>571</v>
      </c>
      <c r="B21" s="1201">
        <f>SUM(B22:B24)</f>
        <v>14000000</v>
      </c>
      <c r="C21" s="1206">
        <f>SUM(C22:C25)</f>
        <v>19636980</v>
      </c>
      <c r="D21" s="1196">
        <f t="shared" si="0"/>
        <v>5636980</v>
      </c>
      <c r="E21" s="3"/>
      <c r="G21" s="57"/>
      <c r="H21" s="58"/>
      <c r="I21" s="58"/>
      <c r="J21" s="58"/>
    </row>
    <row r="22" spans="1:10" ht="30" x14ac:dyDescent="0.3">
      <c r="A22" s="301" t="s">
        <v>695</v>
      </c>
      <c r="B22" s="1202">
        <v>8000000</v>
      </c>
      <c r="C22" s="1207">
        <v>11767242</v>
      </c>
      <c r="D22" s="1197">
        <f t="shared" si="0"/>
        <v>3767242</v>
      </c>
      <c r="G22" s="57"/>
      <c r="H22" s="58"/>
      <c r="I22" s="58"/>
      <c r="J22" s="58"/>
    </row>
    <row r="23" spans="1:10" ht="15.6" x14ac:dyDescent="0.3">
      <c r="A23" s="301" t="s">
        <v>385</v>
      </c>
      <c r="B23" s="1202">
        <v>5000000</v>
      </c>
      <c r="C23" s="1207">
        <v>5269738</v>
      </c>
      <c r="D23" s="1197">
        <f t="shared" si="0"/>
        <v>269738</v>
      </c>
      <c r="G23" s="57"/>
      <c r="H23" s="58"/>
      <c r="I23" s="58"/>
      <c r="J23" s="58"/>
    </row>
    <row r="24" spans="1:10" ht="18.899999999999999" customHeight="1" x14ac:dyDescent="0.3">
      <c r="A24" s="301" t="s">
        <v>493</v>
      </c>
      <c r="B24" s="1202">
        <v>1000000</v>
      </c>
      <c r="C24" s="1207">
        <v>2000000</v>
      </c>
      <c r="D24" s="1197">
        <f t="shared" si="0"/>
        <v>1000000</v>
      </c>
      <c r="G24" s="57"/>
      <c r="H24" s="58"/>
      <c r="I24" s="58"/>
      <c r="J24" s="58"/>
    </row>
    <row r="25" spans="1:10" ht="18.899999999999999" customHeight="1" x14ac:dyDescent="0.3">
      <c r="A25" s="301" t="s">
        <v>987</v>
      </c>
      <c r="B25" s="1203"/>
      <c r="C25" s="1208">
        <v>600000</v>
      </c>
      <c r="D25" s="1197">
        <f t="shared" si="0"/>
        <v>600000</v>
      </c>
      <c r="G25" s="57"/>
      <c r="H25" s="58"/>
      <c r="I25" s="58"/>
      <c r="J25" s="58"/>
    </row>
    <row r="26" spans="1:10" s="2" customFormat="1" ht="30" customHeight="1" thickBot="1" x14ac:dyDescent="0.35">
      <c r="A26" s="302" t="s">
        <v>1009</v>
      </c>
      <c r="B26" s="1204">
        <f>B21+B20</f>
        <v>441144569</v>
      </c>
      <c r="C26" s="1209">
        <f>C21+C20</f>
        <v>473331839</v>
      </c>
      <c r="D26" s="1198">
        <f t="shared" si="0"/>
        <v>32187270</v>
      </c>
      <c r="E26" s="3"/>
      <c r="G26" s="57"/>
      <c r="H26" s="58"/>
      <c r="I26" s="58"/>
      <c r="J26" s="58"/>
    </row>
    <row r="27" spans="1:10" s="2" customFormat="1" ht="30" customHeight="1" thickBot="1" x14ac:dyDescent="0.35">
      <c r="A27" s="55"/>
      <c r="B27" s="58"/>
      <c r="C27" s="58"/>
      <c r="D27" s="351"/>
      <c r="E27" s="3"/>
      <c r="G27" s="57"/>
      <c r="H27" s="58"/>
      <c r="I27" s="58"/>
      <c r="J27" s="58"/>
    </row>
    <row r="28" spans="1:10" ht="58.5" customHeight="1" thickBot="1" x14ac:dyDescent="0.3">
      <c r="A28" s="101" t="s">
        <v>784</v>
      </c>
      <c r="B28" s="1026" t="s">
        <v>191</v>
      </c>
      <c r="C28" s="1027" t="s">
        <v>357</v>
      </c>
      <c r="D28" s="931" t="s">
        <v>358</v>
      </c>
      <c r="G28" s="59"/>
      <c r="H28" s="59"/>
      <c r="I28" s="59"/>
      <c r="J28" s="60"/>
    </row>
    <row r="29" spans="1:10" s="2" customFormat="1" ht="39.75" customHeight="1" x14ac:dyDescent="0.3">
      <c r="A29" s="297" t="s">
        <v>1010</v>
      </c>
      <c r="B29" s="303"/>
      <c r="C29" s="304"/>
      <c r="D29" s="1028"/>
      <c r="G29" s="57"/>
      <c r="H29" s="58"/>
      <c r="I29" s="58"/>
      <c r="J29" s="58"/>
    </row>
    <row r="30" spans="1:10" s="2" customFormat="1" ht="18.899999999999999" customHeight="1" x14ac:dyDescent="0.3">
      <c r="A30" s="84" t="s">
        <v>572</v>
      </c>
      <c r="B30" s="305">
        <f>SUM(B31:B44)</f>
        <v>129569315</v>
      </c>
      <c r="C30" s="104">
        <f>SUM(C31:C44)</f>
        <v>138018414</v>
      </c>
      <c r="D30" s="1029">
        <f>C30-B30</f>
        <v>8449099</v>
      </c>
      <c r="E30" s="3"/>
      <c r="F30" s="3"/>
      <c r="G30" s="57"/>
      <c r="H30" s="58"/>
      <c r="I30" s="58"/>
      <c r="J30" s="58"/>
    </row>
    <row r="31" spans="1:10" ht="18.899999999999999" customHeight="1" x14ac:dyDescent="0.25">
      <c r="A31" s="85" t="s">
        <v>573</v>
      </c>
      <c r="B31" s="306">
        <v>29066342</v>
      </c>
      <c r="C31" s="105">
        <v>29076342</v>
      </c>
      <c r="D31" s="1030">
        <f>C31-B31</f>
        <v>10000</v>
      </c>
      <c r="G31" s="61"/>
      <c r="H31" s="60"/>
      <c r="I31" s="60"/>
      <c r="J31" s="60"/>
    </row>
    <row r="32" spans="1:10" ht="18.899999999999999" customHeight="1" x14ac:dyDescent="0.25">
      <c r="A32" s="85" t="s">
        <v>9</v>
      </c>
      <c r="B32" s="306">
        <v>18676843</v>
      </c>
      <c r="C32" s="105">
        <v>18676843</v>
      </c>
      <c r="D32" s="1030">
        <f t="shared" ref="D32:D58" si="1">C32-B32</f>
        <v>0</v>
      </c>
      <c r="G32" s="61"/>
      <c r="H32" s="60"/>
      <c r="I32" s="60"/>
      <c r="J32" s="60"/>
    </row>
    <row r="33" spans="1:10" ht="18.899999999999999" customHeight="1" x14ac:dyDescent="0.25">
      <c r="A33" s="85" t="s">
        <v>575</v>
      </c>
      <c r="B33" s="306">
        <v>10318600</v>
      </c>
      <c r="C33" s="105">
        <v>10570500</v>
      </c>
      <c r="D33" s="1030">
        <f t="shared" si="1"/>
        <v>251900</v>
      </c>
      <c r="G33" s="61"/>
      <c r="H33" s="60"/>
      <c r="I33" s="60"/>
      <c r="J33" s="60"/>
    </row>
    <row r="34" spans="1:10" ht="18.899999999999999" customHeight="1" x14ac:dyDescent="0.25">
      <c r="A34" s="85" t="s">
        <v>574</v>
      </c>
      <c r="B34" s="306">
        <v>1120000</v>
      </c>
      <c r="C34" s="105">
        <v>1040000</v>
      </c>
      <c r="D34" s="1030">
        <f t="shared" si="1"/>
        <v>-80000</v>
      </c>
      <c r="G34" s="61"/>
      <c r="H34" s="60"/>
      <c r="I34" s="60"/>
      <c r="J34" s="60"/>
    </row>
    <row r="35" spans="1:10" ht="18.899999999999999" customHeight="1" x14ac:dyDescent="0.25">
      <c r="A35" s="85" t="s">
        <v>576</v>
      </c>
      <c r="B35" s="306">
        <v>5800000</v>
      </c>
      <c r="C35" s="105">
        <v>5800000</v>
      </c>
      <c r="D35" s="1030">
        <f t="shared" si="1"/>
        <v>0</v>
      </c>
      <c r="G35" s="61"/>
      <c r="H35" s="60"/>
      <c r="I35" s="60"/>
      <c r="J35" s="60"/>
    </row>
    <row r="36" spans="1:10" ht="22.5" customHeight="1" x14ac:dyDescent="0.25">
      <c r="A36" s="85" t="s">
        <v>818</v>
      </c>
      <c r="B36" s="306">
        <v>2900000</v>
      </c>
      <c r="C36" s="105">
        <f>11167199</f>
        <v>11167199</v>
      </c>
      <c r="D36" s="1030">
        <f t="shared" si="1"/>
        <v>8267199</v>
      </c>
      <c r="G36" s="61"/>
      <c r="H36" s="60"/>
      <c r="I36" s="60"/>
      <c r="J36" s="60"/>
    </row>
    <row r="37" spans="1:10" ht="30" x14ac:dyDescent="0.25">
      <c r="A37" s="916" t="s">
        <v>975</v>
      </c>
      <c r="B37" s="1170">
        <v>553278</v>
      </c>
      <c r="C37" s="105">
        <v>553278</v>
      </c>
      <c r="D37" s="1030">
        <f t="shared" si="1"/>
        <v>0</v>
      </c>
      <c r="F37" s="52"/>
      <c r="G37" s="61"/>
      <c r="H37" s="60"/>
      <c r="I37" s="60"/>
      <c r="J37" s="60"/>
    </row>
    <row r="38" spans="1:10" ht="30" x14ac:dyDescent="0.25">
      <c r="A38" s="917" t="s">
        <v>976</v>
      </c>
      <c r="B38" s="1170">
        <v>393701</v>
      </c>
      <c r="C38" s="105">
        <v>393701</v>
      </c>
      <c r="D38" s="1030">
        <f t="shared" si="1"/>
        <v>0</v>
      </c>
      <c r="G38" s="61"/>
      <c r="H38" s="60"/>
      <c r="I38" s="60"/>
      <c r="J38" s="60"/>
    </row>
    <row r="39" spans="1:10" ht="30" x14ac:dyDescent="0.25">
      <c r="A39" s="917" t="s">
        <v>973</v>
      </c>
      <c r="B39" s="1170">
        <v>1023622</v>
      </c>
      <c r="C39" s="105">
        <v>1023622</v>
      </c>
      <c r="D39" s="1030">
        <f t="shared" si="1"/>
        <v>0</v>
      </c>
      <c r="G39" s="61"/>
      <c r="H39" s="60"/>
      <c r="I39" s="60"/>
      <c r="J39" s="60"/>
    </row>
    <row r="40" spans="1:10" ht="45" x14ac:dyDescent="0.25">
      <c r="A40" s="917" t="s">
        <v>974</v>
      </c>
      <c r="B40" s="1170">
        <v>16623043</v>
      </c>
      <c r="C40" s="105">
        <v>16623043</v>
      </c>
      <c r="D40" s="1030">
        <f t="shared" si="1"/>
        <v>0</v>
      </c>
      <c r="G40" s="61"/>
      <c r="H40" s="60"/>
      <c r="I40" s="60"/>
      <c r="J40" s="60"/>
    </row>
    <row r="41" spans="1:10" ht="45" x14ac:dyDescent="0.25">
      <c r="A41" s="948" t="s">
        <v>398</v>
      </c>
      <c r="B41" s="1170">
        <v>37337600</v>
      </c>
      <c r="C41" s="105">
        <v>37337600</v>
      </c>
      <c r="D41" s="1030">
        <f t="shared" si="1"/>
        <v>0</v>
      </c>
      <c r="G41" s="61"/>
      <c r="H41" s="60"/>
      <c r="I41" s="60"/>
      <c r="J41" s="60"/>
    </row>
    <row r="42" spans="1:10" ht="45" x14ac:dyDescent="0.25">
      <c r="A42" s="948" t="s">
        <v>399</v>
      </c>
      <c r="B42" s="1170">
        <v>1676286</v>
      </c>
      <c r="C42" s="105">
        <v>1676286</v>
      </c>
      <c r="D42" s="1030">
        <f t="shared" si="1"/>
        <v>0</v>
      </c>
      <c r="G42" s="61"/>
      <c r="H42" s="60"/>
      <c r="I42" s="60"/>
      <c r="J42" s="60"/>
    </row>
    <row r="43" spans="1:10" ht="45" x14ac:dyDescent="0.25">
      <c r="A43" s="948" t="s">
        <v>401</v>
      </c>
      <c r="B43" s="1170">
        <v>2880000</v>
      </c>
      <c r="C43" s="105">
        <v>2880000</v>
      </c>
      <c r="D43" s="1030">
        <f t="shared" si="1"/>
        <v>0</v>
      </c>
      <c r="G43" s="61"/>
      <c r="H43" s="60"/>
      <c r="I43" s="60"/>
      <c r="J43" s="60"/>
    </row>
    <row r="44" spans="1:10" ht="45" x14ac:dyDescent="0.25">
      <c r="A44" s="948" t="s">
        <v>403</v>
      </c>
      <c r="B44" s="1170">
        <v>1200000</v>
      </c>
      <c r="C44" s="105">
        <v>1200000</v>
      </c>
      <c r="D44" s="1030">
        <f t="shared" si="1"/>
        <v>0</v>
      </c>
      <c r="G44" s="61"/>
      <c r="H44" s="60"/>
      <c r="I44" s="60"/>
      <c r="J44" s="60"/>
    </row>
    <row r="45" spans="1:10" s="5" customFormat="1" ht="31.2" x14ac:dyDescent="0.3">
      <c r="A45" s="335" t="s">
        <v>577</v>
      </c>
      <c r="B45" s="305">
        <f>SUM(B46:B58)</f>
        <v>23634119</v>
      </c>
      <c r="C45" s="104">
        <f>SUM(C46:C58)</f>
        <v>27331842</v>
      </c>
      <c r="D45" s="1031">
        <f t="shared" si="1"/>
        <v>3697723</v>
      </c>
      <c r="E45" s="4"/>
      <c r="G45" s="57"/>
      <c r="H45" s="58"/>
      <c r="I45" s="58"/>
      <c r="J45" s="58"/>
    </row>
    <row r="46" spans="1:10" ht="18.899999999999999" customHeight="1" x14ac:dyDescent="0.25">
      <c r="A46" s="85" t="s">
        <v>573</v>
      </c>
      <c r="B46" s="306">
        <v>5745921</v>
      </c>
      <c r="C46" s="105">
        <v>5749343</v>
      </c>
      <c r="D46" s="1030">
        <f t="shared" si="1"/>
        <v>3422</v>
      </c>
      <c r="G46" s="61"/>
      <c r="H46" s="60"/>
      <c r="I46" s="60"/>
      <c r="J46" s="60"/>
    </row>
    <row r="47" spans="1:10" ht="18.899999999999999" customHeight="1" x14ac:dyDescent="0.25">
      <c r="A47" s="85" t="s">
        <v>9</v>
      </c>
      <c r="B47" s="306">
        <v>1836372</v>
      </c>
      <c r="C47" s="105">
        <v>1836372</v>
      </c>
      <c r="D47" s="1030">
        <f t="shared" si="1"/>
        <v>0</v>
      </c>
      <c r="G47" s="61"/>
      <c r="H47" s="60"/>
      <c r="I47" s="60"/>
      <c r="J47" s="60"/>
    </row>
    <row r="48" spans="1:10" ht="18.899999999999999" customHeight="1" x14ac:dyDescent="0.25">
      <c r="A48" s="85" t="s">
        <v>804</v>
      </c>
      <c r="B48" s="306">
        <v>1854071</v>
      </c>
      <c r="C48" s="105">
        <v>1893071</v>
      </c>
      <c r="D48" s="1030">
        <f t="shared" si="1"/>
        <v>39000</v>
      </c>
      <c r="G48" s="61"/>
      <c r="H48" s="60"/>
      <c r="I48" s="60"/>
      <c r="J48" s="60"/>
    </row>
    <row r="49" spans="1:11" ht="18.899999999999999" customHeight="1" x14ac:dyDescent="0.25">
      <c r="A49" s="85" t="s">
        <v>574</v>
      </c>
      <c r="B49" s="306">
        <v>234000</v>
      </c>
      <c r="C49" s="105">
        <v>234000</v>
      </c>
      <c r="D49" s="1030">
        <f t="shared" si="1"/>
        <v>0</v>
      </c>
      <c r="G49" s="61"/>
      <c r="H49" s="60"/>
      <c r="I49" s="60"/>
      <c r="J49" s="60"/>
    </row>
    <row r="50" spans="1:11" ht="28.5" customHeight="1" x14ac:dyDescent="0.25">
      <c r="A50" s="195" t="s">
        <v>819</v>
      </c>
      <c r="B50" s="306">
        <v>1180590</v>
      </c>
      <c r="C50" s="105">
        <v>4835891</v>
      </c>
      <c r="D50" s="1030">
        <f t="shared" si="1"/>
        <v>3655301</v>
      </c>
      <c r="G50" s="61"/>
      <c r="H50" s="60"/>
      <c r="I50" s="60"/>
      <c r="J50" s="60"/>
    </row>
    <row r="51" spans="1:11" ht="28.5" customHeight="1" x14ac:dyDescent="0.25">
      <c r="A51" s="916" t="s">
        <v>975</v>
      </c>
      <c r="B51" s="1170">
        <v>121721</v>
      </c>
      <c r="C51" s="105">
        <v>121721</v>
      </c>
      <c r="D51" s="1030">
        <f t="shared" si="1"/>
        <v>0</v>
      </c>
      <c r="G51" s="61"/>
      <c r="H51" s="60"/>
      <c r="I51" s="60"/>
      <c r="J51" s="60"/>
    </row>
    <row r="52" spans="1:11" ht="28.5" customHeight="1" x14ac:dyDescent="0.25">
      <c r="A52" s="917" t="s">
        <v>976</v>
      </c>
      <c r="B52" s="1170">
        <v>106299</v>
      </c>
      <c r="C52" s="105">
        <v>106299</v>
      </c>
      <c r="D52" s="1030">
        <f t="shared" si="1"/>
        <v>0</v>
      </c>
      <c r="G52" s="61"/>
      <c r="H52" s="60"/>
      <c r="I52" s="60"/>
      <c r="J52" s="60"/>
    </row>
    <row r="53" spans="1:11" ht="28.5" customHeight="1" x14ac:dyDescent="0.25">
      <c r="A53" s="917" t="s">
        <v>973</v>
      </c>
      <c r="B53" s="1170">
        <v>276378</v>
      </c>
      <c r="C53" s="105">
        <v>276378</v>
      </c>
      <c r="D53" s="1030">
        <f t="shared" si="1"/>
        <v>0</v>
      </c>
      <c r="G53" s="61"/>
      <c r="H53" s="60"/>
      <c r="I53" s="60"/>
      <c r="J53" s="60"/>
    </row>
    <row r="54" spans="1:11" ht="45" x14ac:dyDescent="0.25">
      <c r="A54" s="917" t="s">
        <v>974</v>
      </c>
      <c r="B54" s="1170">
        <v>4659049</v>
      </c>
      <c r="C54" s="105">
        <v>4659049</v>
      </c>
      <c r="D54" s="1030">
        <f t="shared" si="1"/>
        <v>0</v>
      </c>
      <c r="F54" s="52"/>
      <c r="G54" s="61"/>
      <c r="H54" s="60"/>
      <c r="I54" s="60"/>
      <c r="J54" s="60"/>
    </row>
    <row r="55" spans="1:11" ht="45" x14ac:dyDescent="0.25">
      <c r="A55" s="1032" t="s">
        <v>398</v>
      </c>
      <c r="B55" s="1170">
        <v>6353334</v>
      </c>
      <c r="C55" s="105">
        <v>6353334</v>
      </c>
      <c r="D55" s="1030">
        <f t="shared" si="1"/>
        <v>0</v>
      </c>
      <c r="G55" s="61"/>
      <c r="H55" s="60"/>
      <c r="I55" s="60"/>
      <c r="J55" s="60"/>
    </row>
    <row r="56" spans="1:11" ht="45" x14ac:dyDescent="0.25">
      <c r="A56" s="948" t="s">
        <v>399</v>
      </c>
      <c r="B56" s="1170">
        <v>368784</v>
      </c>
      <c r="C56" s="105">
        <v>368784</v>
      </c>
      <c r="D56" s="1030">
        <f t="shared" si="1"/>
        <v>0</v>
      </c>
      <c r="G56" s="61"/>
      <c r="H56" s="60"/>
      <c r="I56" s="60"/>
      <c r="J56" s="60"/>
    </row>
    <row r="57" spans="1:11" ht="45" x14ac:dyDescent="0.25">
      <c r="A57" s="948" t="s">
        <v>401</v>
      </c>
      <c r="B57" s="1170">
        <v>633600</v>
      </c>
      <c r="C57" s="105">
        <v>633600</v>
      </c>
      <c r="D57" s="1030">
        <f t="shared" si="1"/>
        <v>0</v>
      </c>
      <c r="G57" s="61"/>
      <c r="H57" s="60"/>
      <c r="I57" s="60"/>
      <c r="J57" s="60"/>
    </row>
    <row r="58" spans="1:11" ht="45.6" thickBot="1" x14ac:dyDescent="0.3">
      <c r="A58" s="1033" t="s">
        <v>403</v>
      </c>
      <c r="B58" s="1171">
        <v>264000</v>
      </c>
      <c r="C58" s="835">
        <v>264000</v>
      </c>
      <c r="D58" s="1034">
        <f t="shared" si="1"/>
        <v>0</v>
      </c>
      <c r="G58" s="61"/>
      <c r="H58" s="60"/>
      <c r="I58" s="60"/>
      <c r="J58" s="60"/>
    </row>
    <row r="59" spans="1:11" ht="36" customHeight="1" thickBot="1" x14ac:dyDescent="0.3">
      <c r="A59" s="101" t="s">
        <v>784</v>
      </c>
      <c r="B59" s="514" t="s">
        <v>191</v>
      </c>
      <c r="C59" s="1035" t="s">
        <v>357</v>
      </c>
      <c r="D59" s="932" t="s">
        <v>358</v>
      </c>
      <c r="G59" s="61"/>
      <c r="H59" s="60"/>
      <c r="I59" s="60"/>
      <c r="J59" s="60"/>
    </row>
    <row r="60" spans="1:11" s="2" customFormat="1" ht="18.899999999999999" customHeight="1" x14ac:dyDescent="0.3">
      <c r="A60" s="194" t="s">
        <v>564</v>
      </c>
      <c r="B60" s="303">
        <f>SUM(B61:B100)</f>
        <v>813964964</v>
      </c>
      <c r="C60" s="304">
        <f>SUM(C61:C100)</f>
        <v>859756680</v>
      </c>
      <c r="D60" s="1036">
        <f>C60-B60</f>
        <v>45791716</v>
      </c>
      <c r="F60" s="3"/>
      <c r="G60" s="57"/>
      <c r="H60" s="58"/>
      <c r="I60" s="58"/>
      <c r="J60" s="58"/>
      <c r="K60" s="10"/>
    </row>
    <row r="61" spans="1:11" ht="18.899999999999999" customHeight="1" x14ac:dyDescent="0.25">
      <c r="A61" s="300" t="s">
        <v>578</v>
      </c>
      <c r="B61" s="306">
        <v>4000000</v>
      </c>
      <c r="C61" s="105">
        <v>5688300</v>
      </c>
      <c r="D61" s="1030">
        <f>C61-B61</f>
        <v>1688300</v>
      </c>
      <c r="G61" s="61"/>
      <c r="H61" s="60"/>
      <c r="I61" s="60"/>
      <c r="J61" s="60"/>
      <c r="K61" s="2"/>
    </row>
    <row r="62" spans="1:11" ht="18.899999999999999" customHeight="1" x14ac:dyDescent="0.25">
      <c r="A62" s="300" t="s">
        <v>579</v>
      </c>
      <c r="B62" s="306">
        <v>175922000</v>
      </c>
      <c r="C62" s="105">
        <v>206301874</v>
      </c>
      <c r="D62" s="1030">
        <f t="shared" ref="D62:D88" si="2">C62-B62</f>
        <v>30379874</v>
      </c>
      <c r="G62" s="61"/>
      <c r="H62" s="60"/>
      <c r="I62" s="60"/>
      <c r="J62" s="60"/>
    </row>
    <row r="63" spans="1:11" ht="18.899999999999999" customHeight="1" x14ac:dyDescent="0.25">
      <c r="A63" s="300" t="s">
        <v>580</v>
      </c>
      <c r="B63" s="306">
        <v>30740000</v>
      </c>
      <c r="C63" s="105">
        <v>25730420</v>
      </c>
      <c r="D63" s="1030">
        <f t="shared" si="2"/>
        <v>-5009580</v>
      </c>
      <c r="G63" s="61"/>
      <c r="H63" s="60"/>
      <c r="I63" s="60"/>
      <c r="J63" s="60"/>
    </row>
    <row r="64" spans="1:11" ht="18.899999999999999" customHeight="1" x14ac:dyDescent="0.25">
      <c r="A64" s="300" t="s">
        <v>581</v>
      </c>
      <c r="B64" s="306">
        <v>2500000</v>
      </c>
      <c r="C64" s="105">
        <v>1627287</v>
      </c>
      <c r="D64" s="1030">
        <f t="shared" si="2"/>
        <v>-872713</v>
      </c>
      <c r="G64" s="61"/>
      <c r="H64" s="60"/>
      <c r="I64" s="60"/>
      <c r="J64" s="60"/>
    </row>
    <row r="65" spans="1:10" ht="18.899999999999999" customHeight="1" x14ac:dyDescent="0.3">
      <c r="A65" s="300" t="s">
        <v>582</v>
      </c>
      <c r="B65" s="306">
        <v>22701850</v>
      </c>
      <c r="C65" s="105">
        <v>20145218</v>
      </c>
      <c r="D65" s="1030">
        <f t="shared" si="2"/>
        <v>-2556632</v>
      </c>
      <c r="G65" s="57"/>
      <c r="H65" s="58"/>
      <c r="I65" s="58"/>
      <c r="J65" s="58"/>
    </row>
    <row r="66" spans="1:10" ht="18.899999999999999" customHeight="1" x14ac:dyDescent="0.25">
      <c r="A66" s="300" t="s">
        <v>583</v>
      </c>
      <c r="B66" s="306">
        <v>4930000</v>
      </c>
      <c r="C66" s="105">
        <v>3798000</v>
      </c>
      <c r="D66" s="1030">
        <f t="shared" si="2"/>
        <v>-1132000</v>
      </c>
      <c r="G66" s="57"/>
      <c r="H66" s="60"/>
      <c r="I66" s="60"/>
      <c r="J66" s="60"/>
    </row>
    <row r="67" spans="1:10" ht="18.899999999999999" customHeight="1" x14ac:dyDescent="0.25">
      <c r="A67" s="300" t="s">
        <v>584</v>
      </c>
      <c r="B67" s="306">
        <v>800000</v>
      </c>
      <c r="C67" s="105">
        <v>844247</v>
      </c>
      <c r="D67" s="1030">
        <f t="shared" si="2"/>
        <v>44247</v>
      </c>
      <c r="G67" s="61"/>
      <c r="H67" s="60"/>
      <c r="I67" s="60"/>
      <c r="J67" s="60"/>
    </row>
    <row r="68" spans="1:10" ht="18.899999999999999" customHeight="1" x14ac:dyDescent="0.25">
      <c r="A68" s="300" t="s">
        <v>585</v>
      </c>
      <c r="B68" s="306">
        <v>11000000</v>
      </c>
      <c r="C68" s="105">
        <v>11000000</v>
      </c>
      <c r="D68" s="1030">
        <f t="shared" si="2"/>
        <v>0</v>
      </c>
      <c r="G68" s="61"/>
      <c r="H68" s="60"/>
      <c r="I68" s="60"/>
      <c r="J68" s="60"/>
    </row>
    <row r="69" spans="1:10" ht="18.899999999999999" customHeight="1" x14ac:dyDescent="0.25">
      <c r="A69" s="300" t="s">
        <v>586</v>
      </c>
      <c r="B69" s="306">
        <v>43867150</v>
      </c>
      <c r="C69" s="105">
        <v>48053948</v>
      </c>
      <c r="D69" s="1030">
        <f t="shared" si="2"/>
        <v>4186798</v>
      </c>
      <c r="G69" s="61"/>
      <c r="H69" s="60"/>
      <c r="I69" s="60"/>
      <c r="J69" s="60"/>
    </row>
    <row r="70" spans="1:10" ht="18.899999999999999" customHeight="1" x14ac:dyDescent="0.25">
      <c r="A70" s="300" t="s">
        <v>387</v>
      </c>
      <c r="B70" s="306">
        <v>18545480</v>
      </c>
      <c r="C70" s="105">
        <v>18545480</v>
      </c>
      <c r="D70" s="1030">
        <f t="shared" si="2"/>
        <v>0</v>
      </c>
      <c r="G70" s="61"/>
      <c r="H70" s="60"/>
      <c r="I70" s="60"/>
      <c r="J70" s="60"/>
    </row>
    <row r="71" spans="1:10" ht="18.899999999999999" customHeight="1" x14ac:dyDescent="0.25">
      <c r="A71" s="300" t="s">
        <v>587</v>
      </c>
      <c r="B71" s="306">
        <v>109397995</v>
      </c>
      <c r="C71" s="105">
        <v>105824545</v>
      </c>
      <c r="D71" s="1030">
        <f t="shared" si="2"/>
        <v>-3573450</v>
      </c>
      <c r="G71" s="61"/>
      <c r="H71" s="60"/>
      <c r="I71" s="60"/>
      <c r="J71" s="60"/>
    </row>
    <row r="72" spans="1:10" ht="18.899999999999999" customHeight="1" x14ac:dyDescent="0.3">
      <c r="A72" s="300" t="s">
        <v>588</v>
      </c>
      <c r="B72" s="306">
        <v>1200000</v>
      </c>
      <c r="C72" s="105">
        <v>1486080</v>
      </c>
      <c r="D72" s="1030">
        <f t="shared" si="2"/>
        <v>286080</v>
      </c>
      <c r="G72" s="57"/>
      <c r="H72" s="58"/>
      <c r="I72" s="56"/>
      <c r="J72" s="58"/>
    </row>
    <row r="73" spans="1:10" ht="18.899999999999999" customHeight="1" x14ac:dyDescent="0.25">
      <c r="A73" s="300" t="s">
        <v>589</v>
      </c>
      <c r="B73" s="306">
        <v>780000</v>
      </c>
      <c r="C73" s="105">
        <v>1412714</v>
      </c>
      <c r="D73" s="1030">
        <f t="shared" si="2"/>
        <v>632714</v>
      </c>
      <c r="G73" s="61"/>
      <c r="H73" s="60"/>
      <c r="I73" s="60"/>
      <c r="J73" s="60"/>
    </row>
    <row r="74" spans="1:10" ht="18.899999999999999" customHeight="1" x14ac:dyDescent="0.25">
      <c r="A74" s="300" t="s">
        <v>341</v>
      </c>
      <c r="B74" s="306">
        <v>102220631</v>
      </c>
      <c r="C74" s="105">
        <v>108945267</v>
      </c>
      <c r="D74" s="1030">
        <f t="shared" si="2"/>
        <v>6724636</v>
      </c>
      <c r="G74" s="61"/>
      <c r="H74" s="60"/>
      <c r="I74" s="60"/>
      <c r="J74" s="60"/>
    </row>
    <row r="75" spans="1:10" ht="18.899999999999999" customHeight="1" x14ac:dyDescent="0.25">
      <c r="A75" s="300" t="s">
        <v>107</v>
      </c>
      <c r="B75" s="306">
        <v>831744</v>
      </c>
      <c r="C75" s="105">
        <v>831744</v>
      </c>
      <c r="D75" s="1030">
        <f t="shared" si="2"/>
        <v>0</v>
      </c>
      <c r="G75" s="61"/>
      <c r="H75" s="60"/>
      <c r="I75" s="60"/>
      <c r="J75" s="60"/>
    </row>
    <row r="76" spans="1:10" ht="18.899999999999999" customHeight="1" x14ac:dyDescent="0.25">
      <c r="A76" s="300" t="s">
        <v>991</v>
      </c>
      <c r="B76" s="306">
        <v>0</v>
      </c>
      <c r="C76" s="105">
        <v>5369</v>
      </c>
      <c r="D76" s="1030">
        <f t="shared" si="2"/>
        <v>5369</v>
      </c>
      <c r="G76" s="61"/>
      <c r="H76" s="60"/>
      <c r="I76" s="60"/>
      <c r="J76" s="60"/>
    </row>
    <row r="77" spans="1:10" ht="31.5" customHeight="1" x14ac:dyDescent="0.25">
      <c r="A77" s="300" t="s">
        <v>881</v>
      </c>
      <c r="B77" s="306">
        <v>25775000</v>
      </c>
      <c r="C77" s="105">
        <v>25495294</v>
      </c>
      <c r="D77" s="1030">
        <f t="shared" si="2"/>
        <v>-279706</v>
      </c>
      <c r="G77" s="61"/>
      <c r="H77" s="60"/>
      <c r="I77" s="60"/>
      <c r="J77" s="60"/>
    </row>
    <row r="78" spans="1:10" ht="15" x14ac:dyDescent="0.25">
      <c r="A78" s="300" t="s">
        <v>590</v>
      </c>
      <c r="B78" s="1170">
        <v>8500000</v>
      </c>
      <c r="C78" s="105">
        <v>8500000</v>
      </c>
      <c r="D78" s="1030">
        <f t="shared" si="2"/>
        <v>0</v>
      </c>
      <c r="G78" s="61"/>
      <c r="H78" s="60"/>
      <c r="I78" s="60"/>
      <c r="J78" s="60"/>
    </row>
    <row r="79" spans="1:10" ht="15" x14ac:dyDescent="0.25">
      <c r="A79" s="300" t="s">
        <v>80</v>
      </c>
      <c r="B79" s="1170">
        <v>11500000</v>
      </c>
      <c r="C79" s="105">
        <v>11500000</v>
      </c>
      <c r="D79" s="1030">
        <f t="shared" si="2"/>
        <v>0</v>
      </c>
      <c r="G79" s="61"/>
      <c r="H79" s="60"/>
      <c r="I79" s="60"/>
      <c r="J79" s="60"/>
    </row>
    <row r="80" spans="1:10" ht="30" x14ac:dyDescent="0.25">
      <c r="A80" s="300" t="s">
        <v>658</v>
      </c>
      <c r="B80" s="1170">
        <v>0</v>
      </c>
      <c r="C80" s="105">
        <v>0</v>
      </c>
      <c r="D80" s="1030">
        <f t="shared" si="2"/>
        <v>0</v>
      </c>
      <c r="G80" s="61"/>
      <c r="H80" s="60"/>
      <c r="I80" s="60"/>
      <c r="J80" s="60"/>
    </row>
    <row r="81" spans="1:10" ht="45" x14ac:dyDescent="0.25">
      <c r="A81" s="1037" t="s">
        <v>616</v>
      </c>
      <c r="B81" s="1170">
        <v>2127000</v>
      </c>
      <c r="C81" s="105">
        <v>2127000</v>
      </c>
      <c r="D81" s="1030">
        <f t="shared" si="2"/>
        <v>0</v>
      </c>
      <c r="E81" s="52"/>
      <c r="G81" s="61"/>
      <c r="H81" s="60"/>
      <c r="I81" s="60"/>
      <c r="J81" s="60"/>
    </row>
    <row r="82" spans="1:10" ht="30" x14ac:dyDescent="0.25">
      <c r="A82" s="916" t="s">
        <v>975</v>
      </c>
      <c r="B82" s="1170">
        <v>6165001</v>
      </c>
      <c r="C82" s="105">
        <v>6165001</v>
      </c>
      <c r="D82" s="1030">
        <f t="shared" si="2"/>
        <v>0</v>
      </c>
      <c r="E82" s="52"/>
      <c r="G82" s="61"/>
      <c r="H82" s="60"/>
      <c r="I82" s="60"/>
      <c r="J82" s="60"/>
    </row>
    <row r="83" spans="1:10" ht="45" x14ac:dyDescent="0.25">
      <c r="A83" s="1037" t="s">
        <v>615</v>
      </c>
      <c r="B83" s="1170">
        <f>19423879+5244447</f>
        <v>24668326</v>
      </c>
      <c r="C83" s="105">
        <f>19423879+5244447</f>
        <v>24668326</v>
      </c>
      <c r="D83" s="1030">
        <f t="shared" si="2"/>
        <v>0</v>
      </c>
      <c r="E83" s="52"/>
      <c r="F83" s="52"/>
      <c r="G83" s="61"/>
      <c r="H83" s="60"/>
      <c r="I83" s="60"/>
      <c r="J83" s="60"/>
    </row>
    <row r="84" spans="1:10" ht="45" x14ac:dyDescent="0.25">
      <c r="A84" s="917" t="s">
        <v>974</v>
      </c>
      <c r="B84" s="1170">
        <v>29803501</v>
      </c>
      <c r="C84" s="105">
        <v>29803501</v>
      </c>
      <c r="D84" s="1030">
        <f t="shared" si="2"/>
        <v>0</v>
      </c>
      <c r="E84" s="52"/>
      <c r="G84" s="61"/>
      <c r="H84" s="60"/>
      <c r="I84" s="60"/>
      <c r="J84" s="60"/>
    </row>
    <row r="85" spans="1:10" ht="30" x14ac:dyDescent="0.25">
      <c r="A85" s="1037" t="s">
        <v>659</v>
      </c>
      <c r="B85" s="1170">
        <v>0</v>
      </c>
      <c r="C85" s="105">
        <v>0</v>
      </c>
      <c r="D85" s="1030">
        <f t="shared" si="2"/>
        <v>0</v>
      </c>
      <c r="E85" s="52"/>
      <c r="G85" s="61"/>
      <c r="H85" s="60"/>
      <c r="I85" s="60"/>
      <c r="J85" s="60"/>
    </row>
    <row r="86" spans="1:10" ht="30" x14ac:dyDescent="0.25">
      <c r="A86" s="1037" t="s">
        <v>614</v>
      </c>
      <c r="B86" s="1170">
        <v>11292001</v>
      </c>
      <c r="C86" s="105">
        <v>11292001</v>
      </c>
      <c r="D86" s="1030">
        <f t="shared" si="2"/>
        <v>0</v>
      </c>
      <c r="E86" s="52"/>
      <c r="G86" s="61"/>
      <c r="H86" s="60"/>
      <c r="I86" s="60"/>
      <c r="J86" s="60"/>
    </row>
    <row r="87" spans="1:10" ht="30" x14ac:dyDescent="0.25">
      <c r="A87" s="1037" t="s">
        <v>617</v>
      </c>
      <c r="B87" s="1170">
        <v>1016000</v>
      </c>
      <c r="C87" s="105">
        <v>1016000</v>
      </c>
      <c r="D87" s="1030">
        <f t="shared" si="2"/>
        <v>0</v>
      </c>
      <c r="E87" s="52"/>
      <c r="G87" s="61"/>
      <c r="H87" s="60"/>
      <c r="I87" s="60"/>
      <c r="J87" s="60"/>
    </row>
    <row r="88" spans="1:10" ht="45" x14ac:dyDescent="0.25">
      <c r="A88" s="1245" t="s">
        <v>618</v>
      </c>
      <c r="B88" s="1170">
        <v>635000</v>
      </c>
      <c r="C88" s="105">
        <v>635000</v>
      </c>
      <c r="D88" s="1030">
        <f t="shared" si="2"/>
        <v>0</v>
      </c>
      <c r="E88" s="52"/>
      <c r="G88" s="61"/>
      <c r="H88" s="60"/>
      <c r="I88" s="60"/>
      <c r="J88" s="60"/>
    </row>
    <row r="89" spans="1:10" ht="45" x14ac:dyDescent="0.25">
      <c r="A89" s="1032" t="s">
        <v>398</v>
      </c>
      <c r="B89" s="1242">
        <v>106773776</v>
      </c>
      <c r="C89" s="1243">
        <v>106773776</v>
      </c>
      <c r="D89" s="1244">
        <f>C89-B89</f>
        <v>0</v>
      </c>
      <c r="E89" s="52"/>
      <c r="G89" s="61"/>
      <c r="H89" s="60"/>
      <c r="I89" s="60"/>
      <c r="J89" s="60"/>
    </row>
    <row r="90" spans="1:10" ht="30" x14ac:dyDescent="0.25">
      <c r="A90" s="948" t="s">
        <v>397</v>
      </c>
      <c r="B90" s="1170">
        <f>12000000+3240000</f>
        <v>15240000</v>
      </c>
      <c r="C90" s="105">
        <f>12000000+3240000</f>
        <v>15240000</v>
      </c>
      <c r="D90" s="1030">
        <f>C90-B90</f>
        <v>0</v>
      </c>
      <c r="E90" s="52"/>
      <c r="G90" s="61"/>
      <c r="H90" s="60"/>
      <c r="I90" s="60"/>
      <c r="J90" s="60"/>
    </row>
    <row r="91" spans="1:10" ht="45" x14ac:dyDescent="0.25">
      <c r="A91" s="948" t="s">
        <v>399</v>
      </c>
      <c r="B91" s="1170">
        <v>298450</v>
      </c>
      <c r="C91" s="105">
        <v>298450</v>
      </c>
      <c r="D91" s="1030">
        <f t="shared" ref="D91:D121" si="3">C91-B91</f>
        <v>0</v>
      </c>
      <c r="E91" s="52"/>
      <c r="G91" s="61"/>
      <c r="H91" s="60"/>
      <c r="I91" s="60"/>
      <c r="J91" s="60"/>
    </row>
    <row r="92" spans="1:10" ht="45.6" thickBot="1" x14ac:dyDescent="0.3">
      <c r="A92" s="1033" t="s">
        <v>400</v>
      </c>
      <c r="B92" s="1171">
        <v>2984500</v>
      </c>
      <c r="C92" s="835">
        <v>2984500</v>
      </c>
      <c r="D92" s="1034">
        <f t="shared" si="3"/>
        <v>0</v>
      </c>
      <c r="E92" s="52"/>
      <c r="G92" s="61"/>
      <c r="H92" s="60"/>
      <c r="I92" s="60"/>
      <c r="J92" s="60"/>
    </row>
    <row r="93" spans="1:10" ht="31.8" thickBot="1" x14ac:dyDescent="0.3">
      <c r="A93" s="222" t="s">
        <v>784</v>
      </c>
      <c r="B93" s="514" t="s">
        <v>191</v>
      </c>
      <c r="C93" s="1035" t="s">
        <v>357</v>
      </c>
      <c r="D93" s="932" t="s">
        <v>358</v>
      </c>
      <c r="E93" s="52"/>
      <c r="G93" s="61"/>
      <c r="H93" s="60"/>
      <c r="I93" s="60"/>
      <c r="J93" s="60"/>
    </row>
    <row r="94" spans="1:10" ht="45" x14ac:dyDescent="0.25">
      <c r="A94" s="948" t="s">
        <v>401</v>
      </c>
      <c r="B94" s="1170">
        <v>20500000</v>
      </c>
      <c r="C94" s="105">
        <v>20500000</v>
      </c>
      <c r="D94" s="1030">
        <f t="shared" si="3"/>
        <v>0</v>
      </c>
      <c r="E94" s="52"/>
      <c r="G94" s="61"/>
      <c r="H94" s="60"/>
      <c r="I94" s="60"/>
      <c r="J94" s="60"/>
    </row>
    <row r="95" spans="1:10" ht="45" x14ac:dyDescent="0.25">
      <c r="A95" s="948" t="s">
        <v>402</v>
      </c>
      <c r="B95" s="1170">
        <f>5700000+1539000</f>
        <v>7239000</v>
      </c>
      <c r="C95" s="105">
        <f>5700000+1539000</f>
        <v>7239000</v>
      </c>
      <c r="D95" s="1030">
        <f t="shared" si="3"/>
        <v>0</v>
      </c>
      <c r="E95" s="52"/>
      <c r="F95" s="52"/>
      <c r="G95" s="61"/>
      <c r="H95" s="60"/>
      <c r="I95" s="60"/>
      <c r="J95" s="60"/>
    </row>
    <row r="96" spans="1:10" ht="45" x14ac:dyDescent="0.25">
      <c r="A96" s="948" t="s">
        <v>403</v>
      </c>
      <c r="B96" s="1170">
        <v>3810000</v>
      </c>
      <c r="C96" s="105">
        <v>3810000</v>
      </c>
      <c r="D96" s="1030">
        <f t="shared" si="3"/>
        <v>0</v>
      </c>
      <c r="E96" s="52"/>
      <c r="G96" s="61"/>
      <c r="H96" s="60"/>
      <c r="I96" s="60"/>
      <c r="J96" s="60"/>
    </row>
    <row r="97" spans="1:11" ht="45" x14ac:dyDescent="0.25">
      <c r="A97" s="1037" t="s">
        <v>992</v>
      </c>
      <c r="B97" s="1170">
        <v>0</v>
      </c>
      <c r="C97" s="105">
        <v>13970000</v>
      </c>
      <c r="D97" s="1030">
        <f t="shared" si="3"/>
        <v>13970000</v>
      </c>
      <c r="E97" s="52"/>
      <c r="G97" s="61"/>
      <c r="H97" s="60"/>
      <c r="I97" s="60"/>
      <c r="J97" s="60"/>
    </row>
    <row r="98" spans="1:11" ht="45" x14ac:dyDescent="0.25">
      <c r="A98" s="1037" t="s">
        <v>993</v>
      </c>
      <c r="B98" s="1170">
        <v>0</v>
      </c>
      <c r="C98" s="105">
        <v>500000</v>
      </c>
      <c r="D98" s="1030">
        <f t="shared" si="3"/>
        <v>500000</v>
      </c>
      <c r="E98" s="52"/>
      <c r="G98" s="61"/>
      <c r="H98" s="60"/>
      <c r="I98" s="60"/>
      <c r="J98" s="60"/>
    </row>
    <row r="99" spans="1:11" ht="30" x14ac:dyDescent="0.25">
      <c r="A99" s="1180" t="s">
        <v>686</v>
      </c>
      <c r="B99" s="1177">
        <v>5190500</v>
      </c>
      <c r="C99" s="1178">
        <v>5190500</v>
      </c>
      <c r="D99" s="1179">
        <f t="shared" si="3"/>
        <v>0</v>
      </c>
      <c r="G99" s="61"/>
      <c r="H99" s="60"/>
      <c r="I99" s="60"/>
      <c r="J99" s="60"/>
    </row>
    <row r="100" spans="1:11" ht="30" x14ac:dyDescent="0.25">
      <c r="A100" s="1037" t="s">
        <v>660</v>
      </c>
      <c r="B100" s="1170">
        <v>1010059</v>
      </c>
      <c r="C100" s="105">
        <v>1807838</v>
      </c>
      <c r="D100" s="1030">
        <f t="shared" si="3"/>
        <v>797779</v>
      </c>
      <c r="G100" s="61"/>
      <c r="H100" s="60"/>
      <c r="I100" s="60"/>
      <c r="J100" s="60"/>
    </row>
    <row r="101" spans="1:11" s="2" customFormat="1" ht="29.25" customHeight="1" x14ac:dyDescent="0.3">
      <c r="A101" s="1174" t="s">
        <v>591</v>
      </c>
      <c r="B101" s="1241">
        <f>SUM(B102:B109)</f>
        <v>28100000</v>
      </c>
      <c r="C101" s="1175">
        <f>SUM(C102:C109)</f>
        <v>28100000</v>
      </c>
      <c r="D101" s="1176">
        <f t="shared" si="3"/>
        <v>0</v>
      </c>
      <c r="E101" s="56"/>
      <c r="F101" s="56"/>
      <c r="G101" s="57"/>
      <c r="H101" s="58"/>
      <c r="I101" s="58"/>
      <c r="J101" s="58"/>
      <c r="K101" s="10"/>
    </row>
    <row r="102" spans="1:11" ht="30" customHeight="1" x14ac:dyDescent="0.25">
      <c r="A102" s="300" t="s">
        <v>592</v>
      </c>
      <c r="B102" s="1170">
        <v>17500000</v>
      </c>
      <c r="C102" s="105">
        <v>17500000</v>
      </c>
      <c r="D102" s="1030">
        <f t="shared" si="3"/>
        <v>0</v>
      </c>
      <c r="G102" s="61"/>
      <c r="H102" s="60"/>
      <c r="I102" s="60"/>
      <c r="J102" s="60"/>
    </row>
    <row r="103" spans="1:11" ht="18.899999999999999" customHeight="1" x14ac:dyDescent="0.25">
      <c r="A103" s="300" t="s">
        <v>593</v>
      </c>
      <c r="B103" s="1170">
        <v>3500000</v>
      </c>
      <c r="C103" s="105">
        <v>3500000</v>
      </c>
      <c r="D103" s="1030">
        <f t="shared" si="3"/>
        <v>0</v>
      </c>
      <c r="G103" s="61"/>
      <c r="H103" s="60"/>
      <c r="I103" s="60"/>
      <c r="J103" s="60"/>
    </row>
    <row r="104" spans="1:11" ht="18.899999999999999" customHeight="1" x14ac:dyDescent="0.3">
      <c r="A104" s="300" t="s">
        <v>794</v>
      </c>
      <c r="B104" s="1170">
        <v>1000000</v>
      </c>
      <c r="C104" s="105">
        <v>1000000</v>
      </c>
      <c r="D104" s="1030">
        <f t="shared" si="3"/>
        <v>0</v>
      </c>
      <c r="G104" s="55"/>
      <c r="H104" s="58"/>
      <c r="I104" s="58"/>
      <c r="J104" s="58"/>
    </row>
    <row r="105" spans="1:11" ht="18.899999999999999" customHeight="1" x14ac:dyDescent="0.25">
      <c r="A105" s="300" t="s">
        <v>594</v>
      </c>
      <c r="B105" s="1170">
        <v>600000</v>
      </c>
      <c r="C105" s="105">
        <v>600000</v>
      </c>
      <c r="D105" s="1030">
        <f t="shared" si="3"/>
        <v>0</v>
      </c>
      <c r="G105" s="62"/>
      <c r="H105" s="60"/>
      <c r="I105" s="60"/>
      <c r="J105" s="60"/>
    </row>
    <row r="106" spans="1:11" ht="18.899999999999999" customHeight="1" x14ac:dyDescent="0.25">
      <c r="A106" s="300" t="s">
        <v>595</v>
      </c>
      <c r="B106" s="1170">
        <v>500000</v>
      </c>
      <c r="C106" s="105">
        <v>500000</v>
      </c>
      <c r="D106" s="1030">
        <f t="shared" si="3"/>
        <v>0</v>
      </c>
      <c r="G106" s="62"/>
      <c r="H106" s="60"/>
      <c r="I106" s="60"/>
      <c r="J106" s="60"/>
    </row>
    <row r="107" spans="1:11" ht="15" x14ac:dyDescent="0.25">
      <c r="A107" s="307" t="s">
        <v>619</v>
      </c>
      <c r="B107" s="1170">
        <v>1000000</v>
      </c>
      <c r="C107" s="105">
        <v>1000000</v>
      </c>
      <c r="D107" s="1030">
        <f t="shared" si="3"/>
        <v>0</v>
      </c>
      <c r="G107" s="62"/>
      <c r="H107" s="60"/>
      <c r="I107" s="60"/>
      <c r="J107" s="60"/>
    </row>
    <row r="108" spans="1:11" ht="18.899999999999999" customHeight="1" x14ac:dyDescent="0.25">
      <c r="A108" s="300" t="s">
        <v>795</v>
      </c>
      <c r="B108" s="1170">
        <v>2200000</v>
      </c>
      <c r="C108" s="105">
        <v>2200000</v>
      </c>
      <c r="D108" s="1030">
        <f t="shared" si="3"/>
        <v>0</v>
      </c>
      <c r="G108" s="62"/>
      <c r="H108" s="60"/>
      <c r="I108" s="60"/>
      <c r="J108" s="60"/>
    </row>
    <row r="109" spans="1:11" ht="18.899999999999999" customHeight="1" x14ac:dyDescent="0.25">
      <c r="A109" s="300" t="s">
        <v>796</v>
      </c>
      <c r="B109" s="1170">
        <v>1800000</v>
      </c>
      <c r="C109" s="105">
        <v>1800000</v>
      </c>
      <c r="D109" s="1030">
        <f t="shared" si="3"/>
        <v>0</v>
      </c>
      <c r="G109" s="62"/>
      <c r="H109" s="60"/>
      <c r="I109" s="60"/>
      <c r="J109" s="60"/>
    </row>
    <row r="110" spans="1:11" s="2" customFormat="1" ht="28.5" customHeight="1" x14ac:dyDescent="0.3">
      <c r="A110" s="308" t="s">
        <v>570</v>
      </c>
      <c r="B110" s="1181">
        <f>B111+B112+B113+B114+B115+B116+B117+B119+B120</f>
        <v>1171966248</v>
      </c>
      <c r="C110" s="104">
        <f>C111+C112+C113+C114+C115+C116+C117+C119+C120</f>
        <v>1183640002</v>
      </c>
      <c r="D110" s="1031">
        <f t="shared" si="3"/>
        <v>11673754</v>
      </c>
      <c r="G110" s="55"/>
      <c r="H110" s="125"/>
      <c r="I110" s="125"/>
      <c r="J110" s="125"/>
    </row>
    <row r="111" spans="1:11" ht="28.5" customHeight="1" x14ac:dyDescent="0.25">
      <c r="A111" s="309" t="s">
        <v>596</v>
      </c>
      <c r="B111" s="1170"/>
      <c r="C111" s="105">
        <v>2877449</v>
      </c>
      <c r="D111" s="1030">
        <f t="shared" si="3"/>
        <v>2877449</v>
      </c>
      <c r="G111" s="55"/>
      <c r="H111" s="48"/>
      <c r="I111" s="48"/>
      <c r="J111" s="48"/>
      <c r="K111" s="2"/>
    </row>
    <row r="112" spans="1:11" ht="45" x14ac:dyDescent="0.3">
      <c r="A112" s="309" t="s">
        <v>597</v>
      </c>
      <c r="B112" s="1170"/>
      <c r="C112" s="104"/>
      <c r="D112" s="1030"/>
      <c r="G112" s="55"/>
      <c r="H112" s="48"/>
      <c r="I112" s="48"/>
      <c r="J112" s="48"/>
    </row>
    <row r="113" spans="1:11" ht="48.75" customHeight="1" x14ac:dyDescent="0.3">
      <c r="A113" s="309" t="s">
        <v>598</v>
      </c>
      <c r="B113" s="306"/>
      <c r="C113" s="104"/>
      <c r="D113" s="1030"/>
      <c r="G113" s="55"/>
      <c r="H113" s="48"/>
      <c r="I113" s="48"/>
      <c r="J113" s="48"/>
    </row>
    <row r="114" spans="1:11" ht="48.75" customHeight="1" x14ac:dyDescent="0.3">
      <c r="A114" s="309" t="s">
        <v>599</v>
      </c>
      <c r="B114" s="306"/>
      <c r="C114" s="104"/>
      <c r="D114" s="1030"/>
      <c r="G114" s="55"/>
      <c r="H114" s="48"/>
      <c r="I114" s="48"/>
      <c r="J114" s="48"/>
    </row>
    <row r="115" spans="1:11" ht="30" x14ac:dyDescent="0.25">
      <c r="A115" s="310" t="s">
        <v>600</v>
      </c>
      <c r="B115" s="306">
        <f>'5b. sz. tábla  (2)'!B5</f>
        <v>492708414</v>
      </c>
      <c r="C115" s="105">
        <f>'5b. sz. tábla  (2)'!C5</f>
        <v>485791385</v>
      </c>
      <c r="D115" s="1030">
        <f t="shared" si="3"/>
        <v>-6917029</v>
      </c>
      <c r="G115" s="61"/>
      <c r="H115" s="60"/>
      <c r="I115" s="60"/>
      <c r="J115" s="60"/>
    </row>
    <row r="116" spans="1:11" ht="45" x14ac:dyDescent="0.25">
      <c r="A116" s="309" t="s">
        <v>601</v>
      </c>
      <c r="B116" s="306"/>
      <c r="C116" s="105"/>
      <c r="D116" s="1030"/>
      <c r="G116" s="61"/>
      <c r="H116" s="60"/>
      <c r="I116" s="60"/>
      <c r="J116" s="60"/>
    </row>
    <row r="117" spans="1:11" ht="48.75" customHeight="1" x14ac:dyDescent="0.25">
      <c r="A117" s="309" t="s">
        <v>882</v>
      </c>
      <c r="B117" s="306">
        <f>SUM(B118:B118)</f>
        <v>0</v>
      </c>
      <c r="C117" s="105">
        <f>SUM(C118:C118)</f>
        <v>0</v>
      </c>
      <c r="D117" s="1030">
        <f t="shared" si="3"/>
        <v>0</v>
      </c>
      <c r="E117" s="52"/>
      <c r="G117" s="61"/>
      <c r="H117" s="60"/>
      <c r="I117" s="60"/>
      <c r="J117" s="60"/>
    </row>
    <row r="118" spans="1:11" ht="30" customHeight="1" x14ac:dyDescent="0.25">
      <c r="A118" s="309" t="s">
        <v>661</v>
      </c>
      <c r="B118" s="306">
        <v>0</v>
      </c>
      <c r="C118" s="105"/>
      <c r="D118" s="1030">
        <f t="shared" si="3"/>
        <v>0</v>
      </c>
      <c r="G118" s="61"/>
      <c r="H118" s="60"/>
      <c r="I118" s="60"/>
      <c r="J118" s="60"/>
    </row>
    <row r="119" spans="1:11" ht="30" x14ac:dyDescent="0.25">
      <c r="A119" s="310" t="s">
        <v>602</v>
      </c>
      <c r="B119" s="306">
        <f>'5b. sz. tábla  (2)'!B13</f>
        <v>679257834</v>
      </c>
      <c r="C119" s="105">
        <f>'5b. sz. tábla  (2)'!C13</f>
        <v>694971168</v>
      </c>
      <c r="D119" s="1030">
        <f t="shared" si="3"/>
        <v>15713334</v>
      </c>
      <c r="G119" s="61"/>
      <c r="H119" s="60"/>
      <c r="I119" s="60"/>
      <c r="J119" s="60"/>
    </row>
    <row r="120" spans="1:11" ht="15" x14ac:dyDescent="0.25">
      <c r="A120" s="309"/>
      <c r="B120" s="306"/>
      <c r="C120" s="919"/>
      <c r="D120" s="1030">
        <f t="shared" si="3"/>
        <v>0</v>
      </c>
      <c r="G120" s="61"/>
      <c r="H120" s="60"/>
      <c r="I120" s="60"/>
      <c r="J120" s="60"/>
    </row>
    <row r="121" spans="1:11" s="2" customFormat="1" ht="31.8" thickBot="1" x14ac:dyDescent="0.35">
      <c r="A121" s="302" t="s">
        <v>603</v>
      </c>
      <c r="B121" s="311">
        <f>B110+B101+B60+B45+B30</f>
        <v>2167234646</v>
      </c>
      <c r="C121" s="106">
        <f>C110+C101+C60+C45+C30</f>
        <v>2236846938</v>
      </c>
      <c r="D121" s="1038">
        <f t="shared" si="3"/>
        <v>69612292</v>
      </c>
      <c r="E121" s="3"/>
      <c r="G121" s="57"/>
      <c r="H121" s="58"/>
      <c r="I121" s="58"/>
      <c r="J121" s="58"/>
    </row>
    <row r="122" spans="1:11" x14ac:dyDescent="0.25">
      <c r="K122" s="2"/>
    </row>
  </sheetData>
  <sheetProtection selectLockedCells="1" selectUnlockedCells="1"/>
  <mergeCells count="1">
    <mergeCell ref="A3:D3"/>
  </mergeCells>
  <phoneticPr fontId="27" type="noConversion"/>
  <pageMargins left="0.74791666666666667" right="0.74791666666666667" top="0.98402777777777772" bottom="0.98402777777777772" header="0.51180555555555551" footer="0.51180555555555551"/>
  <pageSetup paperSize="9" scale="61" firstPageNumber="0" orientation="portrait" r:id="rId1"/>
  <headerFooter alignWithMargins="0">
    <oddHeader xml:space="preserve">&amp;C
5. melléklet
az önkormányzat 2018. évi költségvetéséről szóló 11/2018. (III.01.) önkormányzati rendelethez&amp;R&amp;P. oldal
</oddHeader>
  </headerFooter>
  <rowBreaks count="3" manualBreakCount="3">
    <brk id="27" max="4" man="1"/>
    <brk id="58" max="3" man="1"/>
    <brk id="92" max="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5"/>
  </sheetPr>
  <dimension ref="A2:E83"/>
  <sheetViews>
    <sheetView view="pageLayout" zoomScaleNormal="100" zoomScaleSheetLayoutView="80" workbookViewId="0">
      <selection activeCell="D75" sqref="D75"/>
    </sheetView>
  </sheetViews>
  <sheetFormatPr defaultColWidth="9.109375" defaultRowHeight="15.75" customHeight="1" x14ac:dyDescent="0.25"/>
  <cols>
    <col min="1" max="1" width="56.6640625" style="336" customWidth="1"/>
    <col min="2" max="2" width="16.109375" style="347" customWidth="1"/>
    <col min="3" max="3" width="16.44140625" style="347" customWidth="1"/>
    <col min="4" max="4" width="17.6640625" style="347" customWidth="1"/>
    <col min="5" max="6" width="13.6640625" style="63" customWidth="1"/>
    <col min="7" max="7" width="10.33203125" style="63" customWidth="1"/>
    <col min="8" max="8" width="16.88671875" style="63" customWidth="1"/>
    <col min="9" max="9" width="15.6640625" style="63" customWidth="1"/>
    <col min="10" max="10" width="11.44140625" style="63" customWidth="1"/>
    <col min="11" max="11" width="11" style="63" customWidth="1"/>
    <col min="12" max="12" width="13.6640625" style="63" customWidth="1"/>
    <col min="13" max="13" width="16.33203125" style="63" customWidth="1"/>
    <col min="14" max="14" width="14.33203125" style="63" customWidth="1"/>
    <col min="15" max="15" width="13" style="63" customWidth="1"/>
    <col min="16" max="16" width="14.109375" style="63" customWidth="1"/>
    <col min="17" max="17" width="13.44140625" style="63" customWidth="1"/>
    <col min="18" max="16384" width="9.109375" style="63"/>
  </cols>
  <sheetData>
    <row r="2" spans="1:5" ht="15.75" customHeight="1" x14ac:dyDescent="0.3">
      <c r="A2" s="1735" t="s">
        <v>78</v>
      </c>
      <c r="B2" s="1735"/>
      <c r="C2" s="1735"/>
      <c r="D2" s="1735"/>
    </row>
    <row r="3" spans="1:5" ht="15.75" customHeight="1" thickBot="1" x14ac:dyDescent="0.35">
      <c r="A3" s="836"/>
      <c r="B3" s="836"/>
      <c r="C3" s="836"/>
      <c r="D3" s="920"/>
    </row>
    <row r="4" spans="1:5" s="6" customFormat="1" ht="63.75" customHeight="1" thickBot="1" x14ac:dyDescent="0.3">
      <c r="A4" s="315" t="s">
        <v>784</v>
      </c>
      <c r="B4" s="886" t="s">
        <v>191</v>
      </c>
      <c r="C4" s="887" t="s">
        <v>357</v>
      </c>
      <c r="D4" s="853" t="s">
        <v>358</v>
      </c>
    </row>
    <row r="5" spans="1:5" s="6" customFormat="1" ht="18" customHeight="1" x14ac:dyDescent="0.3">
      <c r="A5" s="314" t="s">
        <v>728</v>
      </c>
      <c r="B5" s="303">
        <f>SUM(B6:B12)</f>
        <v>492708414</v>
      </c>
      <c r="C5" s="304">
        <f>SUM(C6:C12)</f>
        <v>485791385</v>
      </c>
      <c r="D5" s="921">
        <f>C5-B5</f>
        <v>-6917029</v>
      </c>
      <c r="E5" s="7"/>
    </row>
    <row r="6" spans="1:5" s="6" customFormat="1" ht="18" customHeight="1" x14ac:dyDescent="0.25">
      <c r="A6" s="337" t="s">
        <v>604</v>
      </c>
      <c r="B6" s="306"/>
      <c r="C6" s="255"/>
      <c r="D6" s="922"/>
    </row>
    <row r="7" spans="1:5" s="6" customFormat="1" ht="17.25" customHeight="1" x14ac:dyDescent="0.25">
      <c r="A7" s="338" t="s">
        <v>605</v>
      </c>
      <c r="B7" s="1170">
        <v>1000000</v>
      </c>
      <c r="C7" s="105">
        <v>1674005</v>
      </c>
      <c r="D7" s="923">
        <f>C7-B7</f>
        <v>674005</v>
      </c>
    </row>
    <row r="8" spans="1:5" s="6" customFormat="1" ht="15.75" customHeight="1" x14ac:dyDescent="0.25">
      <c r="A8" s="338" t="s">
        <v>883</v>
      </c>
      <c r="B8" s="1170">
        <v>1350000</v>
      </c>
      <c r="C8" s="105">
        <v>1350000</v>
      </c>
      <c r="D8" s="923">
        <f t="shared" ref="D8:D47" si="0">C8-B8</f>
        <v>0</v>
      </c>
    </row>
    <row r="9" spans="1:5" s="6" customFormat="1" ht="18" customHeight="1" x14ac:dyDescent="0.25">
      <c r="A9" s="339" t="s">
        <v>606</v>
      </c>
      <c r="B9" s="1170">
        <v>141190939</v>
      </c>
      <c r="C9" s="105">
        <v>135033444</v>
      </c>
      <c r="D9" s="923">
        <f t="shared" si="0"/>
        <v>-6157495</v>
      </c>
    </row>
    <row r="10" spans="1:5" s="6" customFormat="1" ht="18" customHeight="1" x14ac:dyDescent="0.25">
      <c r="A10" s="339" t="s">
        <v>624</v>
      </c>
      <c r="B10" s="1170">
        <v>349167475</v>
      </c>
      <c r="C10" s="105">
        <v>346511463</v>
      </c>
      <c r="D10" s="923">
        <f t="shared" si="0"/>
        <v>-2656012</v>
      </c>
    </row>
    <row r="11" spans="1:5" s="6" customFormat="1" ht="18" customHeight="1" x14ac:dyDescent="0.25">
      <c r="A11" s="339" t="s">
        <v>994</v>
      </c>
      <c r="B11" s="1170"/>
      <c r="C11" s="105">
        <v>238161</v>
      </c>
      <c r="D11" s="923">
        <f t="shared" si="0"/>
        <v>238161</v>
      </c>
    </row>
    <row r="12" spans="1:5" s="6" customFormat="1" ht="18" customHeight="1" x14ac:dyDescent="0.25">
      <c r="A12" s="339" t="s">
        <v>995</v>
      </c>
      <c r="B12" s="1170"/>
      <c r="C12" s="105">
        <v>984312</v>
      </c>
      <c r="D12" s="923">
        <f t="shared" si="0"/>
        <v>984312</v>
      </c>
    </row>
    <row r="13" spans="1:5" s="6" customFormat="1" ht="17.25" customHeight="1" x14ac:dyDescent="0.3">
      <c r="A13" s="312" t="s">
        <v>729</v>
      </c>
      <c r="B13" s="1181">
        <f>SUM(B14:B47,B51:B81)</f>
        <v>679257834</v>
      </c>
      <c r="C13" s="104">
        <f>SUM(C14:C81)</f>
        <v>694971168</v>
      </c>
      <c r="D13" s="925">
        <f t="shared" si="0"/>
        <v>15713334</v>
      </c>
      <c r="E13" s="7"/>
    </row>
    <row r="14" spans="1:5" ht="16.5" customHeight="1" x14ac:dyDescent="0.25">
      <c r="A14" s="338" t="s">
        <v>625</v>
      </c>
      <c r="B14" s="1170">
        <v>0</v>
      </c>
      <c r="C14" s="105">
        <v>0</v>
      </c>
      <c r="D14" s="923">
        <f t="shared" si="0"/>
        <v>0</v>
      </c>
    </row>
    <row r="15" spans="1:5" ht="16.5" customHeight="1" x14ac:dyDescent="0.25">
      <c r="A15" s="338" t="s">
        <v>626</v>
      </c>
      <c r="B15" s="1170">
        <v>2000000</v>
      </c>
      <c r="C15" s="105">
        <v>2000000</v>
      </c>
      <c r="D15" s="923">
        <f t="shared" si="0"/>
        <v>0</v>
      </c>
    </row>
    <row r="16" spans="1:5" ht="16.5" customHeight="1" x14ac:dyDescent="0.25">
      <c r="A16" s="338" t="s">
        <v>627</v>
      </c>
      <c r="B16" s="1170">
        <v>1500000</v>
      </c>
      <c r="C16" s="105">
        <v>1500000</v>
      </c>
      <c r="D16" s="923">
        <f t="shared" si="0"/>
        <v>0</v>
      </c>
    </row>
    <row r="17" spans="1:4" ht="16.5" customHeight="1" x14ac:dyDescent="0.25">
      <c r="A17" s="349" t="s">
        <v>816</v>
      </c>
      <c r="B17" s="1170">
        <v>38656200</v>
      </c>
      <c r="C17" s="105">
        <v>38656200</v>
      </c>
      <c r="D17" s="923">
        <f t="shared" si="0"/>
        <v>0</v>
      </c>
    </row>
    <row r="18" spans="1:4" ht="16.5" customHeight="1" x14ac:dyDescent="0.25">
      <c r="A18" s="338" t="s">
        <v>628</v>
      </c>
      <c r="B18" s="1170">
        <v>1200000</v>
      </c>
      <c r="C18" s="105">
        <v>1200000</v>
      </c>
      <c r="D18" s="923">
        <f t="shared" si="0"/>
        <v>0</v>
      </c>
    </row>
    <row r="19" spans="1:4" ht="16.5" customHeight="1" x14ac:dyDescent="0.25">
      <c r="A19" s="337" t="s">
        <v>629</v>
      </c>
      <c r="B19" s="1170">
        <v>2500000</v>
      </c>
      <c r="C19" s="105">
        <v>2500000</v>
      </c>
      <c r="D19" s="923">
        <f t="shared" si="0"/>
        <v>0</v>
      </c>
    </row>
    <row r="20" spans="1:4" ht="16.5" customHeight="1" x14ac:dyDescent="0.25">
      <c r="A20" s="338" t="s">
        <v>630</v>
      </c>
      <c r="B20" s="1170">
        <v>200000</v>
      </c>
      <c r="C20" s="105">
        <v>200000</v>
      </c>
      <c r="D20" s="923">
        <f t="shared" si="0"/>
        <v>0</v>
      </c>
    </row>
    <row r="21" spans="1:4" ht="16.5" customHeight="1" x14ac:dyDescent="0.25">
      <c r="A21" s="338" t="s">
        <v>631</v>
      </c>
      <c r="B21" s="1170">
        <v>200000</v>
      </c>
      <c r="C21" s="105">
        <v>200000</v>
      </c>
      <c r="D21" s="923">
        <f t="shared" si="0"/>
        <v>0</v>
      </c>
    </row>
    <row r="22" spans="1:4" ht="16.5" customHeight="1" x14ac:dyDescent="0.25">
      <c r="A22" s="338" t="s">
        <v>632</v>
      </c>
      <c r="B22" s="1170">
        <v>200000</v>
      </c>
      <c r="C22" s="105">
        <v>200000</v>
      </c>
      <c r="D22" s="923">
        <f t="shared" si="0"/>
        <v>0</v>
      </c>
    </row>
    <row r="23" spans="1:4" ht="16.5" customHeight="1" x14ac:dyDescent="0.25">
      <c r="A23" s="338" t="s">
        <v>633</v>
      </c>
      <c r="B23" s="1170">
        <v>0</v>
      </c>
      <c r="C23" s="105">
        <v>0</v>
      </c>
      <c r="D23" s="923">
        <f t="shared" si="0"/>
        <v>0</v>
      </c>
    </row>
    <row r="24" spans="1:4" ht="16.5" customHeight="1" x14ac:dyDescent="0.25">
      <c r="A24" s="338" t="s">
        <v>634</v>
      </c>
      <c r="B24" s="1170">
        <v>2000000</v>
      </c>
      <c r="C24" s="105">
        <v>2000000</v>
      </c>
      <c r="D24" s="923">
        <f t="shared" si="0"/>
        <v>0</v>
      </c>
    </row>
    <row r="25" spans="1:4" ht="16.5" customHeight="1" x14ac:dyDescent="0.25">
      <c r="A25" s="338" t="s">
        <v>635</v>
      </c>
      <c r="B25" s="1170">
        <v>2100000</v>
      </c>
      <c r="C25" s="105">
        <v>2100000</v>
      </c>
      <c r="D25" s="923">
        <f t="shared" si="0"/>
        <v>0</v>
      </c>
    </row>
    <row r="26" spans="1:4" ht="16.5" customHeight="1" x14ac:dyDescent="0.25">
      <c r="A26" s="338" t="s">
        <v>636</v>
      </c>
      <c r="B26" s="306">
        <v>76950000</v>
      </c>
      <c r="C26" s="255">
        <v>76800000</v>
      </c>
      <c r="D26" s="923">
        <f t="shared" si="0"/>
        <v>-150000</v>
      </c>
    </row>
    <row r="27" spans="1:4" ht="16.5" customHeight="1" x14ac:dyDescent="0.25">
      <c r="A27" s="338" t="s">
        <v>637</v>
      </c>
      <c r="B27" s="1170">
        <v>600000</v>
      </c>
      <c r="C27" s="105">
        <v>600000</v>
      </c>
      <c r="D27" s="923">
        <f t="shared" si="0"/>
        <v>0</v>
      </c>
    </row>
    <row r="28" spans="1:4" ht="15" customHeight="1" x14ac:dyDescent="0.25">
      <c r="A28" s="338" t="s">
        <v>638</v>
      </c>
      <c r="B28" s="1170">
        <v>484000</v>
      </c>
      <c r="C28" s="105">
        <v>484000</v>
      </c>
      <c r="D28" s="923">
        <f t="shared" si="0"/>
        <v>0</v>
      </c>
    </row>
    <row r="29" spans="1:4" ht="15" customHeight="1" x14ac:dyDescent="0.25">
      <c r="A29" s="338" t="s">
        <v>639</v>
      </c>
      <c r="B29" s="1170">
        <v>326000</v>
      </c>
      <c r="C29" s="105">
        <v>326000</v>
      </c>
      <c r="D29" s="923">
        <f t="shared" si="0"/>
        <v>0</v>
      </c>
    </row>
    <row r="30" spans="1:4" ht="15" customHeight="1" x14ac:dyDescent="0.25">
      <c r="A30" s="338" t="s">
        <v>640</v>
      </c>
      <c r="B30" s="1170">
        <v>492000</v>
      </c>
      <c r="C30" s="105">
        <v>492000</v>
      </c>
      <c r="D30" s="923">
        <f t="shared" si="0"/>
        <v>0</v>
      </c>
    </row>
    <row r="31" spans="1:4" ht="15" customHeight="1" x14ac:dyDescent="0.25">
      <c r="A31" s="338" t="s">
        <v>641</v>
      </c>
      <c r="B31" s="1170">
        <v>1688000</v>
      </c>
      <c r="C31" s="105">
        <v>1688000</v>
      </c>
      <c r="D31" s="923">
        <f t="shared" si="0"/>
        <v>0</v>
      </c>
    </row>
    <row r="32" spans="1:4" ht="16.5" customHeight="1" x14ac:dyDescent="0.25">
      <c r="A32" s="338" t="s">
        <v>642</v>
      </c>
      <c r="B32" s="306">
        <v>5214943</v>
      </c>
      <c r="C32" s="255">
        <v>5205195</v>
      </c>
      <c r="D32" s="923">
        <f t="shared" si="0"/>
        <v>-9748</v>
      </c>
    </row>
    <row r="33" spans="1:4" ht="16.5" customHeight="1" x14ac:dyDescent="0.25">
      <c r="A33" s="338" t="s">
        <v>643</v>
      </c>
      <c r="B33" s="306">
        <v>420000</v>
      </c>
      <c r="C33" s="255">
        <v>420000</v>
      </c>
      <c r="D33" s="923">
        <f t="shared" si="0"/>
        <v>0</v>
      </c>
    </row>
    <row r="34" spans="1:4" ht="16.5" customHeight="1" x14ac:dyDescent="0.25">
      <c r="A34" s="338" t="s">
        <v>644</v>
      </c>
      <c r="B34" s="306">
        <v>280000</v>
      </c>
      <c r="C34" s="255">
        <v>270000</v>
      </c>
      <c r="D34" s="923">
        <f t="shared" si="0"/>
        <v>-10000</v>
      </c>
    </row>
    <row r="35" spans="1:4" ht="16.5" customHeight="1" x14ac:dyDescent="0.25">
      <c r="A35" s="338" t="s">
        <v>645</v>
      </c>
      <c r="B35" s="306">
        <v>1435000</v>
      </c>
      <c r="C35" s="255">
        <v>1310000</v>
      </c>
      <c r="D35" s="923">
        <f t="shared" si="0"/>
        <v>-125000</v>
      </c>
    </row>
    <row r="36" spans="1:4" ht="30" x14ac:dyDescent="0.25">
      <c r="A36" s="338" t="s">
        <v>646</v>
      </c>
      <c r="B36" s="1170">
        <v>800000</v>
      </c>
      <c r="C36" s="105">
        <v>800000</v>
      </c>
      <c r="D36" s="923">
        <f t="shared" si="0"/>
        <v>0</v>
      </c>
    </row>
    <row r="37" spans="1:4" ht="16.5" customHeight="1" x14ac:dyDescent="0.25">
      <c r="A37" s="338" t="s">
        <v>647</v>
      </c>
      <c r="B37" s="1170">
        <v>1000000</v>
      </c>
      <c r="C37" s="105">
        <v>1000000</v>
      </c>
      <c r="D37" s="923">
        <f t="shared" si="0"/>
        <v>0</v>
      </c>
    </row>
    <row r="38" spans="1:4" ht="30" x14ac:dyDescent="0.25">
      <c r="A38" s="338" t="s">
        <v>648</v>
      </c>
      <c r="B38" s="1170">
        <v>3500000</v>
      </c>
      <c r="C38" s="105">
        <v>3500000</v>
      </c>
      <c r="D38" s="923">
        <f t="shared" si="0"/>
        <v>0</v>
      </c>
    </row>
    <row r="39" spans="1:4" ht="29.25" customHeight="1" x14ac:dyDescent="0.25">
      <c r="A39" s="338" t="s">
        <v>607</v>
      </c>
      <c r="B39" s="1170">
        <v>500000</v>
      </c>
      <c r="C39" s="105">
        <v>500000</v>
      </c>
      <c r="D39" s="923">
        <f t="shared" si="0"/>
        <v>0</v>
      </c>
    </row>
    <row r="40" spans="1:4" ht="16.5" customHeight="1" x14ac:dyDescent="0.25">
      <c r="A40" s="338" t="s">
        <v>93</v>
      </c>
      <c r="B40" s="306">
        <v>32900000</v>
      </c>
      <c r="C40" s="105">
        <v>32245295</v>
      </c>
      <c r="D40" s="923">
        <f t="shared" si="0"/>
        <v>-654705</v>
      </c>
    </row>
    <row r="41" spans="1:4" ht="16.5" customHeight="1" x14ac:dyDescent="0.25">
      <c r="A41" s="338" t="s">
        <v>649</v>
      </c>
      <c r="B41" s="1170">
        <v>950000</v>
      </c>
      <c r="C41" s="105">
        <v>950000</v>
      </c>
      <c r="D41" s="923">
        <f t="shared" si="0"/>
        <v>0</v>
      </c>
    </row>
    <row r="42" spans="1:4" ht="21" customHeight="1" x14ac:dyDescent="0.25">
      <c r="A42" s="338" t="s">
        <v>650</v>
      </c>
      <c r="B42" s="1170">
        <v>600000</v>
      </c>
      <c r="C42" s="105">
        <v>600000</v>
      </c>
      <c r="D42" s="923">
        <f t="shared" si="0"/>
        <v>0</v>
      </c>
    </row>
    <row r="43" spans="1:4" ht="16.5" customHeight="1" x14ac:dyDescent="0.25">
      <c r="A43" s="338" t="s">
        <v>342</v>
      </c>
      <c r="B43" s="1170">
        <v>450000</v>
      </c>
      <c r="C43" s="105">
        <v>450000</v>
      </c>
      <c r="D43" s="923">
        <f t="shared" si="0"/>
        <v>0</v>
      </c>
    </row>
    <row r="44" spans="1:4" ht="16.5" customHeight="1" x14ac:dyDescent="0.25">
      <c r="A44" s="338" t="s">
        <v>651</v>
      </c>
      <c r="B44" s="1170">
        <v>535000</v>
      </c>
      <c r="C44" s="105">
        <v>535000</v>
      </c>
      <c r="D44" s="923">
        <f t="shared" si="0"/>
        <v>0</v>
      </c>
    </row>
    <row r="45" spans="1:4" ht="30" x14ac:dyDescent="0.25">
      <c r="A45" s="338" t="s">
        <v>652</v>
      </c>
      <c r="B45" s="306">
        <v>3620000</v>
      </c>
      <c r="C45" s="105">
        <v>2132787</v>
      </c>
      <c r="D45" s="923">
        <f t="shared" si="0"/>
        <v>-1487213</v>
      </c>
    </row>
    <row r="46" spans="1:4" ht="16.5" customHeight="1" x14ac:dyDescent="0.25">
      <c r="A46" s="338" t="s">
        <v>653</v>
      </c>
      <c r="B46" s="1170">
        <v>1200000</v>
      </c>
      <c r="C46" s="105">
        <v>1200000</v>
      </c>
      <c r="D46" s="923">
        <f t="shared" si="0"/>
        <v>0</v>
      </c>
    </row>
    <row r="47" spans="1:4" ht="17.25" customHeight="1" thickBot="1" x14ac:dyDescent="0.3">
      <c r="A47" s="340" t="s">
        <v>347</v>
      </c>
      <c r="B47" s="1171">
        <v>3452000</v>
      </c>
      <c r="C47" s="835">
        <v>3452000</v>
      </c>
      <c r="D47" s="924">
        <f t="shared" si="0"/>
        <v>0</v>
      </c>
    </row>
    <row r="48" spans="1:4" ht="17.25" customHeight="1" x14ac:dyDescent="0.3">
      <c r="A48" s="1735" t="s">
        <v>78</v>
      </c>
      <c r="B48" s="1735"/>
      <c r="C48" s="1735"/>
      <c r="D48" s="1735"/>
    </row>
    <row r="49" spans="1:4" ht="17.25" customHeight="1" thickBot="1" x14ac:dyDescent="0.3">
      <c r="A49" s="341"/>
      <c r="B49" s="256"/>
      <c r="C49" s="256"/>
      <c r="D49" s="256"/>
    </row>
    <row r="50" spans="1:4" s="6" customFormat="1" ht="63.75" customHeight="1" thickBot="1" x14ac:dyDescent="0.3">
      <c r="A50" s="222" t="s">
        <v>784</v>
      </c>
      <c r="B50" s="886" t="s">
        <v>191</v>
      </c>
      <c r="C50" s="887" t="s">
        <v>357</v>
      </c>
      <c r="D50" s="888" t="s">
        <v>358</v>
      </c>
    </row>
    <row r="51" spans="1:4" s="802" customFormat="1" ht="22.5" customHeight="1" x14ac:dyDescent="0.25">
      <c r="A51" s="803" t="s">
        <v>346</v>
      </c>
      <c r="B51" s="1172">
        <v>170574000</v>
      </c>
      <c r="C51" s="1173">
        <v>170574000</v>
      </c>
      <c r="D51" s="927">
        <f>C51-B51</f>
        <v>0</v>
      </c>
    </row>
    <row r="52" spans="1:4" ht="29.25" customHeight="1" x14ac:dyDescent="0.25">
      <c r="A52" s="362" t="s">
        <v>654</v>
      </c>
      <c r="B52" s="1170">
        <v>2000000</v>
      </c>
      <c r="C52" s="105">
        <v>2000000</v>
      </c>
      <c r="D52" s="923">
        <f t="shared" ref="D52:D82" si="1">C52-B52</f>
        <v>0</v>
      </c>
    </row>
    <row r="53" spans="1:4" ht="15" x14ac:dyDescent="0.25">
      <c r="A53" s="342" t="s">
        <v>655</v>
      </c>
      <c r="B53" s="1170">
        <v>0</v>
      </c>
      <c r="C53" s="105">
        <v>0</v>
      </c>
      <c r="D53" s="923">
        <f t="shared" si="1"/>
        <v>0</v>
      </c>
    </row>
    <row r="54" spans="1:4" ht="18" customHeight="1" x14ac:dyDescent="0.25">
      <c r="A54" s="338" t="s">
        <v>797</v>
      </c>
      <c r="B54" s="1170">
        <v>0</v>
      </c>
      <c r="C54" s="105">
        <v>0</v>
      </c>
      <c r="D54" s="923">
        <f t="shared" si="1"/>
        <v>0</v>
      </c>
    </row>
    <row r="55" spans="1:4" ht="16.5" customHeight="1" x14ac:dyDescent="0.25">
      <c r="A55" s="342" t="s">
        <v>656</v>
      </c>
      <c r="B55" s="306">
        <v>167537000</v>
      </c>
      <c r="C55" s="255">
        <v>184537000</v>
      </c>
      <c r="D55" s="923">
        <f t="shared" si="1"/>
        <v>17000000</v>
      </c>
    </row>
    <row r="56" spans="1:4" ht="18" customHeight="1" x14ac:dyDescent="0.25">
      <c r="A56" s="343" t="s">
        <v>657</v>
      </c>
      <c r="B56" s="1170">
        <v>800000</v>
      </c>
      <c r="C56" s="105">
        <v>800000</v>
      </c>
      <c r="D56" s="923">
        <f t="shared" si="1"/>
        <v>0</v>
      </c>
    </row>
    <row r="57" spans="1:4" ht="18" customHeight="1" x14ac:dyDescent="0.25">
      <c r="A57" s="343" t="s">
        <v>369</v>
      </c>
      <c r="B57" s="1170">
        <v>80000</v>
      </c>
      <c r="C57" s="105">
        <v>80000</v>
      </c>
      <c r="D57" s="923">
        <f t="shared" si="1"/>
        <v>0</v>
      </c>
    </row>
    <row r="58" spans="1:4" ht="18" customHeight="1" x14ac:dyDescent="0.25">
      <c r="A58" s="342" t="s">
        <v>670</v>
      </c>
      <c r="B58" s="1170">
        <v>1200000</v>
      </c>
      <c r="C58" s="105">
        <v>1200000</v>
      </c>
      <c r="D58" s="923">
        <f t="shared" si="1"/>
        <v>0</v>
      </c>
    </row>
    <row r="59" spans="1:4" ht="15.75" customHeight="1" x14ac:dyDescent="0.25">
      <c r="A59" s="344" t="s">
        <v>671</v>
      </c>
      <c r="B59" s="1170">
        <v>200000</v>
      </c>
      <c r="C59" s="105">
        <v>200000</v>
      </c>
      <c r="D59" s="923">
        <f t="shared" si="1"/>
        <v>0</v>
      </c>
    </row>
    <row r="60" spans="1:4" ht="16.5" customHeight="1" x14ac:dyDescent="0.25">
      <c r="A60" s="344" t="s">
        <v>620</v>
      </c>
      <c r="B60" s="1170">
        <v>0</v>
      </c>
      <c r="C60" s="105">
        <v>0</v>
      </c>
      <c r="D60" s="923">
        <f t="shared" si="1"/>
        <v>0</v>
      </c>
    </row>
    <row r="61" spans="1:4" ht="15.75" customHeight="1" x14ac:dyDescent="0.25">
      <c r="A61" s="344" t="s">
        <v>672</v>
      </c>
      <c r="B61" s="1170">
        <v>34800000</v>
      </c>
      <c r="C61" s="105">
        <v>34800000</v>
      </c>
      <c r="D61" s="923">
        <f t="shared" si="1"/>
        <v>0</v>
      </c>
    </row>
    <row r="62" spans="1:4" ht="15.75" customHeight="1" x14ac:dyDescent="0.25">
      <c r="A62" s="344" t="s">
        <v>673</v>
      </c>
      <c r="B62" s="1170">
        <v>0</v>
      </c>
      <c r="C62" s="105">
        <v>0</v>
      </c>
      <c r="D62" s="923">
        <f t="shared" si="1"/>
        <v>0</v>
      </c>
    </row>
    <row r="63" spans="1:4" ht="15.75" customHeight="1" x14ac:dyDescent="0.25">
      <c r="A63" s="344" t="s">
        <v>674</v>
      </c>
      <c r="B63" s="1170">
        <v>950000</v>
      </c>
      <c r="C63" s="105">
        <v>950000</v>
      </c>
      <c r="D63" s="923">
        <f t="shared" si="1"/>
        <v>0</v>
      </c>
    </row>
    <row r="64" spans="1:4" ht="15.75" customHeight="1" x14ac:dyDescent="0.25">
      <c r="A64" s="926" t="s">
        <v>675</v>
      </c>
      <c r="B64" s="1170">
        <v>88416000</v>
      </c>
      <c r="C64" s="105">
        <v>88416000</v>
      </c>
      <c r="D64" s="923">
        <f t="shared" si="1"/>
        <v>0</v>
      </c>
    </row>
    <row r="65" spans="1:4" ht="30.75" customHeight="1" x14ac:dyDescent="0.25">
      <c r="A65" s="345" t="s">
        <v>1015</v>
      </c>
      <c r="B65" s="1170">
        <v>0</v>
      </c>
      <c r="C65" s="105">
        <v>0</v>
      </c>
      <c r="D65" s="923">
        <f t="shared" si="1"/>
        <v>0</v>
      </c>
    </row>
    <row r="66" spans="1:4" ht="15.75" customHeight="1" x14ac:dyDescent="0.25">
      <c r="A66" s="345" t="s">
        <v>676</v>
      </c>
      <c r="B66" s="1170">
        <v>3750000</v>
      </c>
      <c r="C66" s="105">
        <v>3750000</v>
      </c>
      <c r="D66" s="923">
        <f t="shared" si="1"/>
        <v>0</v>
      </c>
    </row>
    <row r="67" spans="1:4" ht="15.75" customHeight="1" x14ac:dyDescent="0.25">
      <c r="A67" s="350" t="s">
        <v>827</v>
      </c>
      <c r="B67" s="1170">
        <v>150000</v>
      </c>
      <c r="C67" s="105">
        <v>150000</v>
      </c>
      <c r="D67" s="923">
        <f t="shared" si="1"/>
        <v>0</v>
      </c>
    </row>
    <row r="68" spans="1:4" ht="15.75" customHeight="1" x14ac:dyDescent="0.25">
      <c r="A68" s="350" t="s">
        <v>810</v>
      </c>
      <c r="B68" s="1170">
        <v>4600000</v>
      </c>
      <c r="C68" s="105">
        <v>4600000</v>
      </c>
      <c r="D68" s="923">
        <f t="shared" si="1"/>
        <v>0</v>
      </c>
    </row>
    <row r="69" spans="1:4" ht="15.75" customHeight="1" x14ac:dyDescent="0.25">
      <c r="A69" s="350" t="s">
        <v>966</v>
      </c>
      <c r="B69" s="1170">
        <v>0</v>
      </c>
      <c r="C69" s="105">
        <v>0</v>
      </c>
      <c r="D69" s="923">
        <f t="shared" si="1"/>
        <v>0</v>
      </c>
    </row>
    <row r="70" spans="1:4" ht="15.75" customHeight="1" x14ac:dyDescent="0.25">
      <c r="A70" s="350" t="s">
        <v>820</v>
      </c>
      <c r="B70" s="1170">
        <v>0</v>
      </c>
      <c r="C70" s="105">
        <v>0</v>
      </c>
      <c r="D70" s="923">
        <f t="shared" si="1"/>
        <v>0</v>
      </c>
    </row>
    <row r="71" spans="1:4" ht="15.75" customHeight="1" x14ac:dyDescent="0.25">
      <c r="A71" s="350" t="s">
        <v>388</v>
      </c>
      <c r="B71" s="1170">
        <v>1000000</v>
      </c>
      <c r="C71" s="105">
        <v>1000000</v>
      </c>
      <c r="D71" s="923">
        <f t="shared" si="1"/>
        <v>0</v>
      </c>
    </row>
    <row r="72" spans="1:4" ht="15.75" customHeight="1" x14ac:dyDescent="0.25">
      <c r="A72" s="350" t="s">
        <v>389</v>
      </c>
      <c r="B72" s="1170">
        <v>1000000</v>
      </c>
      <c r="C72" s="105">
        <v>1000000</v>
      </c>
      <c r="D72" s="923">
        <f t="shared" si="1"/>
        <v>0</v>
      </c>
    </row>
    <row r="73" spans="1:4" ht="15.75" customHeight="1" x14ac:dyDescent="0.25">
      <c r="A73" s="350" t="s">
        <v>348</v>
      </c>
      <c r="B73" s="1170">
        <v>2921000</v>
      </c>
      <c r="C73" s="105">
        <v>2921000</v>
      </c>
      <c r="D73" s="923">
        <f t="shared" si="1"/>
        <v>0</v>
      </c>
    </row>
    <row r="74" spans="1:4" ht="15" x14ac:dyDescent="0.25">
      <c r="A74" s="350" t="s">
        <v>855</v>
      </c>
      <c r="B74" s="1170">
        <v>532029</v>
      </c>
      <c r="C74" s="105">
        <v>532029</v>
      </c>
      <c r="D74" s="923">
        <f t="shared" si="1"/>
        <v>0</v>
      </c>
    </row>
    <row r="75" spans="1:4" ht="15.75" customHeight="1" x14ac:dyDescent="0.25">
      <c r="A75" s="350" t="s">
        <v>81</v>
      </c>
      <c r="B75" s="1170">
        <v>7544662</v>
      </c>
      <c r="C75" s="105">
        <v>7544662</v>
      </c>
      <c r="D75" s="923">
        <f t="shared" si="1"/>
        <v>0</v>
      </c>
    </row>
    <row r="76" spans="1:4" ht="30" x14ac:dyDescent="0.25">
      <c r="A76" s="350" t="s">
        <v>997</v>
      </c>
      <c r="B76" s="1170"/>
      <c r="C76" s="105">
        <v>1000000</v>
      </c>
      <c r="D76" s="923">
        <f t="shared" si="1"/>
        <v>1000000</v>
      </c>
    </row>
    <row r="77" spans="1:4" ht="30" x14ac:dyDescent="0.25">
      <c r="A77" s="350" t="s">
        <v>367</v>
      </c>
      <c r="B77" s="1170">
        <v>100000</v>
      </c>
      <c r="C77" s="105">
        <v>100000</v>
      </c>
      <c r="D77" s="923">
        <f t="shared" si="1"/>
        <v>0</v>
      </c>
    </row>
    <row r="78" spans="1:4" ht="15.75" customHeight="1" x14ac:dyDescent="0.25">
      <c r="A78" s="350" t="s">
        <v>368</v>
      </c>
      <c r="B78" s="1170">
        <v>1000000</v>
      </c>
      <c r="C78" s="105">
        <v>1000000</v>
      </c>
      <c r="D78" s="923">
        <f t="shared" si="1"/>
        <v>0</v>
      </c>
    </row>
    <row r="79" spans="1:4" ht="30" x14ac:dyDescent="0.25">
      <c r="A79" s="350" t="s">
        <v>967</v>
      </c>
      <c r="B79" s="1170">
        <v>2000000</v>
      </c>
      <c r="C79" s="105">
        <v>2000000</v>
      </c>
      <c r="D79" s="923">
        <f t="shared" si="1"/>
        <v>0</v>
      </c>
    </row>
    <row r="80" spans="1:4" ht="15.75" customHeight="1" x14ac:dyDescent="0.25">
      <c r="A80" s="350" t="s">
        <v>343</v>
      </c>
      <c r="B80" s="1170">
        <v>0</v>
      </c>
      <c r="C80" s="105">
        <v>0</v>
      </c>
      <c r="D80" s="923">
        <f t="shared" si="1"/>
        <v>0</v>
      </c>
    </row>
    <row r="81" spans="1:4" ht="15.75" customHeight="1" x14ac:dyDescent="0.25">
      <c r="A81" s="350" t="s">
        <v>996</v>
      </c>
      <c r="B81" s="306">
        <v>150000</v>
      </c>
      <c r="C81" s="105">
        <v>300000</v>
      </c>
      <c r="D81" s="923">
        <f t="shared" si="1"/>
        <v>150000</v>
      </c>
    </row>
    <row r="82" spans="1:4" s="126" customFormat="1" ht="20.25" customHeight="1" thickBot="1" x14ac:dyDescent="0.35">
      <c r="A82" s="313" t="s">
        <v>561</v>
      </c>
      <c r="B82" s="928">
        <f>B13+B5</f>
        <v>1171966248</v>
      </c>
      <c r="C82" s="257">
        <f>C13+C5</f>
        <v>1180762553</v>
      </c>
      <c r="D82" s="929">
        <f t="shared" si="1"/>
        <v>8796305</v>
      </c>
    </row>
    <row r="83" spans="1:4" ht="20.25" customHeight="1" x14ac:dyDescent="0.25">
      <c r="A83" s="346"/>
      <c r="B83" s="348"/>
      <c r="D83" s="348"/>
    </row>
  </sheetData>
  <sheetProtection selectLockedCells="1" selectUnlockedCells="1"/>
  <mergeCells count="2">
    <mergeCell ref="A2:D2"/>
    <mergeCell ref="A48:D48"/>
  </mergeCells>
  <phoneticPr fontId="27" type="noConversion"/>
  <printOptions horizontalCentered="1"/>
  <pageMargins left="0.2361111111111111" right="0.2361111111111111" top="0.70833333333333326" bottom="0.39374999999999999" header="0.2361111111111111" footer="0.51180555555555551"/>
  <pageSetup paperSize="9" scale="77" firstPageNumber="0" orientation="portrait" r:id="rId1"/>
  <headerFooter alignWithMargins="0">
    <oddHeader>&amp;C
 5/b. melléklet
az önkormányzat 2018. évi költségvetéséről szóló 11/2018. (III.01.) önkormányzati rendelethez&amp;R&amp;P. oldal</oddHeader>
  </headerFooter>
  <rowBreaks count="2" manualBreakCount="2">
    <brk id="47" max="4" man="1"/>
    <brk id="8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H122"/>
  <sheetViews>
    <sheetView view="pageBreakPreview" topLeftCell="A115" zoomScaleNormal="100" zoomScaleSheetLayoutView="100" workbookViewId="0">
      <selection activeCell="I34" sqref="I34"/>
    </sheetView>
  </sheetViews>
  <sheetFormatPr defaultColWidth="9.109375" defaultRowHeight="13.8" x14ac:dyDescent="0.25"/>
  <cols>
    <col min="1" max="1" width="29.6640625" style="258" customWidth="1"/>
    <col min="2" max="2" width="13.44140625" style="258" customWidth="1"/>
    <col min="3" max="3" width="15.33203125" style="258" customWidth="1"/>
    <col min="4" max="4" width="13.44140625" style="930" customWidth="1"/>
    <col min="5" max="5" width="12.5546875" style="258" customWidth="1"/>
    <col min="6" max="6" width="13.6640625" style="258" customWidth="1"/>
    <col min="7" max="7" width="13" style="258" customWidth="1"/>
    <col min="8" max="8" width="13.88671875" style="258" customWidth="1"/>
    <col min="9" max="9" width="11.44140625" style="258" customWidth="1"/>
    <col min="10" max="10" width="12" style="258" customWidth="1"/>
    <col min="11" max="11" width="12.44140625" style="258" customWidth="1"/>
    <col min="12" max="12" width="13.109375" style="258" customWidth="1"/>
    <col min="13" max="16384" width="9.109375" style="258"/>
  </cols>
  <sheetData>
    <row r="1" spans="1:6" ht="15" customHeight="1" x14ac:dyDescent="0.25">
      <c r="A1" s="552"/>
      <c r="B1" s="837"/>
      <c r="C1" s="837"/>
      <c r="D1" s="837"/>
    </row>
    <row r="2" spans="1:6" ht="29.25" customHeight="1" x14ac:dyDescent="0.25">
      <c r="A2" s="1736" t="s">
        <v>196</v>
      </c>
      <c r="B2" s="1736"/>
      <c r="C2" s="1736"/>
      <c r="D2" s="1736"/>
    </row>
    <row r="3" spans="1:6" ht="29.25" customHeight="1" thickBot="1" x14ac:dyDescent="0.3">
      <c r="A3" s="807"/>
      <c r="B3" s="807"/>
      <c r="C3" s="807"/>
      <c r="D3" s="807"/>
    </row>
    <row r="4" spans="1:6" ht="48" customHeight="1" thickBot="1" x14ac:dyDescent="0.3">
      <c r="A4" s="1039" t="s">
        <v>197</v>
      </c>
      <c r="B4" s="1026" t="s">
        <v>191</v>
      </c>
      <c r="C4" s="1027" t="s">
        <v>357</v>
      </c>
      <c r="D4" s="931" t="s">
        <v>358</v>
      </c>
    </row>
    <row r="5" spans="1:6" ht="15" x14ac:dyDescent="0.25">
      <c r="A5" s="1040" t="s">
        <v>198</v>
      </c>
      <c r="B5" s="1041"/>
      <c r="C5" s="1042"/>
      <c r="D5" s="1043"/>
    </row>
    <row r="6" spans="1:6" ht="45" x14ac:dyDescent="0.25">
      <c r="A6" s="1040" t="s">
        <v>199</v>
      </c>
      <c r="B6" s="1164">
        <v>650001</v>
      </c>
      <c r="C6" s="1044">
        <v>650001</v>
      </c>
      <c r="D6" s="1046">
        <f>C6-B6</f>
        <v>0</v>
      </c>
      <c r="F6" s="553"/>
    </row>
    <row r="7" spans="1:6" ht="30" x14ac:dyDescent="0.25">
      <c r="A7" s="1040" t="s">
        <v>200</v>
      </c>
      <c r="B7" s="1164">
        <v>500000</v>
      </c>
      <c r="C7" s="1044">
        <v>500000</v>
      </c>
      <c r="D7" s="1046">
        <f t="shared" ref="D7:D36" si="0">C7-B7</f>
        <v>0</v>
      </c>
      <c r="F7" s="553"/>
    </row>
    <row r="8" spans="1:6" ht="30" x14ac:dyDescent="0.25">
      <c r="A8" s="1040" t="s">
        <v>201</v>
      </c>
      <c r="B8" s="1164">
        <v>400000</v>
      </c>
      <c r="C8" s="1044">
        <v>400000</v>
      </c>
      <c r="D8" s="1046">
        <f t="shared" si="0"/>
        <v>0</v>
      </c>
      <c r="F8" s="553"/>
    </row>
    <row r="9" spans="1:6" s="259" customFormat="1" ht="15.6" x14ac:dyDescent="0.3">
      <c r="A9" s="1047" t="s">
        <v>561</v>
      </c>
      <c r="B9" s="1165">
        <f>SUM(B6:B8)</f>
        <v>1550001</v>
      </c>
      <c r="C9" s="1048">
        <f t="shared" ref="C9:D9" si="1">SUM(C6:C8)</f>
        <v>1550001</v>
      </c>
      <c r="D9" s="1251">
        <f t="shared" si="1"/>
        <v>0</v>
      </c>
    </row>
    <row r="10" spans="1:6" ht="15" x14ac:dyDescent="0.25">
      <c r="A10" s="1040"/>
      <c r="B10" s="1164"/>
      <c r="C10" s="1044"/>
      <c r="D10" s="1046">
        <f t="shared" si="0"/>
        <v>0</v>
      </c>
    </row>
    <row r="11" spans="1:6" ht="30" x14ac:dyDescent="0.25">
      <c r="A11" s="1040" t="s">
        <v>202</v>
      </c>
      <c r="B11" s="1164"/>
      <c r="C11" s="1044"/>
      <c r="D11" s="1046">
        <f t="shared" si="0"/>
        <v>0</v>
      </c>
    </row>
    <row r="12" spans="1:6" ht="45" x14ac:dyDescent="0.25">
      <c r="A12" s="1050" t="s">
        <v>203</v>
      </c>
      <c r="B12" s="1164"/>
      <c r="C12" s="1044"/>
      <c r="D12" s="1046">
        <f t="shared" si="0"/>
        <v>0</v>
      </c>
    </row>
    <row r="13" spans="1:6" ht="30" x14ac:dyDescent="0.25">
      <c r="A13" s="1050" t="s">
        <v>204</v>
      </c>
      <c r="B13" s="1164"/>
      <c r="C13" s="1044"/>
      <c r="D13" s="1046">
        <f t="shared" si="0"/>
        <v>0</v>
      </c>
    </row>
    <row r="14" spans="1:6" s="259" customFormat="1" ht="15.6" x14ac:dyDescent="0.3">
      <c r="A14" s="1047" t="s">
        <v>561</v>
      </c>
      <c r="B14" s="1165">
        <f>SUM(B12:B13)</f>
        <v>0</v>
      </c>
      <c r="C14" s="1048">
        <f>SUM(C12:C13)</f>
        <v>0</v>
      </c>
      <c r="D14" s="1049">
        <f t="shared" si="0"/>
        <v>0</v>
      </c>
    </row>
    <row r="15" spans="1:6" ht="15" x14ac:dyDescent="0.25">
      <c r="A15" s="1040"/>
      <c r="B15" s="1164"/>
      <c r="C15" s="1044"/>
      <c r="D15" s="1046">
        <f t="shared" si="0"/>
        <v>0</v>
      </c>
    </row>
    <row r="16" spans="1:6" ht="15" x14ac:dyDescent="0.25">
      <c r="A16" s="1040" t="s">
        <v>205</v>
      </c>
      <c r="B16" s="1164"/>
      <c r="C16" s="1044"/>
      <c r="D16" s="1046">
        <f t="shared" si="0"/>
        <v>0</v>
      </c>
    </row>
    <row r="17" spans="1:6" ht="60" x14ac:dyDescent="0.25">
      <c r="A17" s="1040" t="s">
        <v>206</v>
      </c>
      <c r="B17" s="1164">
        <v>999999</v>
      </c>
      <c r="C17" s="1044">
        <v>999999</v>
      </c>
      <c r="D17" s="1046">
        <f t="shared" si="0"/>
        <v>0</v>
      </c>
    </row>
    <row r="18" spans="1:6" ht="30" x14ac:dyDescent="0.25">
      <c r="A18" s="1040" t="s">
        <v>207</v>
      </c>
      <c r="B18" s="1164">
        <v>600000</v>
      </c>
      <c r="C18" s="1044">
        <v>1500000</v>
      </c>
      <c r="D18" s="1046">
        <f t="shared" si="0"/>
        <v>900000</v>
      </c>
    </row>
    <row r="19" spans="1:6" ht="30" x14ac:dyDescent="0.25">
      <c r="A19" s="1040" t="s">
        <v>208</v>
      </c>
      <c r="B19" s="1164">
        <v>100000</v>
      </c>
      <c r="C19" s="1044">
        <v>100000</v>
      </c>
      <c r="D19" s="1046">
        <f t="shared" si="0"/>
        <v>0</v>
      </c>
      <c r="E19" s="554"/>
    </row>
    <row r="20" spans="1:6" s="259" customFormat="1" ht="15.6" x14ac:dyDescent="0.3">
      <c r="A20" s="1047" t="s">
        <v>561</v>
      </c>
      <c r="B20" s="1165">
        <f>SUM(B17:B19)</f>
        <v>1699999</v>
      </c>
      <c r="C20" s="1048">
        <f>SUM(C17:C19)</f>
        <v>2599999</v>
      </c>
      <c r="D20" s="1251">
        <f>SUM(D17:D19)</f>
        <v>900000</v>
      </c>
    </row>
    <row r="21" spans="1:6" ht="15" x14ac:dyDescent="0.25">
      <c r="A21" s="1040"/>
      <c r="B21" s="1164"/>
      <c r="C21" s="1044"/>
      <c r="D21" s="1046">
        <f t="shared" si="0"/>
        <v>0</v>
      </c>
    </row>
    <row r="22" spans="1:6" ht="15" x14ac:dyDescent="0.25">
      <c r="A22" s="1040" t="s">
        <v>209</v>
      </c>
      <c r="B22" s="1164"/>
      <c r="C22" s="1044"/>
      <c r="D22" s="1046">
        <f t="shared" si="0"/>
        <v>0</v>
      </c>
    </row>
    <row r="23" spans="1:6" ht="45" x14ac:dyDescent="0.25">
      <c r="A23" s="1040" t="s">
        <v>210</v>
      </c>
      <c r="B23" s="1164">
        <v>299999</v>
      </c>
      <c r="C23" s="1044">
        <v>299999</v>
      </c>
      <c r="D23" s="1046">
        <f t="shared" si="0"/>
        <v>0</v>
      </c>
    </row>
    <row r="24" spans="1:6" ht="60" x14ac:dyDescent="0.25">
      <c r="A24" s="1040" t="s">
        <v>206</v>
      </c>
      <c r="B24" s="1164">
        <v>200000</v>
      </c>
      <c r="C24" s="1044">
        <v>200000</v>
      </c>
      <c r="D24" s="1046">
        <f t="shared" si="0"/>
        <v>0</v>
      </c>
    </row>
    <row r="25" spans="1:6" ht="45" x14ac:dyDescent="0.25">
      <c r="A25" s="1040" t="s">
        <v>211</v>
      </c>
      <c r="B25" s="1164">
        <v>2500005</v>
      </c>
      <c r="C25" s="1044">
        <v>2500005</v>
      </c>
      <c r="D25" s="1046">
        <f t="shared" si="0"/>
        <v>0</v>
      </c>
      <c r="F25" s="553"/>
    </row>
    <row r="26" spans="1:6" ht="45" x14ac:dyDescent="0.25">
      <c r="A26" s="1040" t="s">
        <v>212</v>
      </c>
      <c r="B26" s="1164">
        <v>180000</v>
      </c>
      <c r="C26" s="1044">
        <v>180000</v>
      </c>
      <c r="D26" s="1046">
        <f t="shared" si="0"/>
        <v>0</v>
      </c>
      <c r="F26" s="553"/>
    </row>
    <row r="27" spans="1:6" ht="30" x14ac:dyDescent="0.25">
      <c r="A27" s="1040" t="s">
        <v>214</v>
      </c>
      <c r="B27" s="1164">
        <v>299526</v>
      </c>
      <c r="C27" s="1044">
        <v>299526</v>
      </c>
      <c r="D27" s="1046">
        <f t="shared" si="0"/>
        <v>0</v>
      </c>
      <c r="F27" s="553"/>
    </row>
    <row r="28" spans="1:6" ht="15" x14ac:dyDescent="0.25">
      <c r="A28" s="1040" t="s">
        <v>215</v>
      </c>
      <c r="B28" s="1164">
        <v>2700000</v>
      </c>
      <c r="C28" s="1044">
        <v>2600000</v>
      </c>
      <c r="D28" s="1046">
        <f t="shared" si="0"/>
        <v>-100000</v>
      </c>
      <c r="F28" s="553"/>
    </row>
    <row r="29" spans="1:6" ht="30" x14ac:dyDescent="0.25">
      <c r="A29" s="1040" t="s">
        <v>216</v>
      </c>
      <c r="B29" s="1164">
        <v>3000000</v>
      </c>
      <c r="C29" s="1044">
        <v>3000000</v>
      </c>
      <c r="D29" s="1046">
        <f t="shared" si="0"/>
        <v>0</v>
      </c>
      <c r="F29" s="553"/>
    </row>
    <row r="30" spans="1:6" ht="30" x14ac:dyDescent="0.25">
      <c r="A30" s="1040" t="s">
        <v>217</v>
      </c>
      <c r="B30" s="1164">
        <v>1500000</v>
      </c>
      <c r="C30" s="1044">
        <v>1500000</v>
      </c>
      <c r="D30" s="1046">
        <f t="shared" si="0"/>
        <v>0</v>
      </c>
      <c r="F30" s="553"/>
    </row>
    <row r="31" spans="1:6" ht="30" x14ac:dyDescent="0.25">
      <c r="A31" s="1040" t="s">
        <v>218</v>
      </c>
      <c r="B31" s="1164">
        <v>200000</v>
      </c>
      <c r="C31" s="1044">
        <v>200000</v>
      </c>
      <c r="D31" s="1046">
        <f t="shared" si="0"/>
        <v>0</v>
      </c>
      <c r="E31" s="555"/>
      <c r="F31" s="553"/>
    </row>
    <row r="32" spans="1:6" ht="15" x14ac:dyDescent="0.25">
      <c r="A32" s="1040" t="s">
        <v>219</v>
      </c>
      <c r="B32" s="1164">
        <v>900000</v>
      </c>
      <c r="C32" s="1044">
        <v>900000</v>
      </c>
      <c r="D32" s="1046">
        <f t="shared" si="0"/>
        <v>0</v>
      </c>
      <c r="F32" s="553"/>
    </row>
    <row r="33" spans="1:8" ht="30" x14ac:dyDescent="0.25">
      <c r="A33" s="1040" t="s">
        <v>220</v>
      </c>
      <c r="B33" s="1164">
        <v>2500000</v>
      </c>
      <c r="C33" s="1044">
        <v>2500000</v>
      </c>
      <c r="D33" s="1046">
        <f t="shared" si="0"/>
        <v>0</v>
      </c>
      <c r="F33" s="553"/>
    </row>
    <row r="34" spans="1:8" ht="15" x14ac:dyDescent="0.25">
      <c r="A34" s="1040" t="s">
        <v>213</v>
      </c>
      <c r="B34" s="1164">
        <v>2500000</v>
      </c>
      <c r="C34" s="1044">
        <v>2500000</v>
      </c>
      <c r="D34" s="1046">
        <f t="shared" si="0"/>
        <v>0</v>
      </c>
      <c r="F34" s="553"/>
    </row>
    <row r="35" spans="1:8" s="259" customFormat="1" ht="15.6" x14ac:dyDescent="0.3">
      <c r="A35" s="1047" t="s">
        <v>561</v>
      </c>
      <c r="B35" s="1165">
        <f>SUM(B23:B34)</f>
        <v>16779530</v>
      </c>
      <c r="C35" s="1048">
        <f t="shared" ref="C35:D35" si="2">SUM(C23:C34)</f>
        <v>16679530</v>
      </c>
      <c r="D35" s="1251">
        <f t="shared" si="2"/>
        <v>-100000</v>
      </c>
      <c r="F35" s="556"/>
    </row>
    <row r="36" spans="1:8" ht="15.6" thickBot="1" x14ac:dyDescent="0.3">
      <c r="A36" s="1051"/>
      <c r="B36" s="1166"/>
      <c r="C36" s="1052"/>
      <c r="D36" s="1053">
        <f t="shared" si="0"/>
        <v>0</v>
      </c>
      <c r="F36" s="553"/>
    </row>
    <row r="37" spans="1:8" ht="47.4" thickBot="1" x14ac:dyDescent="0.3">
      <c r="A37" s="1054" t="s">
        <v>197</v>
      </c>
      <c r="B37" s="1167" t="s">
        <v>191</v>
      </c>
      <c r="C37" s="1035" t="s">
        <v>357</v>
      </c>
      <c r="D37" s="932" t="s">
        <v>358</v>
      </c>
      <c r="E37" s="557"/>
      <c r="F37" s="558"/>
      <c r="G37" s="557"/>
      <c r="H37" s="557"/>
    </row>
    <row r="38" spans="1:8" ht="15" x14ac:dyDescent="0.25">
      <c r="A38" s="1040" t="s">
        <v>221</v>
      </c>
      <c r="B38" s="1168"/>
      <c r="C38" s="1055"/>
      <c r="D38" s="1043"/>
      <c r="F38" s="553"/>
    </row>
    <row r="39" spans="1:8" ht="60" x14ac:dyDescent="0.25">
      <c r="A39" s="1040" t="s">
        <v>222</v>
      </c>
      <c r="B39" s="1164">
        <v>2210001</v>
      </c>
      <c r="C39" s="1044">
        <v>2210001</v>
      </c>
      <c r="D39" s="1046">
        <f>C39-B39</f>
        <v>0</v>
      </c>
      <c r="F39" s="553"/>
    </row>
    <row r="40" spans="1:8" ht="30" x14ac:dyDescent="0.25">
      <c r="A40" s="1056" t="s">
        <v>220</v>
      </c>
      <c r="B40" s="1164">
        <v>2500000</v>
      </c>
      <c r="C40" s="1044">
        <v>2500000</v>
      </c>
      <c r="D40" s="1046">
        <f>C40-B40</f>
        <v>0</v>
      </c>
      <c r="F40" s="553"/>
    </row>
    <row r="41" spans="1:8" s="259" customFormat="1" ht="15.6" x14ac:dyDescent="0.3">
      <c r="A41" s="1047" t="s">
        <v>561</v>
      </c>
      <c r="B41" s="1165">
        <f>SUM(B39:B40)</f>
        <v>4710001</v>
      </c>
      <c r="C41" s="1048">
        <f t="shared" ref="C41:D41" si="3">SUM(C39:C40)</f>
        <v>4710001</v>
      </c>
      <c r="D41" s="1251">
        <f t="shared" si="3"/>
        <v>0</v>
      </c>
      <c r="F41" s="556"/>
    </row>
    <row r="42" spans="1:8" s="259" customFormat="1" ht="15.6" x14ac:dyDescent="0.3">
      <c r="A42" s="1047"/>
      <c r="B42" s="1165"/>
      <c r="C42" s="1048"/>
      <c r="D42" s="1057"/>
      <c r="F42" s="556"/>
    </row>
    <row r="43" spans="1:8" ht="16.5" customHeight="1" x14ac:dyDescent="0.25">
      <c r="A43" s="1040" t="s">
        <v>223</v>
      </c>
      <c r="B43" s="1164"/>
      <c r="C43" s="1044"/>
      <c r="D43" s="1045"/>
      <c r="F43" s="553"/>
    </row>
    <row r="44" spans="1:8" ht="45" x14ac:dyDescent="0.25">
      <c r="A44" s="1058" t="s">
        <v>224</v>
      </c>
      <c r="B44" s="1164">
        <v>2500000</v>
      </c>
      <c r="C44" s="1044">
        <v>2500000</v>
      </c>
      <c r="D44" s="1046">
        <f>C44-B44</f>
        <v>0</v>
      </c>
      <c r="F44" s="553"/>
    </row>
    <row r="45" spans="1:8" ht="30" x14ac:dyDescent="0.25">
      <c r="A45" s="1058" t="s">
        <v>225</v>
      </c>
      <c r="B45" s="1164">
        <v>2000000</v>
      </c>
      <c r="C45" s="1044">
        <v>2000000</v>
      </c>
      <c r="D45" s="1046">
        <f>C45-B45</f>
        <v>0</v>
      </c>
      <c r="F45" s="553"/>
    </row>
    <row r="46" spans="1:8" ht="30" x14ac:dyDescent="0.25">
      <c r="A46" s="1058" t="s">
        <v>226</v>
      </c>
      <c r="B46" s="1164">
        <v>4000000</v>
      </c>
      <c r="C46" s="1044">
        <v>4000000</v>
      </c>
      <c r="D46" s="1046">
        <f>C46-B46</f>
        <v>0</v>
      </c>
      <c r="F46" s="553"/>
    </row>
    <row r="47" spans="1:8" ht="15" x14ac:dyDescent="0.25">
      <c r="A47" s="1058" t="s">
        <v>227</v>
      </c>
      <c r="B47" s="1164">
        <v>2500000</v>
      </c>
      <c r="C47" s="1044">
        <v>2500000</v>
      </c>
      <c r="D47" s="1046">
        <f>C47-B47</f>
        <v>0</v>
      </c>
      <c r="F47" s="553"/>
    </row>
    <row r="48" spans="1:8" s="259" customFormat="1" ht="15.6" x14ac:dyDescent="0.3">
      <c r="A48" s="1047" t="s">
        <v>561</v>
      </c>
      <c r="B48" s="1165">
        <f>SUM(B44:B47)</f>
        <v>11000000</v>
      </c>
      <c r="C48" s="1048">
        <f t="shared" ref="C48:D48" si="4">SUM(C44:C47)</f>
        <v>11000000</v>
      </c>
      <c r="D48" s="1251">
        <f t="shared" si="4"/>
        <v>0</v>
      </c>
      <c r="F48" s="556"/>
    </row>
    <row r="49" spans="1:6" ht="15" x14ac:dyDescent="0.25">
      <c r="A49" s="1040"/>
      <c r="B49" s="1164"/>
      <c r="C49" s="1044"/>
      <c r="D49" s="1045"/>
      <c r="F49" s="553"/>
    </row>
    <row r="50" spans="1:6" ht="15" x14ac:dyDescent="0.25">
      <c r="A50" s="1040" t="s">
        <v>228</v>
      </c>
      <c r="B50" s="1164"/>
      <c r="C50" s="1044"/>
      <c r="D50" s="1045"/>
      <c r="F50" s="553"/>
    </row>
    <row r="51" spans="1:6" ht="90" x14ac:dyDescent="0.25">
      <c r="A51" s="1040" t="s">
        <v>229</v>
      </c>
      <c r="B51" s="1164">
        <v>599999</v>
      </c>
      <c r="C51" s="1044">
        <v>599999</v>
      </c>
      <c r="D51" s="1046">
        <f>C51-B51</f>
        <v>0</v>
      </c>
      <c r="F51" s="553"/>
    </row>
    <row r="52" spans="1:6" ht="30" x14ac:dyDescent="0.25">
      <c r="A52" s="1040" t="s">
        <v>230</v>
      </c>
      <c r="B52" s="1164">
        <v>1534000</v>
      </c>
      <c r="C52" s="1044">
        <v>1534000</v>
      </c>
      <c r="D52" s="1046">
        <f>C52-B52</f>
        <v>0</v>
      </c>
      <c r="F52" s="553"/>
    </row>
    <row r="53" spans="1:6" ht="45" x14ac:dyDescent="0.25">
      <c r="A53" s="1040" t="s">
        <v>231</v>
      </c>
      <c r="B53" s="1164">
        <v>618043</v>
      </c>
      <c r="C53" s="1044">
        <v>618043</v>
      </c>
      <c r="D53" s="1046">
        <f>C53-B53</f>
        <v>0</v>
      </c>
      <c r="F53" s="553"/>
    </row>
    <row r="54" spans="1:6" s="259" customFormat="1" ht="15.6" x14ac:dyDescent="0.3">
      <c r="A54" s="1059" t="s">
        <v>561</v>
      </c>
      <c r="B54" s="1165">
        <f>SUM(B51:B53)</f>
        <v>2752042</v>
      </c>
      <c r="C54" s="1048">
        <f t="shared" ref="C54:D54" si="5">SUM(C51:C53)</f>
        <v>2752042</v>
      </c>
      <c r="D54" s="1251">
        <f t="shared" si="5"/>
        <v>0</v>
      </c>
      <c r="F54" s="556"/>
    </row>
    <row r="55" spans="1:6" s="259" customFormat="1" ht="15.6" x14ac:dyDescent="0.3">
      <c r="A55" s="1059"/>
      <c r="B55" s="1164"/>
      <c r="C55" s="1048"/>
      <c r="D55" s="1057"/>
      <c r="F55" s="556"/>
    </row>
    <row r="56" spans="1:6" ht="30" x14ac:dyDescent="0.25">
      <c r="A56" s="1040" t="s">
        <v>232</v>
      </c>
      <c r="B56" s="1164"/>
      <c r="C56" s="1044"/>
      <c r="D56" s="1045"/>
      <c r="F56" s="553"/>
    </row>
    <row r="57" spans="1:6" ht="30" x14ac:dyDescent="0.25">
      <c r="A57" s="1040" t="s">
        <v>233</v>
      </c>
      <c r="B57" s="1164">
        <v>3199999</v>
      </c>
      <c r="C57" s="1044">
        <v>3199999</v>
      </c>
      <c r="D57" s="1046">
        <f>C57-B57</f>
        <v>0</v>
      </c>
      <c r="F57" s="553"/>
    </row>
    <row r="58" spans="1:6" s="259" customFormat="1" ht="15.6" x14ac:dyDescent="0.3">
      <c r="A58" s="1047" t="s">
        <v>561</v>
      </c>
      <c r="B58" s="1165">
        <f>SUM(B57:B57)</f>
        <v>3199999</v>
      </c>
      <c r="C58" s="1048">
        <f>SUM(C57:C57)</f>
        <v>3199999</v>
      </c>
      <c r="D58" s="1049">
        <f>C58-B58</f>
        <v>0</v>
      </c>
      <c r="F58" s="556"/>
    </row>
    <row r="59" spans="1:6" ht="15.6" x14ac:dyDescent="0.3">
      <c r="A59" s="1047"/>
      <c r="B59" s="1164"/>
      <c r="C59" s="1048"/>
      <c r="D59" s="1045"/>
      <c r="F59" s="553"/>
    </row>
    <row r="60" spans="1:6" ht="30" x14ac:dyDescent="0.25">
      <c r="A60" s="1040" t="s">
        <v>234</v>
      </c>
      <c r="B60" s="1164"/>
      <c r="C60" s="1044"/>
      <c r="D60" s="1045"/>
      <c r="F60" s="553"/>
    </row>
    <row r="61" spans="1:6" s="259" customFormat="1" ht="15.6" x14ac:dyDescent="0.3">
      <c r="A61" s="1047" t="s">
        <v>561</v>
      </c>
      <c r="B61" s="1165">
        <v>0</v>
      </c>
      <c r="C61" s="1048">
        <v>0</v>
      </c>
      <c r="D61" s="1049">
        <v>0</v>
      </c>
      <c r="F61" s="556"/>
    </row>
    <row r="62" spans="1:6" ht="15.6" x14ac:dyDescent="0.3">
      <c r="A62" s="1047"/>
      <c r="B62" s="1164"/>
      <c r="C62" s="1060"/>
      <c r="D62" s="1045"/>
      <c r="F62" s="553"/>
    </row>
    <row r="63" spans="1:6" ht="30" x14ac:dyDescent="0.25">
      <c r="A63" s="1040" t="s">
        <v>235</v>
      </c>
      <c r="B63" s="1164"/>
      <c r="C63" s="1044"/>
      <c r="D63" s="1045"/>
      <c r="F63" s="553"/>
    </row>
    <row r="64" spans="1:6" s="259" customFormat="1" ht="15.6" x14ac:dyDescent="0.3">
      <c r="A64" s="1047" t="s">
        <v>561</v>
      </c>
      <c r="B64" s="1165">
        <v>0</v>
      </c>
      <c r="C64" s="1048">
        <v>0</v>
      </c>
      <c r="D64" s="1049">
        <v>0</v>
      </c>
      <c r="F64" s="556"/>
    </row>
    <row r="65" spans="1:6" ht="15.6" x14ac:dyDescent="0.3">
      <c r="A65" s="1047"/>
      <c r="B65" s="1164"/>
      <c r="C65" s="1048"/>
      <c r="D65" s="1045"/>
      <c r="F65" s="553"/>
    </row>
    <row r="66" spans="1:6" ht="30" x14ac:dyDescent="0.25">
      <c r="A66" s="1061" t="s">
        <v>236</v>
      </c>
      <c r="B66" s="1164"/>
      <c r="C66" s="1062"/>
      <c r="D66" s="1045"/>
      <c r="F66" s="553"/>
    </row>
    <row r="67" spans="1:6" s="259" customFormat="1" ht="15.6" x14ac:dyDescent="0.3">
      <c r="A67" s="1249" t="s">
        <v>561</v>
      </c>
      <c r="B67" s="1165">
        <v>0</v>
      </c>
      <c r="C67" s="1250">
        <v>0</v>
      </c>
      <c r="D67" s="1057">
        <v>0</v>
      </c>
      <c r="F67" s="556"/>
    </row>
    <row r="68" spans="1:6" ht="30" x14ac:dyDescent="0.25">
      <c r="A68" s="1063" t="s">
        <v>237</v>
      </c>
      <c r="B68" s="1246"/>
      <c r="C68" s="1247"/>
      <c r="D68" s="1248"/>
      <c r="F68" s="553"/>
    </row>
    <row r="69" spans="1:6" s="259" customFormat="1" ht="15.6" x14ac:dyDescent="0.3">
      <c r="A69" s="1047" t="s">
        <v>561</v>
      </c>
      <c r="B69" s="1165">
        <v>0</v>
      </c>
      <c r="C69" s="1048">
        <v>0</v>
      </c>
      <c r="D69" s="1049">
        <v>0</v>
      </c>
      <c r="F69" s="556"/>
    </row>
    <row r="70" spans="1:6" s="259" customFormat="1" ht="15.6" x14ac:dyDescent="0.3">
      <c r="A70" s="1047"/>
      <c r="B70" s="1165"/>
      <c r="C70" s="1048"/>
      <c r="D70" s="1057"/>
      <c r="F70" s="556"/>
    </row>
    <row r="71" spans="1:6" s="259" customFormat="1" ht="30.6" x14ac:dyDescent="0.3">
      <c r="A71" s="1040" t="s">
        <v>238</v>
      </c>
      <c r="B71" s="1165"/>
      <c r="C71" s="1048"/>
      <c r="D71" s="1057"/>
      <c r="F71" s="556"/>
    </row>
    <row r="72" spans="1:6" s="259" customFormat="1" ht="30" x14ac:dyDescent="0.25">
      <c r="A72" s="1056" t="s">
        <v>239</v>
      </c>
      <c r="B72" s="1164">
        <v>1066381</v>
      </c>
      <c r="C72" s="1044">
        <v>1066381</v>
      </c>
      <c r="D72" s="1046">
        <f>C72-B72</f>
        <v>0</v>
      </c>
      <c r="F72" s="556"/>
    </row>
    <row r="73" spans="1:6" ht="16.2" thickBot="1" x14ac:dyDescent="0.35">
      <c r="A73" s="1064" t="s">
        <v>240</v>
      </c>
      <c r="B73" s="1169">
        <f>SUM(B72)</f>
        <v>1066381</v>
      </c>
      <c r="C73" s="1065">
        <f>SUM(C72)</f>
        <v>1066381</v>
      </c>
      <c r="D73" s="1066">
        <f>C73-B73</f>
        <v>0</v>
      </c>
      <c r="F73" s="553"/>
    </row>
    <row r="74" spans="1:6" ht="47.4" thickBot="1" x14ac:dyDescent="0.3">
      <c r="A74" s="1039" t="s">
        <v>197</v>
      </c>
      <c r="B74" s="1167" t="s">
        <v>191</v>
      </c>
      <c r="C74" s="1035" t="s">
        <v>357</v>
      </c>
      <c r="D74" s="932" t="s">
        <v>358</v>
      </c>
      <c r="F74" s="553"/>
    </row>
    <row r="75" spans="1:6" ht="15.6" x14ac:dyDescent="0.3">
      <c r="A75" s="1047"/>
      <c r="B75" s="1164"/>
      <c r="C75" s="1044"/>
      <c r="D75" s="1045"/>
      <c r="F75" s="553"/>
    </row>
    <row r="76" spans="1:6" ht="15" x14ac:dyDescent="0.25">
      <c r="A76" s="1063" t="s">
        <v>241</v>
      </c>
      <c r="B76" s="1164"/>
      <c r="C76" s="1044"/>
      <c r="D76" s="1045"/>
      <c r="F76" s="553"/>
    </row>
    <row r="77" spans="1:6" ht="42.75" customHeight="1" x14ac:dyDescent="0.25">
      <c r="A77" s="1040" t="s">
        <v>242</v>
      </c>
      <c r="B77" s="1164">
        <v>1216000</v>
      </c>
      <c r="C77" s="1044">
        <v>1216000</v>
      </c>
      <c r="D77" s="1046">
        <f>C77-B77</f>
        <v>0</v>
      </c>
      <c r="F77" s="553"/>
    </row>
    <row r="78" spans="1:6" s="259" customFormat="1" ht="15.6" x14ac:dyDescent="0.3">
      <c r="A78" s="1047" t="s">
        <v>240</v>
      </c>
      <c r="B78" s="1165">
        <f>SUM(B77:B77)</f>
        <v>1216000</v>
      </c>
      <c r="C78" s="1048">
        <f>SUM(C77:C77)</f>
        <v>1216000</v>
      </c>
      <c r="D78" s="1049">
        <f>C78-B78</f>
        <v>0</v>
      </c>
      <c r="F78" s="556"/>
    </row>
    <row r="79" spans="1:6" ht="15" x14ac:dyDescent="0.25">
      <c r="A79" s="1040"/>
      <c r="B79" s="1164"/>
      <c r="C79" s="1044"/>
      <c r="D79" s="1045"/>
      <c r="F79" s="553"/>
    </row>
    <row r="80" spans="1:6" ht="15" x14ac:dyDescent="0.25">
      <c r="A80" s="1040" t="s">
        <v>243</v>
      </c>
      <c r="B80" s="1164"/>
      <c r="C80" s="1044"/>
      <c r="D80" s="1045"/>
      <c r="F80" s="553"/>
    </row>
    <row r="81" spans="1:6" ht="45" x14ac:dyDescent="0.25">
      <c r="A81" s="1040" t="s">
        <v>244</v>
      </c>
      <c r="B81" s="1164">
        <v>226000</v>
      </c>
      <c r="C81" s="1044">
        <v>226000</v>
      </c>
      <c r="D81" s="1046">
        <f>C81-B81</f>
        <v>0</v>
      </c>
      <c r="F81" s="553"/>
    </row>
    <row r="82" spans="1:6" s="259" customFormat="1" ht="15.6" x14ac:dyDescent="0.3">
      <c r="A82" s="1047" t="s">
        <v>561</v>
      </c>
      <c r="B82" s="1165">
        <f>SUM(B81)</f>
        <v>226000</v>
      </c>
      <c r="C82" s="1048">
        <f>SUM(C81)</f>
        <v>226000</v>
      </c>
      <c r="D82" s="1049">
        <f>C82-B82</f>
        <v>0</v>
      </c>
      <c r="F82" s="556"/>
    </row>
    <row r="83" spans="1:6" ht="15.6" x14ac:dyDescent="0.3">
      <c r="A83" s="1047"/>
      <c r="B83" s="1164"/>
      <c r="C83" s="1048"/>
      <c r="D83" s="1045"/>
      <c r="F83" s="553"/>
    </row>
    <row r="84" spans="1:6" ht="15" x14ac:dyDescent="0.25">
      <c r="A84" s="1040" t="s">
        <v>245</v>
      </c>
      <c r="B84" s="1164"/>
      <c r="C84" s="1044"/>
      <c r="D84" s="1045"/>
      <c r="F84" s="553"/>
    </row>
    <row r="85" spans="1:6" ht="15" x14ac:dyDescent="0.25">
      <c r="A85" s="1040" t="s">
        <v>246</v>
      </c>
      <c r="B85" s="1164">
        <v>2000000</v>
      </c>
      <c r="C85" s="1044">
        <v>2000000</v>
      </c>
      <c r="D85" s="1046">
        <f>C85-B85</f>
        <v>0</v>
      </c>
      <c r="F85" s="553"/>
    </row>
    <row r="86" spans="1:6" s="259" customFormat="1" ht="15.6" x14ac:dyDescent="0.3">
      <c r="A86" s="1047" t="s">
        <v>561</v>
      </c>
      <c r="B86" s="1165">
        <f>SUM(B85)</f>
        <v>2000000</v>
      </c>
      <c r="C86" s="1048">
        <f t="shared" ref="C86:D86" si="6">SUM(C85)</f>
        <v>2000000</v>
      </c>
      <c r="D86" s="1251">
        <f t="shared" si="6"/>
        <v>0</v>
      </c>
      <c r="F86" s="556"/>
    </row>
    <row r="87" spans="1:6" ht="15" x14ac:dyDescent="0.25">
      <c r="A87" s="1040"/>
      <c r="B87" s="1164"/>
      <c r="C87" s="1044"/>
      <c r="D87" s="1045"/>
      <c r="F87" s="553"/>
    </row>
    <row r="88" spans="1:6" ht="15.75" customHeight="1" x14ac:dyDescent="0.25">
      <c r="A88" s="1040" t="s">
        <v>247</v>
      </c>
      <c r="B88" s="1164"/>
      <c r="C88" s="1044"/>
      <c r="D88" s="1045"/>
      <c r="F88" s="553"/>
    </row>
    <row r="89" spans="1:6" ht="30.75" customHeight="1" x14ac:dyDescent="0.25">
      <c r="A89" s="1040" t="s">
        <v>248</v>
      </c>
      <c r="B89" s="1164">
        <v>1840230</v>
      </c>
      <c r="C89" s="1044">
        <v>1840230</v>
      </c>
      <c r="D89" s="1046">
        <f>C89-B89</f>
        <v>0</v>
      </c>
      <c r="F89" s="553"/>
    </row>
    <row r="90" spans="1:6" ht="30.75" customHeight="1" x14ac:dyDescent="0.25">
      <c r="A90" s="1040" t="s">
        <v>249</v>
      </c>
      <c r="B90" s="1164">
        <v>3376346</v>
      </c>
      <c r="C90" s="1044">
        <v>3376346</v>
      </c>
      <c r="D90" s="1046">
        <f>C90-B90</f>
        <v>0</v>
      </c>
      <c r="F90" s="553"/>
    </row>
    <row r="91" spans="1:6" s="259" customFormat="1" ht="15.6" x14ac:dyDescent="0.3">
      <c r="A91" s="1047" t="s">
        <v>561</v>
      </c>
      <c r="B91" s="1165">
        <f>SUM(B89:B90)</f>
        <v>5216576</v>
      </c>
      <c r="C91" s="1048">
        <f>SUM(C89:C90)</f>
        <v>5216576</v>
      </c>
      <c r="D91" s="1049">
        <f>C91-B91</f>
        <v>0</v>
      </c>
      <c r="F91" s="556"/>
    </row>
    <row r="92" spans="1:6" ht="15" x14ac:dyDescent="0.25">
      <c r="A92" s="1040"/>
      <c r="B92" s="1164"/>
      <c r="C92" s="1044"/>
      <c r="D92" s="1045"/>
      <c r="F92" s="553"/>
    </row>
    <row r="93" spans="1:6" ht="30" x14ac:dyDescent="0.25">
      <c r="A93" s="1040" t="s">
        <v>250</v>
      </c>
      <c r="B93" s="1164"/>
      <c r="C93" s="1044"/>
      <c r="D93" s="1045"/>
      <c r="F93" s="553"/>
    </row>
    <row r="94" spans="1:6" s="259" customFormat="1" ht="15.6" x14ac:dyDescent="0.3">
      <c r="A94" s="1047" t="s">
        <v>561</v>
      </c>
      <c r="B94" s="1164"/>
      <c r="C94" s="1048"/>
      <c r="D94" s="1057"/>
      <c r="F94" s="556"/>
    </row>
    <row r="95" spans="1:6" ht="15.6" x14ac:dyDescent="0.3">
      <c r="A95" s="1047"/>
      <c r="B95" s="1164"/>
      <c r="C95" s="1048"/>
      <c r="D95" s="1045"/>
      <c r="F95" s="553"/>
    </row>
    <row r="96" spans="1:6" ht="15" x14ac:dyDescent="0.25">
      <c r="A96" s="1040"/>
      <c r="B96" s="1164"/>
      <c r="C96" s="1044"/>
      <c r="D96" s="1045"/>
      <c r="F96" s="553"/>
    </row>
    <row r="97" spans="1:6" ht="15" x14ac:dyDescent="0.25">
      <c r="A97" s="1040" t="s">
        <v>251</v>
      </c>
      <c r="B97" s="1164"/>
      <c r="C97" s="1044"/>
      <c r="D97" s="1045"/>
      <c r="F97" s="553"/>
    </row>
    <row r="98" spans="1:6" ht="45" x14ac:dyDescent="0.25">
      <c r="A98" s="1040" t="s">
        <v>249</v>
      </c>
      <c r="B98" s="1164">
        <v>2339619</v>
      </c>
      <c r="C98" s="1044">
        <v>2339619</v>
      </c>
      <c r="D98" s="1046">
        <f>C98-B98</f>
        <v>0</v>
      </c>
      <c r="F98" s="553"/>
    </row>
    <row r="99" spans="1:6" ht="45" x14ac:dyDescent="0.25">
      <c r="A99" s="1040" t="s">
        <v>252</v>
      </c>
      <c r="B99" s="1164">
        <v>200000</v>
      </c>
      <c r="C99" s="1044">
        <v>200000</v>
      </c>
      <c r="D99" s="1046">
        <f>C99-B99</f>
        <v>0</v>
      </c>
      <c r="F99" s="553"/>
    </row>
    <row r="100" spans="1:6" ht="30" x14ac:dyDescent="0.25">
      <c r="A100" s="1040" t="s">
        <v>989</v>
      </c>
      <c r="B100" s="1164"/>
      <c r="C100" s="1044">
        <v>2044484</v>
      </c>
      <c r="D100" s="1046">
        <f>C100-B100</f>
        <v>2044484</v>
      </c>
      <c r="F100" s="553"/>
    </row>
    <row r="101" spans="1:6" ht="43.5" customHeight="1" x14ac:dyDescent="0.25">
      <c r="A101" s="1040" t="s">
        <v>990</v>
      </c>
      <c r="B101" s="1164">
        <v>0</v>
      </c>
      <c r="C101" s="1044">
        <v>1000000</v>
      </c>
      <c r="D101" s="1046">
        <f>C101-B101</f>
        <v>1000000</v>
      </c>
      <c r="F101" s="553"/>
    </row>
    <row r="102" spans="1:6" s="259" customFormat="1" ht="15.6" x14ac:dyDescent="0.3">
      <c r="A102" s="1047" t="s">
        <v>561</v>
      </c>
      <c r="B102" s="1165">
        <f>SUM(B98:B101)</f>
        <v>2539619</v>
      </c>
      <c r="C102" s="1048">
        <f t="shared" ref="C102:D102" si="7">SUM(C98:C101)</f>
        <v>5584103</v>
      </c>
      <c r="D102" s="1251">
        <f t="shared" si="7"/>
        <v>3044484</v>
      </c>
      <c r="F102" s="556"/>
    </row>
    <row r="103" spans="1:6" ht="15.6" x14ac:dyDescent="0.3">
      <c r="A103" s="1047"/>
      <c r="B103" s="1164"/>
      <c r="C103" s="1048"/>
      <c r="D103" s="1045"/>
      <c r="F103" s="553"/>
    </row>
    <row r="104" spans="1:6" ht="15.6" x14ac:dyDescent="0.3">
      <c r="A104" s="1040" t="s">
        <v>253</v>
      </c>
      <c r="B104" s="1164"/>
      <c r="C104" s="1048"/>
      <c r="D104" s="1045"/>
      <c r="F104" s="553"/>
    </row>
    <row r="105" spans="1:6" ht="45" x14ac:dyDescent="0.25">
      <c r="A105" s="1040" t="s">
        <v>249</v>
      </c>
      <c r="B105" s="1164">
        <v>910400</v>
      </c>
      <c r="C105" s="1044">
        <v>910400</v>
      </c>
      <c r="D105" s="1046">
        <f>C105-B105</f>
        <v>0</v>
      </c>
      <c r="F105" s="553"/>
    </row>
    <row r="106" spans="1:6" s="259" customFormat="1" ht="45" x14ac:dyDescent="0.25">
      <c r="A106" s="1040" t="s">
        <v>254</v>
      </c>
      <c r="B106" s="1164">
        <v>73355</v>
      </c>
      <c r="C106" s="1044">
        <v>73355</v>
      </c>
      <c r="D106" s="1046">
        <f>C106-B106</f>
        <v>0</v>
      </c>
      <c r="F106" s="556"/>
    </row>
    <row r="107" spans="1:6" s="259" customFormat="1" ht="15.6" x14ac:dyDescent="0.3">
      <c r="A107" s="1047" t="s">
        <v>561</v>
      </c>
      <c r="B107" s="1165">
        <f>SUM(B105:B106)</f>
        <v>983755</v>
      </c>
      <c r="C107" s="1048">
        <f t="shared" ref="C107:D107" si="8">SUM(C105:C106)</f>
        <v>983755</v>
      </c>
      <c r="D107" s="1251">
        <f t="shared" si="8"/>
        <v>0</v>
      </c>
      <c r="F107" s="556"/>
    </row>
    <row r="108" spans="1:6" ht="15.6" x14ac:dyDescent="0.3">
      <c r="A108" s="1047"/>
      <c r="B108" s="1164"/>
      <c r="C108" s="1048"/>
      <c r="D108" s="1045"/>
      <c r="F108" s="553"/>
    </row>
    <row r="109" spans="1:6" s="259" customFormat="1" ht="15.6" x14ac:dyDescent="0.3">
      <c r="A109" s="1040" t="s">
        <v>255</v>
      </c>
      <c r="B109" s="1164"/>
      <c r="C109" s="1048"/>
      <c r="D109" s="1057"/>
      <c r="F109" s="556"/>
    </row>
    <row r="110" spans="1:6" s="259" customFormat="1" ht="15.6" x14ac:dyDescent="0.3">
      <c r="A110" s="1047" t="s">
        <v>561</v>
      </c>
      <c r="B110" s="1165"/>
      <c r="C110" s="1044"/>
      <c r="D110" s="1057"/>
      <c r="F110" s="556"/>
    </row>
    <row r="111" spans="1:6" ht="15.6" x14ac:dyDescent="0.3">
      <c r="A111" s="1047"/>
      <c r="B111" s="1164"/>
      <c r="C111" s="1048"/>
      <c r="D111" s="1045"/>
      <c r="F111" s="553"/>
    </row>
    <row r="112" spans="1:6" ht="15" x14ac:dyDescent="0.25">
      <c r="A112" s="1040" t="s">
        <v>256</v>
      </c>
      <c r="B112" s="1164">
        <f>31750000-F118</f>
        <v>3850000</v>
      </c>
      <c r="C112" s="1044">
        <v>5516</v>
      </c>
      <c r="D112" s="1046">
        <f>C112-B112</f>
        <v>-3844484</v>
      </c>
    </row>
    <row r="113" spans="1:8" ht="15" x14ac:dyDescent="0.25">
      <c r="A113" s="1040" t="s">
        <v>257</v>
      </c>
      <c r="B113" s="1164">
        <v>9000000</v>
      </c>
      <c r="C113" s="1044">
        <v>9000000</v>
      </c>
      <c r="D113" s="1046">
        <f>C113-B113</f>
        <v>0</v>
      </c>
    </row>
    <row r="114" spans="1:8" s="259" customFormat="1" ht="45" x14ac:dyDescent="0.25">
      <c r="A114" s="1040" t="s">
        <v>258</v>
      </c>
      <c r="B114" s="1164">
        <v>5359527</v>
      </c>
      <c r="C114" s="1044">
        <v>5359527</v>
      </c>
      <c r="D114" s="1046">
        <f>C114-B114</f>
        <v>0</v>
      </c>
      <c r="F114" s="559">
        <f>B114+B113+B112+B110+B107+B102+B94+B91+B82+B78+B73+B69+B64+B61+B58+B54+B48+B41+B35+B20+B14+B9+B86</f>
        <v>73149430</v>
      </c>
    </row>
    <row r="115" spans="1:8" s="259" customFormat="1" ht="30" x14ac:dyDescent="0.25">
      <c r="A115" s="1056" t="s">
        <v>259</v>
      </c>
      <c r="B115" s="1164">
        <v>0</v>
      </c>
      <c r="C115" s="1044"/>
      <c r="D115" s="1046">
        <f>C115-B115</f>
        <v>0</v>
      </c>
      <c r="E115" s="555"/>
      <c r="F115" s="559"/>
    </row>
    <row r="116" spans="1:8" s="560" customFormat="1" ht="16.2" thickBot="1" x14ac:dyDescent="0.35">
      <c r="A116" s="1064" t="s">
        <v>550</v>
      </c>
      <c r="B116" s="1169">
        <f>B113+B102+B94+B91+B86+B82+B78+B64+B61+B58+B54+B48+B41+B35+B20+B14+B9+B69+B112+B110+B107+B67+B114+B73+B115</f>
        <v>73149430</v>
      </c>
      <c r="C116" s="1065">
        <f>C113+C102+C94+C91+C86+C82+C78+C64+C61+C58+C54+C48+C41+C35+C20+C14+C9+C69+C112+C110+C107+C67+C114+C73</f>
        <v>73149430</v>
      </c>
      <c r="D116" s="1066">
        <f>C116-B116</f>
        <v>0</v>
      </c>
    </row>
    <row r="117" spans="1:8" s="561" customFormat="1" ht="15" x14ac:dyDescent="0.25">
      <c r="A117" s="561" t="s">
        <v>260</v>
      </c>
      <c r="B117" s="562">
        <f>B114+B106+B105+B99+B98+B90+B89+B81+B77+B72+B57+B53+B52+B51+B44+B39+B26+B25+B24+B23+B17+B6+B27</f>
        <v>32399430</v>
      </c>
      <c r="C117" s="562">
        <f>C114+C106+C105+C99+C98+C90+C89+C81+C77+C72+C57+C53+C52+C51+C44+C39+C26+C25+C24+C23+C17+C6+C27</f>
        <v>32399430</v>
      </c>
      <c r="D117" s="562">
        <f>D114+D106+D105+D99+D98+D90+D89+D81+D77+D72+D57+D53+D52+D51+D44+D39+D26+D25+D24+D23+D17+D6+D27</f>
        <v>0</v>
      </c>
      <c r="E117" s="563"/>
      <c r="F117" s="563"/>
      <c r="G117" s="563"/>
    </row>
    <row r="118" spans="1:8" s="561" customFormat="1" ht="15" x14ac:dyDescent="0.25">
      <c r="A118" s="561" t="s">
        <v>261</v>
      </c>
      <c r="B118" s="564">
        <f>B112+B85+B47+B46+B45+B40+B34+B33+B32+B31+B30+B29+B28+B19+B18+B8+B7</f>
        <v>31750000</v>
      </c>
      <c r="C118" s="564">
        <f>C112+C85+C47+C46+C45+C40+C34+C33+C32+C31+C30+C29+C28+C19+C18+C8+C7+C101+C100</f>
        <v>31750000</v>
      </c>
      <c r="D118" s="564">
        <f>D112+D85+D47+D46+D45+D40+D34+D33+D32+D31+D30+D29+D28+D19+D18+D8+D7+D101+D100</f>
        <v>0</v>
      </c>
      <c r="F118" s="562">
        <f>B85+B47+B46+B45+B40+B34+B33+B32+B31+B30+B29+B28+B19+B18+B8+B7</f>
        <v>27900000</v>
      </c>
    </row>
    <row r="119" spans="1:8" s="561" customFormat="1" ht="15" x14ac:dyDescent="0.25">
      <c r="A119" s="561" t="s">
        <v>262</v>
      </c>
      <c r="B119" s="562">
        <v>9000000</v>
      </c>
      <c r="C119" s="562">
        <v>9000000</v>
      </c>
      <c r="D119" s="562">
        <f>C119-B119</f>
        <v>0</v>
      </c>
    </row>
    <row r="120" spans="1:8" s="561" customFormat="1" ht="15" x14ac:dyDescent="0.25">
      <c r="A120" s="561" t="s">
        <v>263</v>
      </c>
      <c r="B120" s="565">
        <f>SUM(B117:B119)</f>
        <v>73149430</v>
      </c>
      <c r="C120" s="565">
        <f>SUM(C117:C119)</f>
        <v>73149430</v>
      </c>
      <c r="D120" s="565">
        <f>SUM(D117:D119)</f>
        <v>0</v>
      </c>
      <c r="E120" s="562"/>
      <c r="F120" s="562"/>
      <c r="G120" s="562"/>
      <c r="H120" s="562"/>
    </row>
    <row r="121" spans="1:8" ht="15" x14ac:dyDescent="0.25">
      <c r="A121" s="561"/>
      <c r="B121" s="561"/>
      <c r="C121" s="565"/>
    </row>
    <row r="122" spans="1:8" ht="15" x14ac:dyDescent="0.25">
      <c r="C122" s="561"/>
    </row>
  </sheetData>
  <sheetProtection selectLockedCells="1" selectUnlockedCells="1"/>
  <mergeCells count="1">
    <mergeCell ref="A2:D2"/>
  </mergeCells>
  <phoneticPr fontId="27" type="noConversion"/>
  <pageMargins left="0.74791666666666667" right="0.74791666666666667" top="0.98402777777777772" bottom="0.98402777777777772" header="0.5" footer="0.51180555555555551"/>
  <pageSetup paperSize="9" scale="70" firstPageNumber="0" orientation="portrait" r:id="rId1"/>
  <headerFooter alignWithMargins="0">
    <oddHeader xml:space="preserve">&amp;C
6. melléklet 
az önkormányzat 2018. évi költségvetéséről szóló 11/2018. (III.01.) önkormányzati rendelethez&amp;R&amp;P. oldal
</oddHeader>
  </headerFooter>
  <rowBreaks count="2" manualBreakCount="2">
    <brk id="36" max="3" man="1"/>
    <brk id="73" max="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5"/>
  </sheetPr>
  <dimension ref="A1:I192"/>
  <sheetViews>
    <sheetView view="pageLayout" topLeftCell="A181" zoomScaleNormal="80" zoomScaleSheetLayoutView="80" workbookViewId="0">
      <selection activeCell="C194" sqref="C194"/>
    </sheetView>
  </sheetViews>
  <sheetFormatPr defaultColWidth="9.109375" defaultRowHeight="18" customHeight="1" x14ac:dyDescent="0.25"/>
  <cols>
    <col min="1" max="1" width="75.109375" style="79" customWidth="1"/>
    <col min="2" max="4" width="18" style="254" customWidth="1"/>
    <col min="5" max="5" width="17.44140625" style="65" customWidth="1"/>
    <col min="6" max="6" width="16.109375" style="65" customWidth="1"/>
    <col min="7" max="7" width="16.88671875" style="65" customWidth="1"/>
    <col min="8" max="8" width="16.44140625" style="66" customWidth="1"/>
    <col min="9" max="9" width="23.88671875" style="67" customWidth="1"/>
    <col min="10" max="16384" width="9.109375" style="67"/>
  </cols>
  <sheetData>
    <row r="1" spans="1:8" ht="18" customHeight="1" x14ac:dyDescent="0.3">
      <c r="A1" s="1737" t="s">
        <v>79</v>
      </c>
      <c r="B1" s="1737"/>
      <c r="C1" s="1737"/>
      <c r="D1" s="1737"/>
    </row>
    <row r="2" spans="1:8" ht="18" customHeight="1" thickBot="1" x14ac:dyDescent="0.35">
      <c r="A2" s="808"/>
      <c r="B2" s="808"/>
      <c r="C2" s="808"/>
      <c r="D2" s="941"/>
    </row>
    <row r="3" spans="1:8" ht="48.75" customHeight="1" thickBot="1" x14ac:dyDescent="0.3">
      <c r="A3" s="514" t="s">
        <v>514</v>
      </c>
      <c r="B3" s="886" t="s">
        <v>191</v>
      </c>
      <c r="C3" s="887" t="s">
        <v>357</v>
      </c>
      <c r="D3" s="932" t="s">
        <v>358</v>
      </c>
      <c r="E3" s="64"/>
    </row>
    <row r="4" spans="1:8" ht="18" customHeight="1" x14ac:dyDescent="0.3">
      <c r="A4" s="385" t="s">
        <v>677</v>
      </c>
      <c r="B4" s="934"/>
      <c r="C4" s="935"/>
      <c r="D4" s="936"/>
      <c r="E4" s="68"/>
    </row>
    <row r="5" spans="1:8" s="72" customFormat="1" ht="33" customHeight="1" x14ac:dyDescent="0.25">
      <c r="A5" s="316" t="s">
        <v>678</v>
      </c>
      <c r="B5" s="1184">
        <v>635000</v>
      </c>
      <c r="C5" s="252">
        <v>635000</v>
      </c>
      <c r="D5" s="937">
        <f>C5-B5</f>
        <v>0</v>
      </c>
      <c r="E5" s="73"/>
      <c r="F5" s="70"/>
      <c r="G5" s="70"/>
      <c r="H5" s="71"/>
    </row>
    <row r="6" spans="1:8" s="72" customFormat="1" ht="30.75" customHeight="1" x14ac:dyDescent="0.25">
      <c r="A6" s="318" t="s">
        <v>682</v>
      </c>
      <c r="B6" s="1184">
        <v>2921000</v>
      </c>
      <c r="C6" s="252">
        <v>2921000</v>
      </c>
      <c r="D6" s="937">
        <f t="shared" ref="D6:D43" si="0">C6-B6</f>
        <v>0</v>
      </c>
      <c r="E6" s="73"/>
      <c r="F6" s="70"/>
      <c r="G6" s="70"/>
      <c r="H6" s="71"/>
    </row>
    <row r="7" spans="1:8" s="77" customFormat="1" ht="18" customHeight="1" x14ac:dyDescent="0.25">
      <c r="A7" s="317" t="s">
        <v>870</v>
      </c>
      <c r="B7" s="1184">
        <v>27392622</v>
      </c>
      <c r="C7" s="252">
        <v>27392622</v>
      </c>
      <c r="D7" s="937">
        <f t="shared" si="0"/>
        <v>0</v>
      </c>
      <c r="E7" s="74"/>
      <c r="F7" s="75"/>
      <c r="G7" s="75"/>
      <c r="H7" s="76"/>
    </row>
    <row r="8" spans="1:8" s="77" customFormat="1" ht="21.75" customHeight="1" x14ac:dyDescent="0.25">
      <c r="A8" s="318" t="s">
        <v>344</v>
      </c>
      <c r="B8" s="1184">
        <v>7020182</v>
      </c>
      <c r="C8" s="252">
        <v>7020182</v>
      </c>
      <c r="D8" s="937">
        <f t="shared" si="0"/>
        <v>0</v>
      </c>
      <c r="E8" s="74"/>
      <c r="F8" s="75"/>
      <c r="G8" s="75"/>
      <c r="H8" s="76"/>
    </row>
    <row r="9" spans="1:8" s="77" customFormat="1" ht="21.75" customHeight="1" x14ac:dyDescent="0.25">
      <c r="A9" s="317" t="s">
        <v>872</v>
      </c>
      <c r="B9" s="1184">
        <v>3193289</v>
      </c>
      <c r="C9" s="252">
        <v>3193289</v>
      </c>
      <c r="D9" s="937">
        <f t="shared" si="0"/>
        <v>0</v>
      </c>
      <c r="E9" s="74"/>
      <c r="F9" s="75"/>
      <c r="G9" s="75"/>
      <c r="H9" s="76"/>
    </row>
    <row r="10" spans="1:8" s="77" customFormat="1" ht="18" customHeight="1" x14ac:dyDescent="0.25">
      <c r="A10" s="317" t="s">
        <v>345</v>
      </c>
      <c r="B10" s="1184">
        <v>45111110</v>
      </c>
      <c r="C10" s="252">
        <v>45111110</v>
      </c>
      <c r="D10" s="937">
        <f t="shared" si="0"/>
        <v>0</v>
      </c>
      <c r="E10" s="74"/>
      <c r="F10" s="75"/>
      <c r="G10" s="75"/>
      <c r="H10" s="76"/>
    </row>
    <row r="11" spans="1:8" s="77" customFormat="1" ht="18" customHeight="1" x14ac:dyDescent="0.25">
      <c r="A11" s="317" t="s">
        <v>828</v>
      </c>
      <c r="B11" s="1184">
        <v>349250</v>
      </c>
      <c r="C11" s="252">
        <v>349250</v>
      </c>
      <c r="D11" s="937">
        <f t="shared" si="0"/>
        <v>0</v>
      </c>
      <c r="E11" s="74"/>
      <c r="F11" s="75"/>
      <c r="G11" s="75"/>
      <c r="H11" s="76"/>
    </row>
    <row r="12" spans="1:8" s="77" customFormat="1" ht="19.5" customHeight="1" x14ac:dyDescent="0.25">
      <c r="A12" s="318" t="s">
        <v>856</v>
      </c>
      <c r="B12" s="1184">
        <v>4465584</v>
      </c>
      <c r="C12" s="252">
        <v>4465584</v>
      </c>
      <c r="D12" s="937">
        <f t="shared" si="0"/>
        <v>0</v>
      </c>
      <c r="E12" s="74"/>
      <c r="F12" s="75"/>
      <c r="G12" s="75"/>
      <c r="H12" s="76"/>
    </row>
    <row r="13" spans="1:8" s="77" customFormat="1" ht="23.25" customHeight="1" x14ac:dyDescent="0.25">
      <c r="A13" s="320" t="s">
        <v>857</v>
      </c>
      <c r="B13" s="1184">
        <v>49000000</v>
      </c>
      <c r="C13" s="252">
        <v>49000000</v>
      </c>
      <c r="D13" s="937">
        <f t="shared" si="0"/>
        <v>0</v>
      </c>
      <c r="E13" s="74"/>
      <c r="F13" s="75"/>
      <c r="G13" s="75"/>
      <c r="H13" s="76"/>
    </row>
    <row r="14" spans="1:8" s="77" customFormat="1" ht="24.75" customHeight="1" x14ac:dyDescent="0.25">
      <c r="A14" s="318" t="s">
        <v>964</v>
      </c>
      <c r="B14" s="1184">
        <v>1492248</v>
      </c>
      <c r="C14" s="252">
        <v>1492248</v>
      </c>
      <c r="D14" s="937">
        <f t="shared" si="0"/>
        <v>0</v>
      </c>
      <c r="E14" s="74"/>
      <c r="F14" s="75"/>
      <c r="G14" s="75"/>
      <c r="H14" s="76"/>
    </row>
    <row r="15" spans="1:8" s="77" customFormat="1" ht="24.75" customHeight="1" x14ac:dyDescent="0.25">
      <c r="A15" s="479" t="s">
        <v>84</v>
      </c>
      <c r="B15" s="1184">
        <v>2160000</v>
      </c>
      <c r="C15" s="252">
        <v>2160000</v>
      </c>
      <c r="D15" s="937">
        <f t="shared" si="0"/>
        <v>0</v>
      </c>
      <c r="E15" s="74"/>
      <c r="F15" s="75"/>
      <c r="G15" s="75"/>
      <c r="H15" s="76"/>
    </row>
    <row r="16" spans="1:8" s="77" customFormat="1" ht="24.75" customHeight="1" x14ac:dyDescent="0.25">
      <c r="A16" s="479" t="s">
        <v>85</v>
      </c>
      <c r="B16" s="1184">
        <v>203384150</v>
      </c>
      <c r="C16" s="252">
        <v>203384150</v>
      </c>
      <c r="D16" s="937">
        <f t="shared" si="0"/>
        <v>0</v>
      </c>
      <c r="E16" s="74"/>
      <c r="F16" s="75"/>
      <c r="G16" s="75"/>
      <c r="H16" s="76"/>
    </row>
    <row r="17" spans="1:8" s="77" customFormat="1" ht="27.75" customHeight="1" x14ac:dyDescent="0.25">
      <c r="A17" s="479" t="s">
        <v>86</v>
      </c>
      <c r="B17" s="1184">
        <v>651080000</v>
      </c>
      <c r="C17" s="252">
        <v>651080000</v>
      </c>
      <c r="D17" s="937">
        <f t="shared" si="0"/>
        <v>0</v>
      </c>
      <c r="E17" s="74"/>
      <c r="F17" s="75"/>
      <c r="G17" s="75"/>
      <c r="H17" s="76"/>
    </row>
    <row r="18" spans="1:8" s="77" customFormat="1" ht="24.75" customHeight="1" x14ac:dyDescent="0.25">
      <c r="A18" s="479" t="s">
        <v>87</v>
      </c>
      <c r="B18" s="384">
        <v>56510000</v>
      </c>
      <c r="C18" s="252">
        <v>59027000</v>
      </c>
      <c r="D18" s="937">
        <f t="shared" si="0"/>
        <v>2517000</v>
      </c>
      <c r="E18" s="74"/>
      <c r="F18" s="75"/>
      <c r="G18" s="75"/>
      <c r="H18" s="76"/>
    </row>
    <row r="19" spans="1:8" s="77" customFormat="1" ht="30" customHeight="1" x14ac:dyDescent="0.25">
      <c r="A19" s="318" t="s">
        <v>88</v>
      </c>
      <c r="B19" s="1184">
        <v>42000000</v>
      </c>
      <c r="C19" s="252">
        <v>42000000</v>
      </c>
      <c r="D19" s="937">
        <f t="shared" si="0"/>
        <v>0</v>
      </c>
      <c r="E19" s="74"/>
      <c r="F19" s="75"/>
      <c r="G19" s="75"/>
      <c r="H19" s="76"/>
    </row>
    <row r="20" spans="1:8" s="77" customFormat="1" ht="45" customHeight="1" x14ac:dyDescent="0.25">
      <c r="A20" s="323" t="s">
        <v>59</v>
      </c>
      <c r="B20" s="1184">
        <v>22361121</v>
      </c>
      <c r="C20" s="252">
        <v>22361121</v>
      </c>
      <c r="D20" s="937">
        <f t="shared" si="0"/>
        <v>0</v>
      </c>
      <c r="E20" s="74"/>
      <c r="F20" s="75"/>
      <c r="G20" s="75"/>
      <c r="H20" s="76"/>
    </row>
    <row r="21" spans="1:8" s="77" customFormat="1" ht="20.25" customHeight="1" x14ac:dyDescent="0.25">
      <c r="A21" s="319" t="s">
        <v>663</v>
      </c>
      <c r="B21" s="1184">
        <v>29994549</v>
      </c>
      <c r="C21" s="252">
        <v>29994549</v>
      </c>
      <c r="D21" s="937">
        <f t="shared" si="0"/>
        <v>0</v>
      </c>
      <c r="E21" s="74"/>
      <c r="F21" s="75"/>
      <c r="G21" s="75"/>
      <c r="H21" s="76"/>
    </row>
    <row r="22" spans="1:8" s="77" customFormat="1" ht="23.25" customHeight="1" x14ac:dyDescent="0.25">
      <c r="A22" s="425" t="s">
        <v>962</v>
      </c>
      <c r="B22" s="384">
        <v>9608000</v>
      </c>
      <c r="C22" s="252">
        <v>12446450</v>
      </c>
      <c r="D22" s="937">
        <f t="shared" si="0"/>
        <v>2838450</v>
      </c>
      <c r="E22" s="74"/>
      <c r="F22" s="75"/>
      <c r="G22" s="75"/>
      <c r="H22" s="76"/>
    </row>
    <row r="23" spans="1:8" s="77" customFormat="1" ht="20.25" customHeight="1" x14ac:dyDescent="0.25">
      <c r="A23" s="425" t="s">
        <v>963</v>
      </c>
      <c r="B23" s="1184">
        <v>1290320</v>
      </c>
      <c r="C23" s="252">
        <v>1290320</v>
      </c>
      <c r="D23" s="937">
        <f t="shared" si="0"/>
        <v>0</v>
      </c>
      <c r="E23" s="74"/>
      <c r="F23" s="75"/>
      <c r="G23" s="75"/>
      <c r="H23" s="76"/>
    </row>
    <row r="24" spans="1:8" s="77" customFormat="1" ht="20.25" customHeight="1" x14ac:dyDescent="0.25">
      <c r="A24" s="425" t="s">
        <v>89</v>
      </c>
      <c r="B24" s="1184">
        <v>3111500</v>
      </c>
      <c r="C24" s="252">
        <v>3111500</v>
      </c>
      <c r="D24" s="937">
        <f t="shared" si="0"/>
        <v>0</v>
      </c>
      <c r="E24" s="74"/>
      <c r="F24" s="75"/>
      <c r="G24" s="75"/>
      <c r="H24" s="76"/>
    </row>
    <row r="25" spans="1:8" s="77" customFormat="1" ht="30.75" customHeight="1" x14ac:dyDescent="0.25">
      <c r="A25" s="425" t="s">
        <v>430</v>
      </c>
      <c r="B25" s="1184">
        <v>4152900</v>
      </c>
      <c r="C25" s="252">
        <v>4152900</v>
      </c>
      <c r="D25" s="937">
        <f t="shared" si="0"/>
        <v>0</v>
      </c>
      <c r="E25" s="74"/>
      <c r="F25" s="75"/>
      <c r="G25" s="75"/>
      <c r="H25" s="76"/>
    </row>
    <row r="26" spans="1:8" s="77" customFormat="1" ht="30" x14ac:dyDescent="0.25">
      <c r="A26" s="425" t="s">
        <v>431</v>
      </c>
      <c r="B26" s="1184">
        <v>91849884</v>
      </c>
      <c r="C26" s="252">
        <v>97463699</v>
      </c>
      <c r="D26" s="937">
        <f t="shared" si="0"/>
        <v>5613815</v>
      </c>
      <c r="E26" s="74"/>
      <c r="F26" s="75"/>
      <c r="G26" s="75"/>
      <c r="H26" s="76"/>
    </row>
    <row r="27" spans="1:8" s="77" customFormat="1" ht="15" x14ac:dyDescent="0.25">
      <c r="A27" s="426" t="s">
        <v>432</v>
      </c>
      <c r="B27" s="1184">
        <v>3810000</v>
      </c>
      <c r="C27" s="252">
        <v>3810000</v>
      </c>
      <c r="D27" s="937">
        <f>C27-B27</f>
        <v>0</v>
      </c>
      <c r="E27" s="74"/>
      <c r="F27" s="75"/>
      <c r="G27" s="75"/>
      <c r="H27" s="76"/>
    </row>
    <row r="28" spans="1:8" s="77" customFormat="1" ht="15" x14ac:dyDescent="0.25">
      <c r="A28" s="426" t="s">
        <v>433</v>
      </c>
      <c r="B28" s="1184">
        <v>7626350</v>
      </c>
      <c r="C28" s="252">
        <v>7626350</v>
      </c>
      <c r="D28" s="937">
        <f>C28-B28</f>
        <v>0</v>
      </c>
      <c r="E28" s="74"/>
      <c r="F28" s="75"/>
      <c r="G28" s="75"/>
      <c r="H28" s="76"/>
    </row>
    <row r="29" spans="1:8" s="77" customFormat="1" ht="15" x14ac:dyDescent="0.25">
      <c r="A29" s="426" t="s">
        <v>434</v>
      </c>
      <c r="B29" s="1184">
        <v>1599146</v>
      </c>
      <c r="C29" s="252">
        <v>1599146</v>
      </c>
      <c r="D29" s="937">
        <f>C29-B29</f>
        <v>0</v>
      </c>
      <c r="E29" s="74"/>
      <c r="F29" s="75"/>
      <c r="G29" s="75"/>
      <c r="H29" s="76"/>
    </row>
    <row r="30" spans="1:8" s="77" customFormat="1" ht="15" x14ac:dyDescent="0.25">
      <c r="A30" s="426" t="s">
        <v>435</v>
      </c>
      <c r="B30" s="1184">
        <v>1134732</v>
      </c>
      <c r="C30" s="252">
        <v>1134732</v>
      </c>
      <c r="D30" s="937">
        <f>C30-B30</f>
        <v>0</v>
      </c>
      <c r="E30" s="74"/>
      <c r="F30" s="75"/>
      <c r="G30" s="75"/>
      <c r="H30" s="76"/>
    </row>
    <row r="31" spans="1:8" s="77" customFormat="1" ht="15" x14ac:dyDescent="0.25">
      <c r="A31" s="426" t="s">
        <v>437</v>
      </c>
      <c r="B31" s="384">
        <v>3816350</v>
      </c>
      <c r="C31" s="252">
        <v>7587488</v>
      </c>
      <c r="D31" s="937">
        <f t="shared" si="0"/>
        <v>3771138</v>
      </c>
      <c r="E31" s="74"/>
      <c r="F31" s="75"/>
      <c r="G31" s="75"/>
      <c r="H31" s="76"/>
    </row>
    <row r="32" spans="1:8" s="77" customFormat="1" ht="15" x14ac:dyDescent="0.25">
      <c r="A32" s="426" t="s">
        <v>438</v>
      </c>
      <c r="B32" s="1184">
        <v>2133600</v>
      </c>
      <c r="C32" s="252">
        <v>2133600</v>
      </c>
      <c r="D32" s="937">
        <f t="shared" si="0"/>
        <v>0</v>
      </c>
      <c r="E32" s="74"/>
      <c r="F32" s="75"/>
      <c r="G32" s="75"/>
      <c r="H32" s="76"/>
    </row>
    <row r="33" spans="1:8" s="77" customFormat="1" ht="15" x14ac:dyDescent="0.25">
      <c r="A33" s="426" t="s">
        <v>439</v>
      </c>
      <c r="B33" s="1184">
        <v>9763601</v>
      </c>
      <c r="C33" s="252">
        <v>9763601</v>
      </c>
      <c r="D33" s="937">
        <f t="shared" si="0"/>
        <v>0</v>
      </c>
      <c r="E33" s="74"/>
      <c r="F33" s="75"/>
      <c r="G33" s="75"/>
      <c r="H33" s="76"/>
    </row>
    <row r="34" spans="1:8" s="77" customFormat="1" ht="15" x14ac:dyDescent="0.25">
      <c r="A34" s="426" t="s">
        <v>440</v>
      </c>
      <c r="B34" s="1184">
        <v>3900576</v>
      </c>
      <c r="C34" s="252">
        <v>3900576</v>
      </c>
      <c r="D34" s="937">
        <f t="shared" si="0"/>
        <v>0</v>
      </c>
      <c r="E34" s="74"/>
      <c r="F34" s="75"/>
      <c r="G34" s="75"/>
      <c r="H34" s="76"/>
    </row>
    <row r="35" spans="1:8" s="77" customFormat="1" ht="15" x14ac:dyDescent="0.25">
      <c r="A35" s="426" t="s">
        <v>5</v>
      </c>
      <c r="B35" s="1184">
        <v>599999</v>
      </c>
      <c r="C35" s="252">
        <v>599999</v>
      </c>
      <c r="D35" s="937">
        <f t="shared" si="0"/>
        <v>0</v>
      </c>
      <c r="E35" s="74"/>
      <c r="F35" s="75"/>
      <c r="G35" s="75"/>
      <c r="H35" s="76"/>
    </row>
    <row r="36" spans="1:8" s="77" customFormat="1" ht="15" x14ac:dyDescent="0.25">
      <c r="A36" s="426" t="s">
        <v>3</v>
      </c>
      <c r="B36" s="1184">
        <v>3810000</v>
      </c>
      <c r="C36" s="252">
        <v>3810000</v>
      </c>
      <c r="D36" s="937">
        <f t="shared" si="0"/>
        <v>0</v>
      </c>
      <c r="E36" s="74"/>
      <c r="F36" s="75"/>
      <c r="G36" s="75"/>
      <c r="H36" s="76"/>
    </row>
    <row r="37" spans="1:8" s="77" customFormat="1" ht="15" x14ac:dyDescent="0.25">
      <c r="A37" s="426" t="s">
        <v>662</v>
      </c>
      <c r="B37" s="1184">
        <v>17674209</v>
      </c>
      <c r="C37" s="252">
        <v>19579209</v>
      </c>
      <c r="D37" s="937">
        <f t="shared" si="0"/>
        <v>1905000</v>
      </c>
      <c r="E37" s="74"/>
      <c r="F37" s="75"/>
      <c r="G37" s="75"/>
      <c r="H37" s="76"/>
    </row>
    <row r="38" spans="1:8" s="77" customFormat="1" ht="15" x14ac:dyDescent="0.25">
      <c r="A38" s="933" t="s">
        <v>11</v>
      </c>
      <c r="B38" s="1184">
        <v>2331720</v>
      </c>
      <c r="C38" s="252">
        <v>2331720</v>
      </c>
      <c r="D38" s="937">
        <f t="shared" si="0"/>
        <v>0</v>
      </c>
      <c r="E38" s="74"/>
      <c r="F38" s="75"/>
      <c r="G38" s="75"/>
      <c r="H38" s="76"/>
    </row>
    <row r="39" spans="1:8" s="77" customFormat="1" ht="15" x14ac:dyDescent="0.25">
      <c r="A39" s="426" t="s">
        <v>4</v>
      </c>
      <c r="B39" s="1184">
        <v>164100</v>
      </c>
      <c r="C39" s="252">
        <v>164100</v>
      </c>
      <c r="D39" s="937">
        <f t="shared" si="0"/>
        <v>0</v>
      </c>
      <c r="E39" s="74"/>
      <c r="F39" s="75"/>
      <c r="G39" s="75"/>
      <c r="H39" s="76"/>
    </row>
    <row r="40" spans="1:8" s="77" customFormat="1" ht="15" x14ac:dyDescent="0.25">
      <c r="A40" s="480" t="s">
        <v>90</v>
      </c>
      <c r="B40" s="1184">
        <v>12140000</v>
      </c>
      <c r="C40" s="252">
        <v>12140000</v>
      </c>
      <c r="D40" s="937">
        <f t="shared" si="0"/>
        <v>0</v>
      </c>
      <c r="E40" s="74"/>
      <c r="F40" s="75"/>
      <c r="G40" s="75"/>
      <c r="H40" s="76"/>
    </row>
    <row r="41" spans="1:8" s="77" customFormat="1" ht="15" x14ac:dyDescent="0.25">
      <c r="A41" s="480" t="s">
        <v>91</v>
      </c>
      <c r="B41" s="1184">
        <v>3318860</v>
      </c>
      <c r="C41" s="252">
        <v>3318860</v>
      </c>
      <c r="D41" s="937">
        <f t="shared" si="0"/>
        <v>0</v>
      </c>
      <c r="E41" s="74"/>
      <c r="F41" s="75"/>
      <c r="G41" s="75"/>
      <c r="H41" s="76"/>
    </row>
    <row r="42" spans="1:8" s="77" customFormat="1" ht="15" x14ac:dyDescent="0.25">
      <c r="A42" s="426" t="s">
        <v>436</v>
      </c>
      <c r="B42" s="1184">
        <v>764300</v>
      </c>
      <c r="C42" s="252">
        <v>764300</v>
      </c>
      <c r="D42" s="937">
        <f t="shared" si="0"/>
        <v>0</v>
      </c>
      <c r="E42" s="74"/>
      <c r="F42" s="75"/>
      <c r="G42" s="75"/>
      <c r="H42" s="76"/>
    </row>
    <row r="43" spans="1:8" s="77" customFormat="1" ht="24" customHeight="1" thickBot="1" x14ac:dyDescent="0.35">
      <c r="A43" s="321" t="s">
        <v>683</v>
      </c>
      <c r="B43" s="939">
        <f>SUM(B5:B42)</f>
        <v>1333670252</v>
      </c>
      <c r="C43" s="253">
        <f>SUM(C5:C42)</f>
        <v>1350315655</v>
      </c>
      <c r="D43" s="940">
        <f t="shared" si="0"/>
        <v>16645403</v>
      </c>
      <c r="E43" s="68"/>
      <c r="F43" s="75"/>
      <c r="G43" s="75"/>
      <c r="H43" s="76"/>
    </row>
    <row r="44" spans="1:8" s="77" customFormat="1" ht="42" customHeight="1" thickBot="1" x14ac:dyDescent="0.3">
      <c r="A44" s="513" t="s">
        <v>514</v>
      </c>
      <c r="B44" s="886" t="s">
        <v>191</v>
      </c>
      <c r="C44" s="887" t="s">
        <v>357</v>
      </c>
      <c r="D44" s="932" t="s">
        <v>358</v>
      </c>
      <c r="E44" s="68"/>
      <c r="F44" s="75"/>
      <c r="G44" s="75"/>
      <c r="H44" s="76"/>
    </row>
    <row r="45" spans="1:8" s="77" customFormat="1" ht="24" customHeight="1" x14ac:dyDescent="0.3">
      <c r="A45" s="107" t="s">
        <v>873</v>
      </c>
      <c r="B45" s="943"/>
      <c r="C45" s="944"/>
      <c r="D45" s="945"/>
      <c r="E45" s="68"/>
      <c r="F45" s="75"/>
      <c r="G45" s="75"/>
      <c r="H45" s="76"/>
    </row>
    <row r="46" spans="1:8" s="77" customFormat="1" ht="18" customHeight="1" x14ac:dyDescent="0.25">
      <c r="A46" s="322" t="s">
        <v>408</v>
      </c>
      <c r="B46" s="384">
        <v>10000000</v>
      </c>
      <c r="C46" s="938">
        <v>11809821</v>
      </c>
      <c r="D46" s="946">
        <f>C46-B46</f>
        <v>1809821</v>
      </c>
      <c r="E46" s="74"/>
      <c r="F46" s="75"/>
      <c r="G46" s="75"/>
      <c r="H46" s="76"/>
    </row>
    <row r="47" spans="1:8" s="77" customFormat="1" ht="16.5" customHeight="1" x14ac:dyDescent="0.25">
      <c r="A47" s="319" t="s">
        <v>309</v>
      </c>
      <c r="B47" s="384">
        <v>140000000</v>
      </c>
      <c r="C47" s="252">
        <v>191368650</v>
      </c>
      <c r="D47" s="946">
        <f t="shared" ref="D47:D69" si="1">C47-B47</f>
        <v>51368650</v>
      </c>
      <c r="E47" s="74"/>
      <c r="F47" s="75"/>
      <c r="G47" s="75"/>
      <c r="H47" s="76"/>
    </row>
    <row r="48" spans="1:8" s="77" customFormat="1" ht="16.5" customHeight="1" x14ac:dyDescent="0.25">
      <c r="A48" s="319" t="s">
        <v>310</v>
      </c>
      <c r="B48" s="1184">
        <v>20000000</v>
      </c>
      <c r="C48" s="252">
        <v>20000000</v>
      </c>
      <c r="D48" s="946">
        <f t="shared" si="1"/>
        <v>0</v>
      </c>
      <c r="E48" s="74"/>
      <c r="F48" s="75"/>
      <c r="G48" s="75"/>
      <c r="H48" s="76"/>
    </row>
    <row r="49" spans="1:8" s="77" customFormat="1" ht="30" x14ac:dyDescent="0.25">
      <c r="A49" s="319" t="s">
        <v>311</v>
      </c>
      <c r="B49" s="1184">
        <v>5000000</v>
      </c>
      <c r="C49" s="252">
        <v>5000000</v>
      </c>
      <c r="D49" s="946">
        <f t="shared" si="1"/>
        <v>0</v>
      </c>
      <c r="E49" s="74"/>
      <c r="F49" s="75"/>
      <c r="G49" s="75"/>
      <c r="H49" s="76"/>
    </row>
    <row r="50" spans="1:8" s="77" customFormat="1" ht="105" x14ac:dyDescent="0.25">
      <c r="A50" s="319" t="s">
        <v>329</v>
      </c>
      <c r="B50" s="1184">
        <v>30000000</v>
      </c>
      <c r="C50" s="252">
        <v>30000000</v>
      </c>
      <c r="D50" s="946">
        <f t="shared" si="1"/>
        <v>0</v>
      </c>
      <c r="E50" s="74"/>
      <c r="F50" s="75"/>
      <c r="G50" s="75"/>
      <c r="H50" s="76"/>
    </row>
    <row r="51" spans="1:8" s="77" customFormat="1" ht="16.5" customHeight="1" x14ac:dyDescent="0.25">
      <c r="A51" s="319" t="s">
        <v>10</v>
      </c>
      <c r="B51" s="1184">
        <v>30894000</v>
      </c>
      <c r="C51" s="252">
        <v>30894000</v>
      </c>
      <c r="D51" s="946">
        <f t="shared" si="1"/>
        <v>0</v>
      </c>
      <c r="E51" s="74"/>
      <c r="F51" s="75"/>
      <c r="G51" s="75"/>
      <c r="H51" s="76"/>
    </row>
    <row r="52" spans="1:8" s="77" customFormat="1" ht="16.5" customHeight="1" x14ac:dyDescent="0.25">
      <c r="A52" s="319" t="s">
        <v>312</v>
      </c>
      <c r="B52" s="1184">
        <v>15000000</v>
      </c>
      <c r="C52" s="252">
        <v>15000000</v>
      </c>
      <c r="D52" s="946">
        <f t="shared" si="1"/>
        <v>0</v>
      </c>
      <c r="E52" s="74"/>
      <c r="F52" s="75"/>
      <c r="G52" s="75"/>
      <c r="H52" s="76"/>
    </row>
    <row r="53" spans="1:8" s="77" customFormat="1" ht="16.5" customHeight="1" x14ac:dyDescent="0.25">
      <c r="A53" s="319" t="s">
        <v>0</v>
      </c>
      <c r="B53" s="1184">
        <v>40000000</v>
      </c>
      <c r="C53" s="252">
        <v>40000000</v>
      </c>
      <c r="D53" s="946">
        <f t="shared" si="1"/>
        <v>0</v>
      </c>
      <c r="E53" s="74"/>
      <c r="F53" s="75"/>
      <c r="G53" s="75"/>
      <c r="H53" s="76"/>
    </row>
    <row r="54" spans="1:8" s="77" customFormat="1" ht="16.5" customHeight="1" x14ac:dyDescent="0.25">
      <c r="A54" s="319" t="s">
        <v>313</v>
      </c>
      <c r="B54" s="1184">
        <v>14000000</v>
      </c>
      <c r="C54" s="252">
        <v>14000000</v>
      </c>
      <c r="D54" s="946">
        <f t="shared" si="1"/>
        <v>0</v>
      </c>
      <c r="E54" s="74"/>
      <c r="F54" s="75"/>
      <c r="G54" s="75"/>
      <c r="H54" s="76"/>
    </row>
    <row r="55" spans="1:8" s="77" customFormat="1" ht="30" x14ac:dyDescent="0.25">
      <c r="A55" s="429" t="s">
        <v>314</v>
      </c>
      <c r="B55" s="1184">
        <v>4000000</v>
      </c>
      <c r="C55" s="252">
        <v>4000000</v>
      </c>
      <c r="D55" s="946">
        <f t="shared" si="1"/>
        <v>0</v>
      </c>
      <c r="E55" s="74"/>
      <c r="F55" s="75"/>
      <c r="G55" s="75"/>
      <c r="H55" s="76"/>
    </row>
    <row r="56" spans="1:8" s="77" customFormat="1" ht="16.5" customHeight="1" x14ac:dyDescent="0.25">
      <c r="A56" s="319" t="s">
        <v>315</v>
      </c>
      <c r="B56" s="1184">
        <v>5000000</v>
      </c>
      <c r="C56" s="252">
        <v>5000000</v>
      </c>
      <c r="D56" s="946">
        <f t="shared" si="1"/>
        <v>0</v>
      </c>
      <c r="E56" s="74"/>
      <c r="F56" s="75"/>
      <c r="G56" s="75"/>
      <c r="H56" s="76"/>
    </row>
    <row r="57" spans="1:8" s="77" customFormat="1" ht="16.5" customHeight="1" x14ac:dyDescent="0.25">
      <c r="A57" s="319" t="s">
        <v>316</v>
      </c>
      <c r="B57" s="1184">
        <v>6000000</v>
      </c>
      <c r="C57" s="252">
        <v>6000000</v>
      </c>
      <c r="D57" s="946">
        <f t="shared" si="1"/>
        <v>0</v>
      </c>
      <c r="E57" s="74"/>
      <c r="F57" s="75"/>
      <c r="G57" s="75"/>
      <c r="H57" s="76"/>
    </row>
    <row r="58" spans="1:8" s="77" customFormat="1" ht="16.5" customHeight="1" x14ac:dyDescent="0.25">
      <c r="A58" s="319" t="s">
        <v>317</v>
      </c>
      <c r="B58" s="1184">
        <v>10000000</v>
      </c>
      <c r="C58" s="252">
        <v>10000000</v>
      </c>
      <c r="D58" s="946">
        <f t="shared" si="1"/>
        <v>0</v>
      </c>
      <c r="E58" s="74"/>
      <c r="F58" s="75"/>
      <c r="G58" s="75"/>
      <c r="H58" s="76"/>
    </row>
    <row r="59" spans="1:8" s="77" customFormat="1" ht="16.5" customHeight="1" x14ac:dyDescent="0.25">
      <c r="A59" s="319" t="s">
        <v>318</v>
      </c>
      <c r="B59" s="1184">
        <v>2000000</v>
      </c>
      <c r="C59" s="252">
        <v>2000000</v>
      </c>
      <c r="D59" s="946">
        <f t="shared" si="1"/>
        <v>0</v>
      </c>
      <c r="E59" s="74"/>
      <c r="F59" s="75"/>
      <c r="G59" s="75"/>
      <c r="H59" s="76"/>
    </row>
    <row r="60" spans="1:8" s="77" customFormat="1" ht="16.5" customHeight="1" x14ac:dyDescent="0.25">
      <c r="A60" s="319" t="s">
        <v>319</v>
      </c>
      <c r="B60" s="1184">
        <v>5000000</v>
      </c>
      <c r="C60" s="252">
        <v>5000000</v>
      </c>
      <c r="D60" s="946">
        <f t="shared" si="1"/>
        <v>0</v>
      </c>
      <c r="E60" s="74"/>
      <c r="F60" s="75"/>
      <c r="G60" s="75"/>
      <c r="H60" s="76"/>
    </row>
    <row r="61" spans="1:8" s="77" customFormat="1" ht="16.5" customHeight="1" x14ac:dyDescent="0.25">
      <c r="A61" s="319" t="s">
        <v>320</v>
      </c>
      <c r="B61" s="1184">
        <v>2000000</v>
      </c>
      <c r="C61" s="252">
        <v>2000000</v>
      </c>
      <c r="D61" s="946">
        <f t="shared" si="1"/>
        <v>0</v>
      </c>
      <c r="E61" s="74"/>
      <c r="F61" s="75"/>
      <c r="G61" s="75"/>
      <c r="H61" s="76"/>
    </row>
    <row r="62" spans="1:8" s="77" customFormat="1" ht="16.5" customHeight="1" x14ac:dyDescent="0.25">
      <c r="A62" s="319" t="s">
        <v>321</v>
      </c>
      <c r="B62" s="1184">
        <v>2000000</v>
      </c>
      <c r="C62" s="252">
        <v>2000000</v>
      </c>
      <c r="D62" s="946">
        <f t="shared" si="1"/>
        <v>0</v>
      </c>
      <c r="E62" s="74"/>
      <c r="F62" s="75"/>
      <c r="G62" s="75"/>
      <c r="H62" s="76"/>
    </row>
    <row r="63" spans="1:8" s="77" customFormat="1" ht="16.5" customHeight="1" x14ac:dyDescent="0.25">
      <c r="A63" s="319" t="s">
        <v>322</v>
      </c>
      <c r="B63" s="1184">
        <v>400000</v>
      </c>
      <c r="C63" s="252">
        <v>400000</v>
      </c>
      <c r="D63" s="946">
        <f t="shared" si="1"/>
        <v>0</v>
      </c>
      <c r="E63" s="74"/>
      <c r="F63" s="75"/>
      <c r="G63" s="75"/>
      <c r="H63" s="76"/>
    </row>
    <row r="64" spans="1:8" s="77" customFormat="1" ht="16.5" customHeight="1" x14ac:dyDescent="0.25">
      <c r="A64" s="319" t="s">
        <v>323</v>
      </c>
      <c r="B64" s="1184">
        <v>800000</v>
      </c>
      <c r="C64" s="252">
        <v>800000</v>
      </c>
      <c r="D64" s="946">
        <f t="shared" si="1"/>
        <v>0</v>
      </c>
      <c r="E64" s="74"/>
      <c r="F64" s="75"/>
      <c r="G64" s="75"/>
      <c r="H64" s="76"/>
    </row>
    <row r="65" spans="1:8" s="77" customFormat="1" ht="16.5" customHeight="1" x14ac:dyDescent="0.25">
      <c r="A65" s="319" t="s">
        <v>324</v>
      </c>
      <c r="B65" s="1184">
        <v>2000000</v>
      </c>
      <c r="C65" s="252">
        <v>2000000</v>
      </c>
      <c r="D65" s="946">
        <f t="shared" si="1"/>
        <v>0</v>
      </c>
      <c r="E65" s="74"/>
      <c r="F65" s="75"/>
      <c r="G65" s="75"/>
      <c r="H65" s="76"/>
    </row>
    <row r="66" spans="1:8" s="77" customFormat="1" ht="16.5" customHeight="1" x14ac:dyDescent="0.25">
      <c r="A66" s="319" t="s">
        <v>325</v>
      </c>
      <c r="B66" s="1184">
        <v>800000</v>
      </c>
      <c r="C66" s="252">
        <v>800000</v>
      </c>
      <c r="D66" s="946">
        <f t="shared" si="1"/>
        <v>0</v>
      </c>
      <c r="E66" s="74"/>
      <c r="F66" s="75"/>
      <c r="G66" s="75"/>
      <c r="H66" s="76"/>
    </row>
    <row r="67" spans="1:8" s="77" customFormat="1" ht="16.5" customHeight="1" x14ac:dyDescent="0.25">
      <c r="A67" s="319" t="s">
        <v>326</v>
      </c>
      <c r="B67" s="1184">
        <v>4000000</v>
      </c>
      <c r="C67" s="252">
        <v>4000000</v>
      </c>
      <c r="D67" s="946">
        <f t="shared" si="1"/>
        <v>0</v>
      </c>
      <c r="E67" s="74"/>
      <c r="F67" s="75"/>
      <c r="G67" s="75"/>
      <c r="H67" s="76"/>
    </row>
    <row r="68" spans="1:8" s="77" customFormat="1" ht="16.5" customHeight="1" x14ac:dyDescent="0.25">
      <c r="A68" s="319" t="s">
        <v>327</v>
      </c>
      <c r="B68" s="1184">
        <v>2700000</v>
      </c>
      <c r="C68" s="252">
        <v>2700000</v>
      </c>
      <c r="D68" s="946">
        <f t="shared" si="1"/>
        <v>0</v>
      </c>
      <c r="E68" s="74"/>
      <c r="F68" s="75"/>
      <c r="G68" s="75"/>
      <c r="H68" s="76"/>
    </row>
    <row r="69" spans="1:8" s="77" customFormat="1" ht="16.5" customHeight="1" x14ac:dyDescent="0.25">
      <c r="A69" s="1258" t="s">
        <v>328</v>
      </c>
      <c r="B69" s="1184">
        <v>3000000</v>
      </c>
      <c r="C69" s="252">
        <v>3000000</v>
      </c>
      <c r="D69" s="946">
        <f t="shared" si="1"/>
        <v>0</v>
      </c>
      <c r="E69" s="74"/>
      <c r="F69" s="75"/>
      <c r="G69" s="75"/>
      <c r="H69" s="76"/>
    </row>
    <row r="70" spans="1:8" s="77" customFormat="1" ht="15" x14ac:dyDescent="0.25">
      <c r="A70" s="933" t="s">
        <v>94</v>
      </c>
      <c r="B70" s="1256">
        <v>6069744</v>
      </c>
      <c r="C70" s="1254">
        <v>6071108</v>
      </c>
      <c r="D70" s="1257">
        <f>C70-B70</f>
        <v>1364</v>
      </c>
      <c r="E70" s="74"/>
      <c r="F70" s="75"/>
      <c r="G70" s="75"/>
      <c r="H70" s="76"/>
    </row>
    <row r="71" spans="1:8" s="77" customFormat="1" ht="15" x14ac:dyDescent="0.25">
      <c r="A71" s="426" t="s">
        <v>95</v>
      </c>
      <c r="B71" s="1184">
        <v>13883122</v>
      </c>
      <c r="C71" s="252">
        <v>13883122</v>
      </c>
      <c r="D71" s="946">
        <f>C71-B71</f>
        <v>0</v>
      </c>
      <c r="E71" s="74"/>
      <c r="F71" s="75"/>
      <c r="G71" s="75"/>
      <c r="H71" s="76"/>
    </row>
    <row r="72" spans="1:8" s="77" customFormat="1" ht="30" x14ac:dyDescent="0.25">
      <c r="A72" s="948" t="s">
        <v>391</v>
      </c>
      <c r="B72" s="1184">
        <v>10036000</v>
      </c>
      <c r="C72" s="252">
        <v>10036000</v>
      </c>
      <c r="D72" s="946">
        <f t="shared" ref="D72:D108" si="2">C72-B72</f>
        <v>0</v>
      </c>
      <c r="E72" s="74"/>
      <c r="F72" s="75"/>
      <c r="G72" s="75"/>
      <c r="H72" s="76"/>
    </row>
    <row r="73" spans="1:8" s="77" customFormat="1" ht="30.6" thickBot="1" x14ac:dyDescent="0.3">
      <c r="A73" s="1033" t="s">
        <v>392</v>
      </c>
      <c r="B73" s="1212">
        <v>456308500</v>
      </c>
      <c r="C73" s="804">
        <v>456308500</v>
      </c>
      <c r="D73" s="947">
        <f t="shared" si="2"/>
        <v>0</v>
      </c>
      <c r="E73" s="74"/>
      <c r="F73" s="75">
        <f>B72+B73+B75+B76+B77+B78+B18+B17+B16+B15</f>
        <v>3222364511</v>
      </c>
      <c r="G73" s="75"/>
      <c r="H73" s="76"/>
    </row>
    <row r="74" spans="1:8" s="77" customFormat="1" ht="33.75" customHeight="1" thickBot="1" x14ac:dyDescent="0.3">
      <c r="A74" s="513" t="s">
        <v>514</v>
      </c>
      <c r="B74" s="852" t="s">
        <v>191</v>
      </c>
      <c r="C74" s="767" t="s">
        <v>357</v>
      </c>
      <c r="D74" s="932" t="s">
        <v>358</v>
      </c>
      <c r="E74" s="74"/>
      <c r="F74" s="75"/>
      <c r="G74" s="75"/>
      <c r="H74" s="76"/>
    </row>
    <row r="75" spans="1:8" s="77" customFormat="1" ht="30" x14ac:dyDescent="0.25">
      <c r="A75" s="1032" t="s">
        <v>393</v>
      </c>
      <c r="B75" s="1253">
        <v>14474878</v>
      </c>
      <c r="C75" s="1254">
        <v>14474878</v>
      </c>
      <c r="D75" s="1257">
        <f t="shared" si="2"/>
        <v>0</v>
      </c>
      <c r="E75" s="74"/>
      <c r="F75" s="75"/>
      <c r="G75" s="75"/>
      <c r="H75" s="76"/>
    </row>
    <row r="76" spans="1:8" s="77" customFormat="1" ht="30" x14ac:dyDescent="0.25">
      <c r="A76" s="948" t="s">
        <v>394</v>
      </c>
      <c r="B76" s="1184">
        <v>62865000</v>
      </c>
      <c r="C76" s="252">
        <v>62865000</v>
      </c>
      <c r="D76" s="946">
        <f t="shared" si="2"/>
        <v>0</v>
      </c>
      <c r="E76" s="74"/>
      <c r="F76" s="75"/>
      <c r="G76" s="75"/>
      <c r="H76" s="76"/>
    </row>
    <row r="77" spans="1:8" s="77" customFormat="1" ht="15" x14ac:dyDescent="0.25">
      <c r="A77" s="948" t="s">
        <v>395</v>
      </c>
      <c r="B77" s="1184">
        <v>994139838</v>
      </c>
      <c r="C77" s="252">
        <v>1469477315</v>
      </c>
      <c r="D77" s="946">
        <f t="shared" si="2"/>
        <v>475337477</v>
      </c>
      <c r="E77" s="74">
        <f>B72+B73+B75+B76+B77-132770435-137448017+B78</f>
        <v>2039011909</v>
      </c>
      <c r="F77" s="75"/>
      <c r="G77" s="75"/>
      <c r="H77" s="76"/>
    </row>
    <row r="78" spans="1:8" s="77" customFormat="1" ht="30" x14ac:dyDescent="0.25">
      <c r="A78" s="948" t="s">
        <v>396</v>
      </c>
      <c r="B78" s="1184">
        <f>730033678+41372467</f>
        <v>771406145</v>
      </c>
      <c r="C78" s="252">
        <f>730033678+41372467</f>
        <v>771406145</v>
      </c>
      <c r="D78" s="946">
        <f t="shared" si="2"/>
        <v>0</v>
      </c>
      <c r="E78" s="74"/>
      <c r="F78" s="75"/>
      <c r="G78" s="75"/>
      <c r="H78" s="76"/>
    </row>
    <row r="79" spans="1:8" s="77" customFormat="1" ht="15" x14ac:dyDescent="0.25">
      <c r="A79" s="426" t="s">
        <v>404</v>
      </c>
      <c r="B79" s="1184">
        <v>40000000</v>
      </c>
      <c r="C79" s="252">
        <v>40000000</v>
      </c>
      <c r="D79" s="946">
        <f t="shared" si="2"/>
        <v>0</v>
      </c>
      <c r="E79" s="74">
        <f>B79+B80+B46+B83-142240000+B85+B86+B87+B88+B89+B101+B140+B146+B151+B155+B156+B157+B158+137448017</f>
        <v>359568017</v>
      </c>
      <c r="F79" s="75"/>
      <c r="G79" s="75"/>
      <c r="H79" s="76"/>
    </row>
    <row r="80" spans="1:8" s="77" customFormat="1" ht="15" x14ac:dyDescent="0.25">
      <c r="A80" s="426" t="s">
        <v>405</v>
      </c>
      <c r="B80" s="1184">
        <v>30000000</v>
      </c>
      <c r="C80" s="252">
        <v>30000000</v>
      </c>
      <c r="D80" s="946">
        <f t="shared" si="2"/>
        <v>0</v>
      </c>
      <c r="E80" s="74"/>
      <c r="F80" s="75"/>
      <c r="G80" s="75"/>
      <c r="H80" s="76"/>
    </row>
    <row r="81" spans="1:8" s="77" customFormat="1" ht="30" x14ac:dyDescent="0.25">
      <c r="A81" s="426" t="s">
        <v>96</v>
      </c>
      <c r="B81" s="1184">
        <v>32000000</v>
      </c>
      <c r="C81" s="252">
        <v>32000000</v>
      </c>
      <c r="D81" s="946">
        <f t="shared" si="2"/>
        <v>0</v>
      </c>
      <c r="E81" s="74"/>
      <c r="F81" s="75"/>
      <c r="G81" s="75"/>
      <c r="H81" s="76"/>
    </row>
    <row r="82" spans="1:8" s="77" customFormat="1" ht="15" x14ac:dyDescent="0.25">
      <c r="A82" s="426" t="s">
        <v>97</v>
      </c>
      <c r="B82" s="1184">
        <v>230000</v>
      </c>
      <c r="C82" s="252">
        <v>230000</v>
      </c>
      <c r="D82" s="946">
        <f t="shared" si="2"/>
        <v>0</v>
      </c>
      <c r="E82" s="74"/>
      <c r="F82" s="75"/>
      <c r="G82" s="75"/>
      <c r="H82" s="76"/>
    </row>
    <row r="83" spans="1:8" s="77" customFormat="1" ht="30" x14ac:dyDescent="0.25">
      <c r="A83" s="426" t="s">
        <v>406</v>
      </c>
      <c r="B83" s="1184">
        <v>38100000</v>
      </c>
      <c r="C83" s="252">
        <v>38100000</v>
      </c>
      <c r="D83" s="946">
        <f t="shared" si="2"/>
        <v>0</v>
      </c>
      <c r="E83" s="74"/>
      <c r="F83" s="75"/>
      <c r="G83" s="75"/>
      <c r="H83" s="76"/>
    </row>
    <row r="84" spans="1:8" s="77" customFormat="1" ht="15" x14ac:dyDescent="0.25">
      <c r="A84" s="426" t="s">
        <v>330</v>
      </c>
      <c r="B84" s="1184">
        <v>3048000</v>
      </c>
      <c r="C84" s="252">
        <v>3048000</v>
      </c>
      <c r="D84" s="946">
        <f t="shared" si="2"/>
        <v>0</v>
      </c>
      <c r="E84" s="74"/>
      <c r="F84" s="75"/>
      <c r="G84" s="75"/>
      <c r="H84" s="76"/>
    </row>
    <row r="85" spans="1:8" s="77" customFormat="1" ht="15" x14ac:dyDescent="0.25">
      <c r="A85" s="426" t="s">
        <v>407</v>
      </c>
      <c r="B85" s="1184">
        <v>150000000</v>
      </c>
      <c r="C85" s="252">
        <v>142761000</v>
      </c>
      <c r="D85" s="946">
        <f>C85-B85</f>
        <v>-7239000</v>
      </c>
      <c r="E85" s="74"/>
      <c r="F85" s="75"/>
      <c r="G85" s="75"/>
      <c r="H85" s="76"/>
    </row>
    <row r="86" spans="1:8" s="77" customFormat="1" ht="15" x14ac:dyDescent="0.25">
      <c r="A86" s="426" t="s">
        <v>409</v>
      </c>
      <c r="B86" s="1184">
        <v>40000000</v>
      </c>
      <c r="C86" s="252">
        <v>0</v>
      </c>
      <c r="D86" s="946">
        <f t="shared" si="2"/>
        <v>-40000000</v>
      </c>
      <c r="E86" s="74"/>
      <c r="F86" s="75"/>
      <c r="G86" s="75"/>
      <c r="H86" s="76"/>
    </row>
    <row r="87" spans="1:8" s="77" customFormat="1" ht="15" x14ac:dyDescent="0.25">
      <c r="A87" s="426" t="s">
        <v>410</v>
      </c>
      <c r="B87" s="1184">
        <v>4000000</v>
      </c>
      <c r="C87" s="252">
        <v>4000000</v>
      </c>
      <c r="D87" s="946">
        <f t="shared" si="2"/>
        <v>0</v>
      </c>
      <c r="E87" s="74"/>
      <c r="F87" s="75"/>
      <c r="G87" s="75"/>
      <c r="H87" s="76"/>
    </row>
    <row r="88" spans="1:8" s="77" customFormat="1" ht="15" x14ac:dyDescent="0.25">
      <c r="A88" s="426" t="s">
        <v>411</v>
      </c>
      <c r="B88" s="1184">
        <v>5000000</v>
      </c>
      <c r="C88" s="252">
        <v>5000000</v>
      </c>
      <c r="D88" s="946">
        <f t="shared" si="2"/>
        <v>0</v>
      </c>
      <c r="E88" s="74"/>
      <c r="F88" s="75"/>
      <c r="G88" s="75"/>
      <c r="H88" s="76"/>
    </row>
    <row r="89" spans="1:8" s="77" customFormat="1" ht="15" x14ac:dyDescent="0.25">
      <c r="A89" s="426" t="s">
        <v>349</v>
      </c>
      <c r="B89" s="1184">
        <v>655000</v>
      </c>
      <c r="C89" s="252">
        <v>655000</v>
      </c>
      <c r="D89" s="946">
        <f t="shared" si="2"/>
        <v>0</v>
      </c>
      <c r="E89" s="74"/>
      <c r="F89" s="75"/>
      <c r="G89" s="75"/>
      <c r="H89" s="76"/>
    </row>
    <row r="90" spans="1:8" s="77" customFormat="1" ht="15" x14ac:dyDescent="0.25">
      <c r="A90" s="426" t="s">
        <v>1000</v>
      </c>
      <c r="B90" s="1184"/>
      <c r="C90" s="252">
        <v>13970000</v>
      </c>
      <c r="D90" s="946">
        <f t="shared" si="2"/>
        <v>13970000</v>
      </c>
      <c r="E90" s="74"/>
      <c r="F90" s="75"/>
      <c r="G90" s="75"/>
      <c r="H90" s="76"/>
    </row>
    <row r="91" spans="1:8" s="77" customFormat="1" ht="30" x14ac:dyDescent="0.25">
      <c r="A91" s="426" t="s">
        <v>1002</v>
      </c>
      <c r="B91" s="1184"/>
      <c r="C91" s="252">
        <v>6604000</v>
      </c>
      <c r="D91" s="946">
        <f t="shared" si="2"/>
        <v>6604000</v>
      </c>
      <c r="E91" s="74"/>
      <c r="F91" s="75"/>
      <c r="G91" s="75"/>
      <c r="H91" s="76"/>
    </row>
    <row r="92" spans="1:8" s="77" customFormat="1" ht="30" x14ac:dyDescent="0.25">
      <c r="A92" s="426" t="s">
        <v>1001</v>
      </c>
      <c r="B92" s="1184"/>
      <c r="C92" s="252">
        <v>277525000</v>
      </c>
      <c r="D92" s="946">
        <f t="shared" si="2"/>
        <v>277525000</v>
      </c>
      <c r="E92" s="74"/>
      <c r="F92" s="75"/>
      <c r="G92" s="75"/>
      <c r="H92" s="76"/>
    </row>
    <row r="93" spans="1:8" s="77" customFormat="1" ht="15" x14ac:dyDescent="0.25">
      <c r="A93" s="426" t="s">
        <v>1003</v>
      </c>
      <c r="B93" s="384"/>
      <c r="C93" s="1185">
        <v>340000</v>
      </c>
      <c r="D93" s="946">
        <f t="shared" si="2"/>
        <v>340000</v>
      </c>
      <c r="E93" s="74"/>
      <c r="F93" s="75"/>
      <c r="G93" s="75"/>
      <c r="H93" s="76"/>
    </row>
    <row r="94" spans="1:8" s="77" customFormat="1" ht="15" x14ac:dyDescent="0.25">
      <c r="A94" s="426" t="s">
        <v>1004</v>
      </c>
      <c r="B94" s="384"/>
      <c r="C94" s="1185">
        <v>74990</v>
      </c>
      <c r="D94" s="946">
        <f t="shared" si="2"/>
        <v>74990</v>
      </c>
      <c r="E94" s="74"/>
      <c r="F94" s="75"/>
      <c r="G94" s="75"/>
      <c r="H94" s="76"/>
    </row>
    <row r="95" spans="1:8" s="77" customFormat="1" ht="15" x14ac:dyDescent="0.25">
      <c r="A95" s="426" t="s">
        <v>1005</v>
      </c>
      <c r="B95" s="384"/>
      <c r="C95" s="1185">
        <v>277120</v>
      </c>
      <c r="D95" s="946">
        <f t="shared" si="2"/>
        <v>277120</v>
      </c>
      <c r="E95" s="74"/>
      <c r="F95" s="75"/>
      <c r="G95" s="75"/>
      <c r="H95" s="76"/>
    </row>
    <row r="96" spans="1:8" s="77" customFormat="1" ht="15" x14ac:dyDescent="0.25">
      <c r="A96" s="426" t="s">
        <v>1006</v>
      </c>
      <c r="B96" s="384"/>
      <c r="C96" s="1185">
        <v>7239000</v>
      </c>
      <c r="D96" s="946">
        <f t="shared" si="2"/>
        <v>7239000</v>
      </c>
      <c r="E96" s="74"/>
      <c r="F96" s="75"/>
      <c r="G96" s="75"/>
      <c r="H96" s="76"/>
    </row>
    <row r="97" spans="1:8" s="77" customFormat="1" ht="15" x14ac:dyDescent="0.25">
      <c r="A97" s="426" t="s">
        <v>351</v>
      </c>
      <c r="B97" s="384"/>
      <c r="C97" s="252"/>
      <c r="D97" s="946">
        <f t="shared" si="2"/>
        <v>0</v>
      </c>
      <c r="E97" s="74"/>
      <c r="F97" s="75"/>
      <c r="G97" s="75"/>
      <c r="H97" s="76"/>
    </row>
    <row r="98" spans="1:8" s="77" customFormat="1" ht="28.5" customHeight="1" x14ac:dyDescent="0.25">
      <c r="A98" s="86" t="s">
        <v>689</v>
      </c>
      <c r="B98" s="384">
        <f>SUM(B99:B102)</f>
        <v>20000000</v>
      </c>
      <c r="C98" s="252">
        <f>SUM(C99:C102)</f>
        <v>26000000</v>
      </c>
      <c r="D98" s="946">
        <f t="shared" si="2"/>
        <v>6000000</v>
      </c>
      <c r="E98" s="74"/>
      <c r="F98" s="75"/>
      <c r="G98" s="75"/>
      <c r="H98" s="76"/>
    </row>
    <row r="99" spans="1:8" s="77" customFormat="1" ht="15" customHeight="1" x14ac:dyDescent="0.25">
      <c r="A99" s="324" t="s">
        <v>690</v>
      </c>
      <c r="B99" s="384"/>
      <c r="C99" s="252">
        <v>6000000</v>
      </c>
      <c r="D99" s="946">
        <f t="shared" si="2"/>
        <v>6000000</v>
      </c>
      <c r="E99" s="74"/>
      <c r="F99" s="75"/>
      <c r="G99" s="75"/>
      <c r="H99" s="76"/>
    </row>
    <row r="100" spans="1:8" s="77" customFormat="1" ht="15.75" customHeight="1" x14ac:dyDescent="0.25">
      <c r="A100" s="324" t="s">
        <v>691</v>
      </c>
      <c r="B100" s="384"/>
      <c r="C100" s="252"/>
      <c r="D100" s="946">
        <f t="shared" si="2"/>
        <v>0</v>
      </c>
      <c r="E100" s="74"/>
      <c r="F100" s="75"/>
      <c r="G100" s="75"/>
      <c r="H100" s="76"/>
    </row>
    <row r="101" spans="1:8" s="77" customFormat="1" ht="15.75" customHeight="1" x14ac:dyDescent="0.25">
      <c r="A101" s="324" t="s">
        <v>858</v>
      </c>
      <c r="B101" s="384">
        <v>20000000</v>
      </c>
      <c r="C101" s="252">
        <v>20000000</v>
      </c>
      <c r="D101" s="946">
        <f t="shared" si="2"/>
        <v>0</v>
      </c>
      <c r="E101" s="74"/>
      <c r="F101" s="75"/>
      <c r="G101" s="75"/>
      <c r="H101" s="76"/>
    </row>
    <row r="102" spans="1:8" s="77" customFormat="1" ht="15" x14ac:dyDescent="0.25">
      <c r="A102" s="318" t="s">
        <v>829</v>
      </c>
      <c r="B102" s="384"/>
      <c r="C102" s="252"/>
      <c r="D102" s="946">
        <f>C102-B102</f>
        <v>0</v>
      </c>
      <c r="E102" s="74"/>
      <c r="F102" s="75"/>
      <c r="G102" s="75"/>
      <c r="H102" s="76"/>
    </row>
    <row r="103" spans="1:8" s="77" customFormat="1" ht="15" x14ac:dyDescent="0.25">
      <c r="A103" s="481" t="s">
        <v>92</v>
      </c>
      <c r="B103" s="384"/>
      <c r="C103" s="252"/>
      <c r="D103" s="946">
        <f t="shared" si="2"/>
        <v>0</v>
      </c>
      <c r="E103" s="74"/>
      <c r="F103" s="75"/>
      <c r="G103" s="75"/>
      <c r="H103" s="76"/>
    </row>
    <row r="104" spans="1:8" s="77" customFormat="1" ht="18.75" customHeight="1" x14ac:dyDescent="0.25">
      <c r="A104" s="324" t="s">
        <v>692</v>
      </c>
      <c r="B104" s="384">
        <f>SUM(B105:B106)</f>
        <v>16000000</v>
      </c>
      <c r="C104" s="252">
        <f>SUM(C105:C106)</f>
        <v>16000000</v>
      </c>
      <c r="D104" s="946">
        <f t="shared" si="2"/>
        <v>0</v>
      </c>
      <c r="E104" s="74"/>
      <c r="F104" s="75"/>
      <c r="G104" s="75"/>
      <c r="H104" s="76"/>
    </row>
    <row r="105" spans="1:8" s="77" customFormat="1" ht="18" customHeight="1" x14ac:dyDescent="0.25">
      <c r="A105" s="324" t="s">
        <v>837</v>
      </c>
      <c r="B105" s="384"/>
      <c r="C105" s="252"/>
      <c r="D105" s="946">
        <f t="shared" si="2"/>
        <v>0</v>
      </c>
      <c r="E105" s="74"/>
      <c r="F105" s="75"/>
      <c r="G105" s="75"/>
      <c r="H105" s="76"/>
    </row>
    <row r="106" spans="1:8" s="77" customFormat="1" ht="18" customHeight="1" x14ac:dyDescent="0.25">
      <c r="A106" s="324" t="s">
        <v>669</v>
      </c>
      <c r="B106" s="384">
        <v>16000000</v>
      </c>
      <c r="C106" s="252">
        <v>16000000</v>
      </c>
      <c r="D106" s="946">
        <f t="shared" si="2"/>
        <v>0</v>
      </c>
      <c r="E106" s="74"/>
      <c r="F106" s="75"/>
      <c r="G106" s="75"/>
      <c r="H106" s="76"/>
    </row>
    <row r="107" spans="1:8" s="77" customFormat="1" ht="20.25" customHeight="1" x14ac:dyDescent="0.3">
      <c r="A107" s="325" t="s">
        <v>693</v>
      </c>
      <c r="B107" s="949">
        <f>SUM(B46:B98,B104)</f>
        <v>3062810227</v>
      </c>
      <c r="C107" s="326">
        <f>SUM(C46:C98,C104)</f>
        <v>3856118649</v>
      </c>
      <c r="D107" s="950">
        <f t="shared" si="2"/>
        <v>793308422</v>
      </c>
      <c r="E107" s="131"/>
      <c r="F107" s="75"/>
      <c r="G107" s="75"/>
      <c r="H107" s="76"/>
    </row>
    <row r="108" spans="1:8" s="77" customFormat="1" ht="21.75" customHeight="1" thickBot="1" x14ac:dyDescent="0.35">
      <c r="A108" s="87" t="s">
        <v>694</v>
      </c>
      <c r="B108" s="939">
        <f>B107+B43</f>
        <v>4396480479</v>
      </c>
      <c r="C108" s="253">
        <f>C107+C43</f>
        <v>5206434304</v>
      </c>
      <c r="D108" s="951">
        <f t="shared" si="2"/>
        <v>809953825</v>
      </c>
      <c r="E108" s="131"/>
      <c r="F108" s="75"/>
      <c r="G108" s="75"/>
      <c r="H108" s="76"/>
    </row>
    <row r="109" spans="1:8" s="77" customFormat="1" ht="43.5" customHeight="1" thickBot="1" x14ac:dyDescent="0.3">
      <c r="A109" s="372" t="s">
        <v>514</v>
      </c>
      <c r="B109" s="886" t="s">
        <v>191</v>
      </c>
      <c r="C109" s="887" t="s">
        <v>357</v>
      </c>
      <c r="D109" s="931" t="s">
        <v>358</v>
      </c>
      <c r="E109" s="74"/>
      <c r="F109" s="75"/>
      <c r="G109" s="75"/>
      <c r="H109" s="76"/>
    </row>
    <row r="110" spans="1:8" s="77" customFormat="1" ht="24.75" customHeight="1" x14ac:dyDescent="0.3">
      <c r="A110" s="381" t="s">
        <v>874</v>
      </c>
      <c r="B110" s="943"/>
      <c r="C110" s="944"/>
      <c r="D110" s="952"/>
      <c r="E110" s="74"/>
      <c r="F110" s="75"/>
      <c r="G110" s="75"/>
      <c r="H110" s="76"/>
    </row>
    <row r="111" spans="1:8" s="77" customFormat="1" ht="29.25" customHeight="1" x14ac:dyDescent="0.3">
      <c r="A111" s="434" t="s">
        <v>696</v>
      </c>
      <c r="B111" s="953">
        <f>SUM(B112:B118)</f>
        <v>305599200</v>
      </c>
      <c r="C111" s="406">
        <f>SUM(C112:C118)</f>
        <v>305599200</v>
      </c>
      <c r="D111" s="950">
        <f>C111-B111</f>
        <v>0</v>
      </c>
      <c r="E111" s="131"/>
      <c r="F111" s="75"/>
      <c r="G111" s="75"/>
      <c r="H111" s="76"/>
    </row>
    <row r="112" spans="1:8" s="77" customFormat="1" ht="15" customHeight="1" x14ac:dyDescent="0.25">
      <c r="A112" s="324" t="s">
        <v>830</v>
      </c>
      <c r="B112" s="1184">
        <v>17685000</v>
      </c>
      <c r="C112" s="252">
        <v>17685000</v>
      </c>
      <c r="D112" s="946">
        <f>C112-B112</f>
        <v>0</v>
      </c>
      <c r="E112" s="74"/>
      <c r="F112" s="75"/>
      <c r="G112" s="75"/>
      <c r="H112" s="76"/>
    </row>
    <row r="113" spans="1:8" s="77" customFormat="1" ht="15" customHeight="1" x14ac:dyDescent="0.25">
      <c r="A113" s="324" t="s">
        <v>869</v>
      </c>
      <c r="B113" s="1184">
        <v>250000000</v>
      </c>
      <c r="C113" s="252">
        <v>250000000</v>
      </c>
      <c r="D113" s="946">
        <f t="shared" ref="D113:D139" si="3">C113-B113</f>
        <v>0</v>
      </c>
      <c r="E113" s="74"/>
      <c r="F113" s="75"/>
      <c r="G113" s="75"/>
      <c r="H113" s="76"/>
    </row>
    <row r="114" spans="1:8" s="77" customFormat="1" ht="18.75" customHeight="1" x14ac:dyDescent="0.25">
      <c r="A114" s="324" t="s">
        <v>681</v>
      </c>
      <c r="B114" s="1184">
        <v>10401829</v>
      </c>
      <c r="C114" s="252">
        <v>10401829</v>
      </c>
      <c r="D114" s="946">
        <f t="shared" si="3"/>
        <v>0</v>
      </c>
      <c r="E114" s="74"/>
      <c r="F114" s="75"/>
      <c r="G114" s="75"/>
      <c r="H114" s="76"/>
    </row>
    <row r="115" spans="1:8" s="77" customFormat="1" ht="18.75" customHeight="1" x14ac:dyDescent="0.25">
      <c r="A115" s="427" t="s">
        <v>12</v>
      </c>
      <c r="B115" s="1184">
        <v>10000000</v>
      </c>
      <c r="C115" s="252">
        <v>10000000</v>
      </c>
      <c r="D115" s="946">
        <f t="shared" si="3"/>
        <v>0</v>
      </c>
      <c r="E115" s="74"/>
      <c r="F115" s="75"/>
      <c r="G115" s="75"/>
      <c r="H115" s="76"/>
    </row>
    <row r="116" spans="1:8" s="77" customFormat="1" ht="18.75" customHeight="1" x14ac:dyDescent="0.25">
      <c r="A116" s="427" t="s">
        <v>50</v>
      </c>
      <c r="B116" s="1184">
        <v>15000000</v>
      </c>
      <c r="C116" s="252">
        <v>15000000</v>
      </c>
      <c r="D116" s="946">
        <f t="shared" si="3"/>
        <v>0</v>
      </c>
      <c r="E116" s="74"/>
      <c r="F116" s="75"/>
      <c r="G116" s="75"/>
      <c r="H116" s="76"/>
    </row>
    <row r="117" spans="1:8" s="77" customFormat="1" ht="18.75" customHeight="1" x14ac:dyDescent="0.25">
      <c r="A117" s="427" t="s">
        <v>51</v>
      </c>
      <c r="B117" s="1184">
        <v>1860000</v>
      </c>
      <c r="C117" s="252">
        <v>1860000</v>
      </c>
      <c r="D117" s="946">
        <f t="shared" si="3"/>
        <v>0</v>
      </c>
      <c r="E117" s="74"/>
      <c r="F117" s="75"/>
      <c r="G117" s="75"/>
      <c r="H117" s="76"/>
    </row>
    <row r="118" spans="1:8" s="77" customFormat="1" ht="29.25" customHeight="1" x14ac:dyDescent="0.25">
      <c r="A118" s="427" t="s">
        <v>52</v>
      </c>
      <c r="B118" s="1184">
        <v>652371</v>
      </c>
      <c r="C118" s="252">
        <v>652371</v>
      </c>
      <c r="D118" s="946">
        <f t="shared" si="3"/>
        <v>0</v>
      </c>
      <c r="E118" s="74"/>
      <c r="F118" s="75"/>
      <c r="G118" s="75"/>
      <c r="H118" s="76"/>
    </row>
    <row r="119" spans="1:8" s="77" customFormat="1" ht="29.25" customHeight="1" x14ac:dyDescent="0.3">
      <c r="A119" s="771" t="s">
        <v>838</v>
      </c>
      <c r="B119" s="953"/>
      <c r="C119" s="406"/>
      <c r="D119" s="950">
        <f t="shared" si="3"/>
        <v>0</v>
      </c>
      <c r="E119" s="74"/>
      <c r="F119" s="75"/>
      <c r="G119" s="75"/>
      <c r="H119" s="76"/>
    </row>
    <row r="120" spans="1:8" s="77" customFormat="1" ht="17.25" customHeight="1" x14ac:dyDescent="0.3">
      <c r="A120" s="435" t="s">
        <v>697</v>
      </c>
      <c r="B120" s="953">
        <f>SUM(B121:B124)</f>
        <v>3235539</v>
      </c>
      <c r="C120" s="406">
        <f>SUM(C121:C124)</f>
        <v>27035539</v>
      </c>
      <c r="D120" s="950">
        <f t="shared" si="3"/>
        <v>23800000</v>
      </c>
      <c r="E120" s="131"/>
      <c r="F120" s="75"/>
      <c r="G120" s="75"/>
      <c r="H120" s="76"/>
    </row>
    <row r="121" spans="1:8" s="77" customFormat="1" ht="18" customHeight="1" x14ac:dyDescent="0.25">
      <c r="A121" s="382" t="s">
        <v>621</v>
      </c>
      <c r="B121" s="1184">
        <v>435539</v>
      </c>
      <c r="C121" s="252">
        <v>435539</v>
      </c>
      <c r="D121" s="946">
        <f t="shared" si="3"/>
        <v>0</v>
      </c>
      <c r="E121" s="74"/>
      <c r="F121" s="75"/>
      <c r="G121" s="75"/>
      <c r="H121" s="76"/>
    </row>
    <row r="122" spans="1:8" s="77" customFormat="1" ht="21.75" customHeight="1" x14ac:dyDescent="0.25">
      <c r="A122" s="382" t="s">
        <v>687</v>
      </c>
      <c r="B122" s="1184">
        <v>800000</v>
      </c>
      <c r="C122" s="252">
        <v>800000</v>
      </c>
      <c r="D122" s="946">
        <f t="shared" si="3"/>
        <v>0</v>
      </c>
      <c r="E122" s="74"/>
      <c r="F122" s="75"/>
      <c r="G122" s="75"/>
      <c r="H122" s="76"/>
    </row>
    <row r="123" spans="1:8" s="77" customFormat="1" ht="21" customHeight="1" x14ac:dyDescent="0.25">
      <c r="A123" s="382" t="s">
        <v>688</v>
      </c>
      <c r="B123" s="1184">
        <v>2000000</v>
      </c>
      <c r="C123" s="252">
        <v>1800000</v>
      </c>
      <c r="D123" s="946">
        <f t="shared" si="3"/>
        <v>-200000</v>
      </c>
      <c r="E123" s="74"/>
      <c r="F123" s="75"/>
      <c r="G123" s="75"/>
      <c r="H123" s="76"/>
    </row>
    <row r="124" spans="1:8" s="77" customFormat="1" ht="21" customHeight="1" x14ac:dyDescent="0.25">
      <c r="A124" s="428" t="s">
        <v>1007</v>
      </c>
      <c r="B124" s="384"/>
      <c r="C124" s="252">
        <v>24000000</v>
      </c>
      <c r="D124" s="946">
        <f t="shared" si="3"/>
        <v>24000000</v>
      </c>
      <c r="E124" s="74"/>
      <c r="F124" s="75"/>
      <c r="G124" s="75"/>
      <c r="H124" s="76"/>
    </row>
    <row r="125" spans="1:8" s="77" customFormat="1" ht="18" customHeight="1" x14ac:dyDescent="0.3">
      <c r="A125" s="436" t="s">
        <v>698</v>
      </c>
      <c r="B125" s="953">
        <f>SUM(B126:B166)</f>
        <v>210155425</v>
      </c>
      <c r="C125" s="406">
        <f>SUM(C126:C166)</f>
        <v>226155425</v>
      </c>
      <c r="D125" s="950">
        <f t="shared" si="3"/>
        <v>16000000</v>
      </c>
      <c r="E125" s="131"/>
      <c r="F125" s="75"/>
      <c r="G125" s="75"/>
      <c r="H125" s="76"/>
    </row>
    <row r="126" spans="1:8" s="77" customFormat="1" ht="30" x14ac:dyDescent="0.25">
      <c r="A126" s="383" t="s">
        <v>2</v>
      </c>
      <c r="B126" s="1184">
        <v>100000</v>
      </c>
      <c r="C126" s="252">
        <v>100000</v>
      </c>
      <c r="D126" s="946">
        <f t="shared" si="3"/>
        <v>0</v>
      </c>
      <c r="E126" s="74"/>
      <c r="F126" s="75"/>
      <c r="G126" s="75"/>
      <c r="H126" s="76"/>
    </row>
    <row r="127" spans="1:8" s="72" customFormat="1" ht="24" customHeight="1" x14ac:dyDescent="0.25">
      <c r="A127" s="382" t="s">
        <v>353</v>
      </c>
      <c r="B127" s="1184">
        <v>1500000</v>
      </c>
      <c r="C127" s="252">
        <v>1500000</v>
      </c>
      <c r="D127" s="946">
        <f t="shared" si="3"/>
        <v>0</v>
      </c>
    </row>
    <row r="128" spans="1:8" s="72" customFormat="1" ht="28.5" customHeight="1" x14ac:dyDescent="0.25">
      <c r="A128" s="320" t="s">
        <v>859</v>
      </c>
      <c r="B128" s="1184">
        <v>500000</v>
      </c>
      <c r="C128" s="252">
        <v>500000</v>
      </c>
      <c r="D128" s="946">
        <f t="shared" si="3"/>
        <v>0</v>
      </c>
    </row>
    <row r="129" spans="1:8" s="72" customFormat="1" ht="28.5" customHeight="1" x14ac:dyDescent="0.25">
      <c r="A129" s="320" t="s">
        <v>860</v>
      </c>
      <c r="B129" s="1184">
        <v>340000</v>
      </c>
      <c r="C129" s="252">
        <v>340000</v>
      </c>
      <c r="D129" s="946">
        <f t="shared" si="3"/>
        <v>0</v>
      </c>
    </row>
    <row r="130" spans="1:8" s="72" customFormat="1" ht="26.25" customHeight="1" x14ac:dyDescent="0.25">
      <c r="A130" s="320" t="s">
        <v>861</v>
      </c>
      <c r="B130" s="1184">
        <v>900000</v>
      </c>
      <c r="C130" s="252">
        <v>900000</v>
      </c>
      <c r="D130" s="946">
        <f t="shared" si="3"/>
        <v>0</v>
      </c>
    </row>
    <row r="131" spans="1:8" s="72" customFormat="1" ht="28.5" customHeight="1" x14ac:dyDescent="0.25">
      <c r="A131" s="432" t="s">
        <v>53</v>
      </c>
      <c r="B131" s="1184">
        <v>337000</v>
      </c>
      <c r="C131" s="252">
        <v>337000</v>
      </c>
      <c r="D131" s="946">
        <f t="shared" si="3"/>
        <v>0</v>
      </c>
    </row>
    <row r="132" spans="1:8" s="72" customFormat="1" ht="28.5" customHeight="1" x14ac:dyDescent="0.25">
      <c r="A132" s="432" t="s">
        <v>54</v>
      </c>
      <c r="B132" s="1184">
        <v>201000</v>
      </c>
      <c r="C132" s="252">
        <v>201000</v>
      </c>
      <c r="D132" s="946">
        <f t="shared" si="3"/>
        <v>0</v>
      </c>
    </row>
    <row r="133" spans="1:8" s="72" customFormat="1" ht="28.5" customHeight="1" x14ac:dyDescent="0.25">
      <c r="A133" s="432" t="s">
        <v>55</v>
      </c>
      <c r="B133" s="1184">
        <v>1000000</v>
      </c>
      <c r="C133" s="252">
        <v>1000000</v>
      </c>
      <c r="D133" s="946">
        <f t="shared" si="3"/>
        <v>0</v>
      </c>
    </row>
    <row r="134" spans="1:8" s="72" customFormat="1" ht="28.5" customHeight="1" x14ac:dyDescent="0.25">
      <c r="A134" s="432" t="s">
        <v>354</v>
      </c>
      <c r="B134" s="1184">
        <v>1000000</v>
      </c>
      <c r="C134" s="252">
        <v>1000000</v>
      </c>
      <c r="D134" s="946">
        <f t="shared" si="3"/>
        <v>0</v>
      </c>
    </row>
    <row r="135" spans="1:8" s="72" customFormat="1" ht="30.75" customHeight="1" x14ac:dyDescent="0.25">
      <c r="A135" s="430" t="s">
        <v>808</v>
      </c>
      <c r="B135" s="1184"/>
      <c r="C135" s="252"/>
      <c r="D135" s="946">
        <f t="shared" si="3"/>
        <v>0</v>
      </c>
      <c r="E135" s="69"/>
      <c r="F135" s="70"/>
      <c r="G135" s="70"/>
      <c r="H135" s="71"/>
    </row>
    <row r="136" spans="1:8" s="72" customFormat="1" ht="30.75" customHeight="1" x14ac:dyDescent="0.25">
      <c r="A136" s="382" t="s">
        <v>884</v>
      </c>
      <c r="B136" s="1184">
        <v>1200000</v>
      </c>
      <c r="C136" s="252">
        <v>1200000</v>
      </c>
      <c r="D136" s="946">
        <f t="shared" si="3"/>
        <v>0</v>
      </c>
      <c r="E136" s="69"/>
      <c r="F136" s="70"/>
      <c r="G136" s="70"/>
      <c r="H136" s="71"/>
    </row>
    <row r="137" spans="1:8" s="72" customFormat="1" ht="30.75" customHeight="1" x14ac:dyDescent="0.25">
      <c r="A137" s="382" t="s">
        <v>885</v>
      </c>
      <c r="B137" s="1184">
        <v>3800000</v>
      </c>
      <c r="C137" s="252">
        <v>3800000</v>
      </c>
      <c r="D137" s="946">
        <f t="shared" si="3"/>
        <v>0</v>
      </c>
      <c r="E137" s="69"/>
      <c r="F137" s="70"/>
      <c r="G137" s="70"/>
      <c r="H137" s="71"/>
    </row>
    <row r="138" spans="1:8" s="72" customFormat="1" ht="30.75" customHeight="1" x14ac:dyDescent="0.25">
      <c r="A138" s="382" t="s">
        <v>871</v>
      </c>
      <c r="B138" s="1184">
        <v>3200000</v>
      </c>
      <c r="C138" s="252">
        <v>3200000</v>
      </c>
      <c r="D138" s="946">
        <f t="shared" si="3"/>
        <v>0</v>
      </c>
      <c r="E138" s="69"/>
      <c r="F138" s="70"/>
      <c r="G138" s="70"/>
      <c r="H138" s="71"/>
    </row>
    <row r="139" spans="1:8" s="72" customFormat="1" ht="21" customHeight="1" x14ac:dyDescent="0.25">
      <c r="A139" s="431" t="s">
        <v>679</v>
      </c>
      <c r="B139" s="384">
        <v>2564461</v>
      </c>
      <c r="C139" s="252">
        <v>2564461</v>
      </c>
      <c r="D139" s="946">
        <f t="shared" si="3"/>
        <v>0</v>
      </c>
      <c r="E139" s="69"/>
      <c r="F139" s="70"/>
      <c r="G139" s="70"/>
      <c r="H139" s="71"/>
    </row>
    <row r="140" spans="1:8" s="72" customFormat="1" ht="31.5" customHeight="1" x14ac:dyDescent="0.25">
      <c r="A140" s="800" t="s">
        <v>413</v>
      </c>
      <c r="B140" s="1253">
        <v>1000000</v>
      </c>
      <c r="C140" s="1254">
        <v>1000000</v>
      </c>
      <c r="D140" s="1255">
        <f>C140-B140</f>
        <v>0</v>
      </c>
      <c r="E140" s="69"/>
      <c r="F140" s="70"/>
      <c r="G140" s="70"/>
      <c r="H140" s="71"/>
    </row>
    <row r="141" spans="1:8" s="72" customFormat="1" ht="39" customHeight="1" x14ac:dyDescent="0.25">
      <c r="A141" s="432" t="s">
        <v>56</v>
      </c>
      <c r="B141" s="1184">
        <v>1500000</v>
      </c>
      <c r="C141" s="252">
        <v>1500000</v>
      </c>
      <c r="D141" s="937">
        <f t="shared" ref="D141:D192" si="4">C141-B141</f>
        <v>0</v>
      </c>
      <c r="E141" s="69"/>
      <c r="F141" s="70"/>
      <c r="G141" s="70"/>
      <c r="H141" s="71"/>
    </row>
    <row r="142" spans="1:8" s="72" customFormat="1" ht="30" x14ac:dyDescent="0.25">
      <c r="A142" s="1259" t="s">
        <v>57</v>
      </c>
      <c r="B142" s="1184">
        <v>25000000</v>
      </c>
      <c r="C142" s="252">
        <v>25000000</v>
      </c>
      <c r="D142" s="937">
        <f t="shared" si="4"/>
        <v>0</v>
      </c>
      <c r="E142" s="69"/>
      <c r="F142" s="70"/>
      <c r="G142" s="70"/>
      <c r="H142" s="71"/>
    </row>
    <row r="143" spans="1:8" s="72" customFormat="1" ht="30.75" customHeight="1" thickBot="1" x14ac:dyDescent="0.3">
      <c r="A143" s="1260" t="s">
        <v>831</v>
      </c>
      <c r="B143" s="1212">
        <v>5530000</v>
      </c>
      <c r="C143" s="804">
        <v>5530000</v>
      </c>
      <c r="D143" s="942">
        <f t="shared" si="4"/>
        <v>0</v>
      </c>
      <c r="E143" s="69"/>
      <c r="F143" s="70"/>
      <c r="G143" s="70"/>
      <c r="H143" s="71"/>
    </row>
    <row r="144" spans="1:8" s="72" customFormat="1" ht="40.5" customHeight="1" thickBot="1" x14ac:dyDescent="0.3">
      <c r="A144" s="513" t="s">
        <v>514</v>
      </c>
      <c r="B144" s="852" t="s">
        <v>191</v>
      </c>
      <c r="C144" s="767" t="s">
        <v>357</v>
      </c>
      <c r="D144" s="932" t="s">
        <v>358</v>
      </c>
      <c r="E144" s="69"/>
      <c r="F144" s="70"/>
      <c r="G144" s="70"/>
      <c r="H144" s="71"/>
    </row>
    <row r="145" spans="1:8" s="72" customFormat="1" ht="21" customHeight="1" x14ac:dyDescent="0.25">
      <c r="A145" s="482" t="s">
        <v>98</v>
      </c>
      <c r="B145" s="1184">
        <v>5500000</v>
      </c>
      <c r="C145" s="252">
        <v>5500000</v>
      </c>
      <c r="D145" s="937">
        <f t="shared" si="4"/>
        <v>0</v>
      </c>
      <c r="E145" s="69"/>
      <c r="F145" s="70"/>
      <c r="G145" s="70"/>
      <c r="H145" s="71"/>
    </row>
    <row r="146" spans="1:8" s="72" customFormat="1" ht="30" x14ac:dyDescent="0.25">
      <c r="A146" s="482" t="s">
        <v>412</v>
      </c>
      <c r="B146" s="1184">
        <v>7000000</v>
      </c>
      <c r="C146" s="252">
        <v>7000000</v>
      </c>
      <c r="D146" s="937">
        <f t="shared" si="4"/>
        <v>0</v>
      </c>
      <c r="E146" s="69"/>
      <c r="F146" s="70"/>
      <c r="G146" s="70"/>
      <c r="H146" s="71"/>
    </row>
    <row r="147" spans="1:8" s="72" customFormat="1" ht="30" x14ac:dyDescent="0.25">
      <c r="A147" s="800" t="s">
        <v>1008</v>
      </c>
      <c r="B147" s="1184"/>
      <c r="C147" s="252">
        <v>40000000</v>
      </c>
      <c r="D147" s="937">
        <f t="shared" si="4"/>
        <v>40000000</v>
      </c>
      <c r="E147" s="69"/>
      <c r="F147" s="70"/>
      <c r="G147" s="70"/>
      <c r="H147" s="71"/>
    </row>
    <row r="148" spans="1:8" s="72" customFormat="1" ht="21" customHeight="1" x14ac:dyDescent="0.25">
      <c r="A148" s="431" t="s">
        <v>441</v>
      </c>
      <c r="B148" s="1184">
        <v>1150000</v>
      </c>
      <c r="C148" s="252">
        <v>1150000</v>
      </c>
      <c r="D148" s="937">
        <f t="shared" si="4"/>
        <v>0</v>
      </c>
      <c r="E148" s="69"/>
      <c r="F148" s="70"/>
      <c r="G148" s="70"/>
      <c r="H148" s="71"/>
    </row>
    <row r="149" spans="1:8" s="72" customFormat="1" ht="21" customHeight="1" x14ac:dyDescent="0.25">
      <c r="A149" s="483" t="s">
        <v>125</v>
      </c>
      <c r="B149" s="384">
        <v>24000000</v>
      </c>
      <c r="C149" s="252">
        <v>0</v>
      </c>
      <c r="D149" s="937">
        <f t="shared" si="4"/>
        <v>-24000000</v>
      </c>
      <c r="E149" s="69"/>
      <c r="F149" s="70"/>
      <c r="G149" s="70"/>
      <c r="H149" s="71"/>
    </row>
    <row r="150" spans="1:8" s="72" customFormat="1" ht="30" x14ac:dyDescent="0.25">
      <c r="A150" s="483" t="s">
        <v>99</v>
      </c>
      <c r="B150" s="1184">
        <v>2000000</v>
      </c>
      <c r="C150" s="252">
        <v>2000000</v>
      </c>
      <c r="D150" s="937">
        <f t="shared" si="4"/>
        <v>0</v>
      </c>
      <c r="E150" s="69"/>
      <c r="F150" s="70"/>
      <c r="G150" s="70"/>
      <c r="H150" s="71"/>
    </row>
    <row r="151" spans="1:8" s="72" customFormat="1" ht="15" x14ac:dyDescent="0.25">
      <c r="A151" s="483" t="s">
        <v>371</v>
      </c>
      <c r="B151" s="1184"/>
      <c r="C151" s="252"/>
      <c r="D151" s="937">
        <f t="shared" si="4"/>
        <v>0</v>
      </c>
      <c r="E151" s="69"/>
      <c r="F151" s="70"/>
      <c r="G151" s="70"/>
      <c r="H151" s="71"/>
    </row>
    <row r="152" spans="1:8" s="72" customFormat="1" ht="15" x14ac:dyDescent="0.25">
      <c r="A152" s="483" t="s">
        <v>350</v>
      </c>
      <c r="B152" s="1184">
        <v>34000000</v>
      </c>
      <c r="C152" s="252">
        <v>34000000</v>
      </c>
      <c r="D152" s="937">
        <f t="shared" si="4"/>
        <v>0</v>
      </c>
      <c r="E152" s="69"/>
      <c r="F152" s="70"/>
      <c r="G152" s="70"/>
      <c r="H152" s="71"/>
    </row>
    <row r="153" spans="1:8" s="72" customFormat="1" ht="15" x14ac:dyDescent="0.25">
      <c r="A153" s="483" t="s">
        <v>352</v>
      </c>
      <c r="B153" s="1184">
        <v>50000000</v>
      </c>
      <c r="C153" s="252">
        <v>50000000</v>
      </c>
      <c r="D153" s="937">
        <f t="shared" si="4"/>
        <v>0</v>
      </c>
      <c r="E153" s="69"/>
      <c r="F153" s="70"/>
      <c r="G153" s="70"/>
      <c r="H153" s="71"/>
    </row>
    <row r="154" spans="1:8" s="72" customFormat="1" ht="15" x14ac:dyDescent="0.25">
      <c r="A154" s="483" t="s">
        <v>414</v>
      </c>
      <c r="B154" s="1184"/>
      <c r="C154" s="252"/>
      <c r="D154" s="937">
        <f t="shared" si="4"/>
        <v>0</v>
      </c>
      <c r="E154" s="69"/>
      <c r="F154" s="70"/>
      <c r="G154" s="70"/>
      <c r="H154" s="71"/>
    </row>
    <row r="155" spans="1:8" s="72" customFormat="1" ht="15" x14ac:dyDescent="0.25">
      <c r="A155" s="483" t="s">
        <v>415</v>
      </c>
      <c r="B155" s="1184">
        <v>7105000</v>
      </c>
      <c r="C155" s="252">
        <v>7105000</v>
      </c>
      <c r="D155" s="937">
        <f t="shared" si="4"/>
        <v>0</v>
      </c>
      <c r="E155" s="69"/>
      <c r="F155" s="70"/>
      <c r="G155" s="70"/>
      <c r="H155" s="71"/>
    </row>
    <row r="156" spans="1:8" s="72" customFormat="1" ht="15" x14ac:dyDescent="0.25">
      <c r="A156" s="483" t="s">
        <v>416</v>
      </c>
      <c r="B156" s="1184">
        <v>1500000</v>
      </c>
      <c r="C156" s="252">
        <v>1500000</v>
      </c>
      <c r="D156" s="937">
        <f t="shared" si="4"/>
        <v>0</v>
      </c>
      <c r="E156" s="69"/>
      <c r="F156" s="70"/>
      <c r="G156" s="70"/>
      <c r="H156" s="71"/>
    </row>
    <row r="157" spans="1:8" s="72" customFormat="1" ht="15" x14ac:dyDescent="0.25">
      <c r="A157" s="483" t="s">
        <v>417</v>
      </c>
      <c r="B157" s="1184">
        <v>9000000</v>
      </c>
      <c r="C157" s="252">
        <v>9000000</v>
      </c>
      <c r="D157" s="937">
        <f t="shared" si="4"/>
        <v>0</v>
      </c>
      <c r="E157" s="69"/>
      <c r="F157" s="70"/>
      <c r="G157" s="70"/>
      <c r="H157" s="71"/>
    </row>
    <row r="158" spans="1:8" s="72" customFormat="1" ht="15" x14ac:dyDescent="0.25">
      <c r="A158" s="483" t="s">
        <v>418</v>
      </c>
      <c r="B158" s="1184">
        <v>1000000</v>
      </c>
      <c r="C158" s="252">
        <v>1000000</v>
      </c>
      <c r="D158" s="937">
        <f t="shared" si="4"/>
        <v>0</v>
      </c>
      <c r="E158" s="69"/>
      <c r="F158" s="70"/>
      <c r="G158" s="70"/>
      <c r="H158" s="71"/>
    </row>
    <row r="159" spans="1:8" s="72" customFormat="1" ht="21" customHeight="1" x14ac:dyDescent="0.25">
      <c r="A159" s="433" t="s">
        <v>100</v>
      </c>
      <c r="B159" s="384"/>
      <c r="C159" s="252"/>
      <c r="D159" s="937">
        <f t="shared" si="4"/>
        <v>0</v>
      </c>
      <c r="E159" s="69"/>
      <c r="F159" s="70"/>
      <c r="G159" s="70"/>
      <c r="H159" s="71"/>
    </row>
    <row r="160" spans="1:8" s="72" customFormat="1" ht="21" customHeight="1" x14ac:dyDescent="0.25">
      <c r="A160" s="426" t="s">
        <v>101</v>
      </c>
      <c r="B160" s="1184">
        <v>135000</v>
      </c>
      <c r="C160" s="252">
        <v>135000</v>
      </c>
      <c r="D160" s="937">
        <f t="shared" si="4"/>
        <v>0</v>
      </c>
      <c r="E160" s="69"/>
      <c r="F160" s="70"/>
      <c r="G160" s="70"/>
      <c r="H160" s="71"/>
    </row>
    <row r="161" spans="1:9" s="72" customFormat="1" ht="21" customHeight="1" x14ac:dyDescent="0.25">
      <c r="A161" s="426" t="s">
        <v>102</v>
      </c>
      <c r="B161" s="1184">
        <v>210000</v>
      </c>
      <c r="C161" s="252">
        <v>210000</v>
      </c>
      <c r="D161" s="937">
        <f t="shared" si="4"/>
        <v>0</v>
      </c>
      <c r="E161" s="69"/>
      <c r="F161" s="70"/>
      <c r="G161" s="70"/>
      <c r="H161" s="71"/>
    </row>
    <row r="162" spans="1:9" s="72" customFormat="1" ht="21" customHeight="1" x14ac:dyDescent="0.25">
      <c r="A162" s="426" t="s">
        <v>103</v>
      </c>
      <c r="B162" s="1184">
        <v>210000</v>
      </c>
      <c r="C162" s="252">
        <v>210000</v>
      </c>
      <c r="D162" s="937">
        <f t="shared" si="4"/>
        <v>0</v>
      </c>
      <c r="E162" s="69"/>
      <c r="F162" s="70"/>
      <c r="G162" s="70"/>
      <c r="H162" s="71"/>
    </row>
    <row r="163" spans="1:9" s="72" customFormat="1" ht="21" customHeight="1" x14ac:dyDescent="0.25">
      <c r="A163" s="426" t="s">
        <v>104</v>
      </c>
      <c r="B163" s="1184">
        <v>315000</v>
      </c>
      <c r="C163" s="252">
        <v>315000</v>
      </c>
      <c r="D163" s="937">
        <f t="shared" si="4"/>
        <v>0</v>
      </c>
      <c r="E163" s="69"/>
      <c r="F163" s="70"/>
      <c r="G163" s="70"/>
      <c r="H163" s="71"/>
    </row>
    <row r="164" spans="1:9" s="72" customFormat="1" ht="21" customHeight="1" x14ac:dyDescent="0.25">
      <c r="A164" s="426" t="s">
        <v>105</v>
      </c>
      <c r="B164" s="1184">
        <v>180000</v>
      </c>
      <c r="C164" s="252">
        <v>180000</v>
      </c>
      <c r="D164" s="937">
        <f t="shared" si="4"/>
        <v>0</v>
      </c>
      <c r="E164" s="69"/>
      <c r="F164" s="70"/>
      <c r="G164" s="70"/>
      <c r="H164" s="71"/>
    </row>
    <row r="165" spans="1:9" s="72" customFormat="1" ht="21" customHeight="1" x14ac:dyDescent="0.25">
      <c r="A165" s="426" t="s">
        <v>106</v>
      </c>
      <c r="B165" s="1184">
        <v>120000</v>
      </c>
      <c r="C165" s="252">
        <v>120000</v>
      </c>
      <c r="D165" s="937">
        <f t="shared" si="4"/>
        <v>0</v>
      </c>
      <c r="E165" s="69"/>
      <c r="F165" s="70"/>
      <c r="G165" s="70"/>
      <c r="H165" s="71"/>
    </row>
    <row r="166" spans="1:9" s="72" customFormat="1" ht="19.5" customHeight="1" x14ac:dyDescent="0.25">
      <c r="A166" s="86" t="s">
        <v>58</v>
      </c>
      <c r="B166" s="1184">
        <f>SUM(B167:B180)</f>
        <v>17057964</v>
      </c>
      <c r="C166" s="252">
        <f>SUM(C167:C180)</f>
        <v>17057964</v>
      </c>
      <c r="D166" s="937">
        <f t="shared" si="4"/>
        <v>0</v>
      </c>
      <c r="E166" s="69"/>
      <c r="F166" s="70"/>
      <c r="G166" s="70"/>
      <c r="H166" s="71"/>
    </row>
    <row r="167" spans="1:9" s="72" customFormat="1" ht="18.75" customHeight="1" x14ac:dyDescent="0.25">
      <c r="A167" s="324" t="s">
        <v>699</v>
      </c>
      <c r="B167" s="1184">
        <v>0</v>
      </c>
      <c r="C167" s="252">
        <v>0</v>
      </c>
      <c r="D167" s="937">
        <f t="shared" si="4"/>
        <v>0</v>
      </c>
      <c r="E167" s="69"/>
      <c r="F167" s="70"/>
      <c r="G167" s="70"/>
      <c r="H167" s="71"/>
    </row>
    <row r="168" spans="1:9" s="72" customFormat="1" ht="17.25" customHeight="1" x14ac:dyDescent="0.25">
      <c r="A168" s="324" t="s">
        <v>700</v>
      </c>
      <c r="B168" s="1184">
        <v>0</v>
      </c>
      <c r="C168" s="252">
        <v>0</v>
      </c>
      <c r="D168" s="937">
        <f t="shared" si="4"/>
        <v>0</v>
      </c>
      <c r="E168" s="69"/>
      <c r="F168" s="70"/>
      <c r="G168" s="70"/>
      <c r="H168" s="71"/>
    </row>
    <row r="169" spans="1:9" s="72" customFormat="1" ht="18" customHeight="1" x14ac:dyDescent="0.25">
      <c r="A169" s="324" t="s">
        <v>701</v>
      </c>
      <c r="B169" s="1184">
        <v>0</v>
      </c>
      <c r="C169" s="252">
        <v>0</v>
      </c>
      <c r="D169" s="937">
        <f t="shared" si="4"/>
        <v>0</v>
      </c>
      <c r="E169" s="69"/>
      <c r="F169" s="70"/>
      <c r="G169" s="70"/>
      <c r="H169" s="71"/>
      <c r="I169" s="70"/>
    </row>
    <row r="170" spans="1:9" s="72" customFormat="1" ht="18" customHeight="1" x14ac:dyDescent="0.25">
      <c r="A170" s="324" t="s">
        <v>702</v>
      </c>
      <c r="B170" s="1184">
        <v>0</v>
      </c>
      <c r="C170" s="252">
        <v>0</v>
      </c>
      <c r="D170" s="937">
        <f t="shared" si="4"/>
        <v>0</v>
      </c>
      <c r="E170" s="69"/>
      <c r="F170" s="70"/>
      <c r="G170" s="70"/>
      <c r="H170" s="71"/>
    </row>
    <row r="171" spans="1:9" s="72" customFormat="1" ht="18" customHeight="1" x14ac:dyDescent="0.25">
      <c r="A171" s="324" t="s">
        <v>703</v>
      </c>
      <c r="B171" s="1184">
        <v>400000</v>
      </c>
      <c r="C171" s="252">
        <v>400000</v>
      </c>
      <c r="D171" s="937">
        <f t="shared" si="4"/>
        <v>0</v>
      </c>
      <c r="E171" s="69"/>
      <c r="F171" s="70"/>
      <c r="G171" s="70"/>
      <c r="H171" s="71"/>
    </row>
    <row r="172" spans="1:9" s="72" customFormat="1" ht="18" customHeight="1" x14ac:dyDescent="0.25">
      <c r="A172" s="324" t="s">
        <v>705</v>
      </c>
      <c r="B172" s="1184"/>
      <c r="C172" s="252"/>
      <c r="D172" s="937">
        <f t="shared" si="4"/>
        <v>0</v>
      </c>
      <c r="E172" s="69"/>
      <c r="F172" s="70"/>
      <c r="G172" s="70"/>
      <c r="H172" s="71"/>
    </row>
    <row r="173" spans="1:9" s="72" customFormat="1" ht="20.25" customHeight="1" x14ac:dyDescent="0.25">
      <c r="A173" s="324" t="s">
        <v>706</v>
      </c>
      <c r="B173" s="1184">
        <v>420000</v>
      </c>
      <c r="C173" s="252">
        <v>420000</v>
      </c>
      <c r="D173" s="937">
        <f t="shared" si="4"/>
        <v>0</v>
      </c>
      <c r="E173" s="69"/>
      <c r="F173" s="70"/>
      <c r="G173" s="70"/>
      <c r="H173" s="71"/>
    </row>
    <row r="174" spans="1:9" s="72" customFormat="1" ht="17.25" customHeight="1" x14ac:dyDescent="0.25">
      <c r="A174" s="324" t="s">
        <v>707</v>
      </c>
      <c r="B174" s="1184">
        <v>998528</v>
      </c>
      <c r="C174" s="252">
        <v>998528</v>
      </c>
      <c r="D174" s="937">
        <f t="shared" si="4"/>
        <v>0</v>
      </c>
      <c r="E174" s="69"/>
      <c r="F174" s="70"/>
      <c r="G174" s="70"/>
      <c r="H174" s="71"/>
    </row>
    <row r="175" spans="1:9" s="72" customFormat="1" ht="16.5" customHeight="1" x14ac:dyDescent="0.25">
      <c r="A175" s="324" t="s">
        <v>708</v>
      </c>
      <c r="B175" s="1184">
        <v>240000</v>
      </c>
      <c r="C175" s="252">
        <v>240000</v>
      </c>
      <c r="D175" s="937">
        <f t="shared" si="4"/>
        <v>0</v>
      </c>
      <c r="E175" s="69"/>
      <c r="F175" s="70"/>
      <c r="G175" s="70"/>
      <c r="H175" s="71"/>
    </row>
    <row r="176" spans="1:9" s="72" customFormat="1" ht="18" customHeight="1" x14ac:dyDescent="0.25">
      <c r="A176" s="324" t="s">
        <v>709</v>
      </c>
      <c r="B176" s="1184">
        <v>2992796</v>
      </c>
      <c r="C176" s="252">
        <v>2992796</v>
      </c>
      <c r="D176" s="937">
        <f t="shared" si="4"/>
        <v>0</v>
      </c>
      <c r="E176" s="69"/>
      <c r="F176" s="70"/>
      <c r="G176" s="70"/>
      <c r="H176" s="71"/>
    </row>
    <row r="177" spans="1:8" s="72" customFormat="1" ht="18" customHeight="1" x14ac:dyDescent="0.25">
      <c r="A177" s="324" t="s">
        <v>710</v>
      </c>
      <c r="B177" s="1184">
        <v>1589260</v>
      </c>
      <c r="C177" s="252">
        <v>1589260</v>
      </c>
      <c r="D177" s="937">
        <f t="shared" si="4"/>
        <v>0</v>
      </c>
      <c r="E177" s="69"/>
      <c r="F177" s="70"/>
      <c r="G177" s="70"/>
      <c r="H177" s="71"/>
    </row>
    <row r="178" spans="1:8" s="72" customFormat="1" ht="17.25" customHeight="1" x14ac:dyDescent="0.25">
      <c r="A178" s="324" t="s">
        <v>711</v>
      </c>
      <c r="B178" s="1184">
        <v>2780920</v>
      </c>
      <c r="C178" s="252">
        <v>2780920</v>
      </c>
      <c r="D178" s="937">
        <f t="shared" si="4"/>
        <v>0</v>
      </c>
      <c r="E178" s="69"/>
      <c r="F178" s="70"/>
      <c r="G178" s="70"/>
      <c r="H178" s="71"/>
    </row>
    <row r="179" spans="1:8" s="72" customFormat="1" ht="17.25" customHeight="1" x14ac:dyDescent="0.25">
      <c r="A179" s="324" t="s">
        <v>712</v>
      </c>
      <c r="B179" s="1184">
        <v>4638940</v>
      </c>
      <c r="C179" s="252">
        <v>4638940</v>
      </c>
      <c r="D179" s="937">
        <f t="shared" si="4"/>
        <v>0</v>
      </c>
      <c r="E179" s="69"/>
      <c r="F179" s="70"/>
      <c r="G179" s="70"/>
      <c r="H179" s="71"/>
    </row>
    <row r="180" spans="1:8" s="72" customFormat="1" ht="17.25" customHeight="1" x14ac:dyDescent="0.25">
      <c r="A180" s="327" t="s">
        <v>713</v>
      </c>
      <c r="B180" s="1184">
        <v>2997520</v>
      </c>
      <c r="C180" s="252">
        <v>2997520</v>
      </c>
      <c r="D180" s="937">
        <f t="shared" si="4"/>
        <v>0</v>
      </c>
      <c r="E180" s="69"/>
      <c r="F180" s="70"/>
      <c r="G180" s="70"/>
      <c r="H180" s="71"/>
    </row>
    <row r="181" spans="1:8" s="130" customFormat="1" ht="20.25" customHeight="1" x14ac:dyDescent="0.3">
      <c r="A181" s="325" t="s">
        <v>714</v>
      </c>
      <c r="B181" s="949">
        <f>B125+B120+B111+B119</f>
        <v>518990164</v>
      </c>
      <c r="C181" s="326">
        <f>C125+C120+C111+C119</f>
        <v>558790164</v>
      </c>
      <c r="D181" s="955">
        <f t="shared" si="4"/>
        <v>39800000</v>
      </c>
      <c r="E181" s="127"/>
      <c r="F181" s="128"/>
      <c r="G181" s="128"/>
      <c r="H181" s="129"/>
    </row>
    <row r="182" spans="1:8" s="130" customFormat="1" ht="18" customHeight="1" thickBot="1" x14ac:dyDescent="0.35">
      <c r="A182" s="87" t="s">
        <v>715</v>
      </c>
      <c r="B182" s="939">
        <f>SUM(B181+B108)</f>
        <v>4915470643</v>
      </c>
      <c r="C182" s="253">
        <f>SUM(C181+C108)</f>
        <v>5765224468</v>
      </c>
      <c r="D182" s="940">
        <f t="shared" si="4"/>
        <v>849753825</v>
      </c>
      <c r="E182" s="127"/>
      <c r="F182" s="128"/>
      <c r="G182" s="128"/>
      <c r="H182" s="129"/>
    </row>
    <row r="183" spans="1:8" s="130" customFormat="1" ht="18" customHeight="1" x14ac:dyDescent="0.3">
      <c r="A183" s="107" t="s">
        <v>716</v>
      </c>
      <c r="B183" s="1186"/>
      <c r="C183" s="363"/>
      <c r="D183" s="954">
        <f t="shared" si="4"/>
        <v>0</v>
      </c>
      <c r="E183" s="127"/>
      <c r="F183" s="128"/>
      <c r="G183" s="128"/>
      <c r="H183" s="129"/>
    </row>
    <row r="184" spans="1:8" s="77" customFormat="1" ht="21" customHeight="1" x14ac:dyDescent="0.25">
      <c r="A184" s="86" t="s">
        <v>717</v>
      </c>
      <c r="B184" s="361">
        <v>74242424</v>
      </c>
      <c r="C184" s="361">
        <v>74242424</v>
      </c>
      <c r="D184" s="937">
        <f t="shared" si="4"/>
        <v>0</v>
      </c>
      <c r="E184" s="74"/>
      <c r="F184" s="75"/>
      <c r="G184" s="75"/>
      <c r="H184" s="76"/>
    </row>
    <row r="185" spans="1:8" s="77" customFormat="1" ht="21" customHeight="1" x14ac:dyDescent="0.25">
      <c r="A185" s="86" t="s">
        <v>680</v>
      </c>
      <c r="B185" s="361">
        <v>1000000000</v>
      </c>
      <c r="C185" s="361">
        <v>1460000000</v>
      </c>
      <c r="D185" s="937">
        <f t="shared" si="4"/>
        <v>460000000</v>
      </c>
      <c r="E185" s="74"/>
      <c r="F185" s="75"/>
      <c r="G185" s="75"/>
      <c r="H185" s="76"/>
    </row>
    <row r="186" spans="1:8" s="77" customFormat="1" ht="21" customHeight="1" thickBot="1" x14ac:dyDescent="0.3">
      <c r="A186" s="404" t="s">
        <v>1</v>
      </c>
      <c r="B186" s="1211">
        <f>33051776+12800000</f>
        <v>45851776</v>
      </c>
      <c r="C186" s="1211">
        <v>45851776</v>
      </c>
      <c r="D186" s="942">
        <f t="shared" si="4"/>
        <v>0</v>
      </c>
      <c r="E186" s="74"/>
      <c r="F186" s="75"/>
      <c r="G186" s="75"/>
      <c r="H186" s="76"/>
    </row>
    <row r="187" spans="1:8" s="130" customFormat="1" ht="18" customHeight="1" thickBot="1" x14ac:dyDescent="0.35">
      <c r="A187" s="1252" t="s">
        <v>718</v>
      </c>
      <c r="B187" s="405">
        <f>SUM(B184:B186)</f>
        <v>1120094200</v>
      </c>
      <c r="C187" s="405">
        <f>SUM(C184:C186)</f>
        <v>1580094200</v>
      </c>
      <c r="D187" s="1210">
        <f t="shared" si="4"/>
        <v>460000000</v>
      </c>
      <c r="E187" s="127"/>
      <c r="F187" s="128"/>
      <c r="G187" s="128"/>
      <c r="H187" s="129"/>
    </row>
    <row r="188" spans="1:8" s="72" customFormat="1" ht="18" customHeight="1" x14ac:dyDescent="0.3">
      <c r="A188" s="107" t="s">
        <v>719</v>
      </c>
      <c r="B188" s="1187"/>
      <c r="C188" s="363"/>
      <c r="D188" s="1189">
        <f t="shared" si="4"/>
        <v>0</v>
      </c>
      <c r="E188" s="69"/>
      <c r="F188" s="70"/>
      <c r="G188" s="70"/>
      <c r="H188" s="71"/>
    </row>
    <row r="189" spans="1:8" s="72" customFormat="1" ht="18" customHeight="1" x14ac:dyDescent="0.3">
      <c r="A189" s="328" t="s">
        <v>83</v>
      </c>
      <c r="B189" s="1188">
        <f>'6.sz.tábla '!B117</f>
        <v>32399430</v>
      </c>
      <c r="C189" s="1188">
        <f>'6.sz.tábla '!C117</f>
        <v>32399430</v>
      </c>
      <c r="D189" s="955">
        <f t="shared" si="4"/>
        <v>0</v>
      </c>
      <c r="E189" s="69"/>
      <c r="F189" s="70"/>
      <c r="G189" s="70"/>
      <c r="H189" s="71"/>
    </row>
    <row r="190" spans="1:8" s="72" customFormat="1" ht="18" customHeight="1" x14ac:dyDescent="0.3">
      <c r="A190" s="325" t="s">
        <v>720</v>
      </c>
      <c r="B190" s="1188">
        <f>'6.sz.tábla '!B118</f>
        <v>31750000</v>
      </c>
      <c r="C190" s="1188">
        <f>'6.sz.tábla '!C118</f>
        <v>31750000</v>
      </c>
      <c r="D190" s="955">
        <f t="shared" si="4"/>
        <v>0</v>
      </c>
      <c r="E190" s="69"/>
      <c r="F190" s="70"/>
      <c r="G190" s="70"/>
      <c r="H190" s="71"/>
    </row>
    <row r="191" spans="1:8" s="72" customFormat="1" ht="18" customHeight="1" x14ac:dyDescent="0.3">
      <c r="A191" s="325" t="s">
        <v>721</v>
      </c>
      <c r="B191" s="1188">
        <f>'6.sz.tábla '!B113</f>
        <v>9000000</v>
      </c>
      <c r="C191" s="1188">
        <f>'6.sz.tábla '!C113</f>
        <v>9000000</v>
      </c>
      <c r="D191" s="955">
        <f t="shared" si="4"/>
        <v>0</v>
      </c>
      <c r="E191" s="69"/>
      <c r="F191" s="70"/>
      <c r="G191" s="70"/>
      <c r="H191" s="71"/>
    </row>
    <row r="192" spans="1:8" s="130" customFormat="1" ht="18" customHeight="1" thickBot="1" x14ac:dyDescent="0.35">
      <c r="A192" s="87" t="s">
        <v>82</v>
      </c>
      <c r="B192" s="437">
        <f>SUM(B189:B191)</f>
        <v>73149430</v>
      </c>
      <c r="C192" s="437">
        <f>SUM(C189:C191)</f>
        <v>73149430</v>
      </c>
      <c r="D192" s="940">
        <f t="shared" si="4"/>
        <v>0</v>
      </c>
      <c r="E192" s="127"/>
      <c r="F192" s="128"/>
      <c r="G192" s="128"/>
      <c r="H192" s="129"/>
    </row>
  </sheetData>
  <sheetProtection selectLockedCells="1" selectUnlockedCells="1"/>
  <mergeCells count="1">
    <mergeCell ref="A1:D1"/>
  </mergeCells>
  <phoneticPr fontId="27" type="noConversion"/>
  <printOptions horizontalCentered="1"/>
  <pageMargins left="0.24027777777777778" right="0.24027777777777778" top="0.70833333333333326" bottom="0.31527777777777777" header="0.19652777777777777" footer="0.51180555555555551"/>
  <pageSetup paperSize="9" scale="78" firstPageNumber="0" orientation="portrait" r:id="rId1"/>
  <headerFooter alignWithMargins="0">
    <oddHeader>&amp;C
7. melléklet 
az önkormányzat 2018. évi költségvetéséről szóló 11/2018. (III.01.) önkormányzati rendelethez&amp;R&amp;P. oldal</oddHeader>
  </headerFooter>
  <rowBreaks count="4" manualBreakCount="4">
    <brk id="43" max="3" man="1"/>
    <brk id="73" max="3" man="1"/>
    <brk id="108" max="3" man="1"/>
    <brk id="143" max="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5"/>
  </sheetPr>
  <dimension ref="A2:L62"/>
  <sheetViews>
    <sheetView view="pageLayout" topLeftCell="B1" zoomScale="88" zoomScaleNormal="100" zoomScaleSheetLayoutView="89" zoomScalePageLayoutView="88" workbookViewId="0">
      <selection activeCell="A48" sqref="A48:H48"/>
    </sheetView>
  </sheetViews>
  <sheetFormatPr defaultColWidth="9.109375" defaultRowHeight="13.8" x14ac:dyDescent="0.25"/>
  <cols>
    <col min="1" max="1" width="45.6640625" style="764" customWidth="1"/>
    <col min="2" max="2" width="18.88671875" style="766" customWidth="1"/>
    <col min="3" max="3" width="17.88671875" style="766" customWidth="1"/>
    <col min="4" max="4" width="18.88671875" style="766" customWidth="1"/>
    <col min="5" max="5" width="45.88671875" style="764" customWidth="1"/>
    <col min="6" max="6" width="19" style="766" customWidth="1"/>
    <col min="7" max="7" width="21.44140625" style="766" customWidth="1"/>
    <col min="8" max="8" width="19" style="766" customWidth="1"/>
    <col min="9" max="9" width="9.109375" style="10"/>
    <col min="10" max="10" width="11.88671875" style="10" customWidth="1"/>
    <col min="11" max="11" width="9.109375" style="10"/>
    <col min="12" max="12" width="12.33203125" style="10" customWidth="1"/>
    <col min="13" max="16384" width="9.109375" style="10"/>
  </cols>
  <sheetData>
    <row r="2" spans="1:12" x14ac:dyDescent="0.25">
      <c r="C2" s="1739"/>
      <c r="D2" s="1739"/>
      <c r="E2" s="1739"/>
      <c r="F2" s="1739"/>
      <c r="G2" s="1739"/>
      <c r="H2" s="1739"/>
    </row>
    <row r="4" spans="1:12" ht="15.75" customHeight="1" x14ac:dyDescent="0.3">
      <c r="A4" s="1738" t="s">
        <v>193</v>
      </c>
      <c r="B4" s="1738"/>
      <c r="C4" s="1738"/>
      <c r="D4" s="1738"/>
      <c r="E4" s="1738"/>
      <c r="F4" s="1738"/>
      <c r="G4" s="1738"/>
      <c r="H4" s="1738"/>
    </row>
    <row r="5" spans="1:12" ht="14.4" thickBot="1" x14ac:dyDescent="0.3"/>
    <row r="6" spans="1:12" s="78" customFormat="1" ht="28.2" thickBot="1" x14ac:dyDescent="0.3">
      <c r="A6" s="398" t="s">
        <v>722</v>
      </c>
      <c r="B6" s="886" t="s">
        <v>191</v>
      </c>
      <c r="C6" s="887" t="s">
        <v>357</v>
      </c>
      <c r="D6" s="932" t="s">
        <v>358</v>
      </c>
      <c r="E6" s="398" t="s">
        <v>723</v>
      </c>
      <c r="F6" s="768" t="s">
        <v>191</v>
      </c>
      <c r="G6" s="887" t="s">
        <v>357</v>
      </c>
      <c r="H6" s="932" t="s">
        <v>358</v>
      </c>
    </row>
    <row r="7" spans="1:12" ht="26.25" customHeight="1" x14ac:dyDescent="0.25">
      <c r="A7" s="223" t="s">
        <v>724</v>
      </c>
      <c r="B7" s="1067">
        <f>'2.sz.tábla   (2)'!K7</f>
        <v>1311563771</v>
      </c>
      <c r="C7" s="957">
        <f>'2.sz.tábla   (2)'!L7</f>
        <v>1334532099</v>
      </c>
      <c r="D7" s="329">
        <f>C7-B7</f>
        <v>22968328</v>
      </c>
      <c r="E7" s="407" t="s">
        <v>572</v>
      </c>
      <c r="F7" s="1067">
        <f>'4.sz.tábla '!B13</f>
        <v>605682643</v>
      </c>
      <c r="G7" s="957">
        <f>'4.sz.tábla '!C13</f>
        <v>630111359</v>
      </c>
      <c r="H7" s="329">
        <f>G7-F7</f>
        <v>24428716</v>
      </c>
    </row>
    <row r="8" spans="1:12" x14ac:dyDescent="0.25">
      <c r="A8" s="224" t="s">
        <v>725</v>
      </c>
      <c r="B8" s="1068">
        <f>'2.sz.tábla   (2)'!K30</f>
        <v>1755525000</v>
      </c>
      <c r="C8" s="241">
        <f>'2.sz.tábla   (2)'!L30</f>
        <v>1755525000</v>
      </c>
      <c r="D8" s="236">
        <f>C8-B8</f>
        <v>0</v>
      </c>
      <c r="E8" s="408" t="s">
        <v>726</v>
      </c>
      <c r="F8" s="1068">
        <f>'4.sz.tábla '!E13</f>
        <v>124115303</v>
      </c>
      <c r="G8" s="241">
        <f>'4.sz.tábla '!F13</f>
        <v>131563198</v>
      </c>
      <c r="H8" s="236">
        <f>G8-F8</f>
        <v>7447895</v>
      </c>
    </row>
    <row r="9" spans="1:12" ht="15" x14ac:dyDescent="0.25">
      <c r="A9" s="124" t="s">
        <v>727</v>
      </c>
      <c r="B9" s="1068">
        <f>'2.sz.tábla   (2)'!K43-B33</f>
        <v>755253068</v>
      </c>
      <c r="C9" s="241">
        <f>'2.sz.tábla   (2)'!L43-C33</f>
        <v>759583595</v>
      </c>
      <c r="D9" s="236">
        <f t="shared" ref="D9:D25" si="0">C9-B9</f>
        <v>4330527</v>
      </c>
      <c r="E9" s="408" t="s">
        <v>730</v>
      </c>
      <c r="F9" s="1068">
        <f>'4.sz.tábla '!H13</f>
        <v>1002553380</v>
      </c>
      <c r="G9" s="241">
        <f>'4.sz.tábla '!I13</f>
        <v>1069409866</v>
      </c>
      <c r="H9" s="236">
        <f t="shared" ref="H9:H25" si="1">G9-F9</f>
        <v>66856486</v>
      </c>
      <c r="J9" s="8"/>
      <c r="K9" s="9"/>
      <c r="L9" s="9"/>
    </row>
    <row r="10" spans="1:12" ht="27.6" x14ac:dyDescent="0.25">
      <c r="A10" s="224" t="s">
        <v>731</v>
      </c>
      <c r="B10" s="1068">
        <f>'2.sz.tábla   (2)'!K66</f>
        <v>0</v>
      </c>
      <c r="C10" s="241">
        <f>'2.sz.tábla   (2)'!L66</f>
        <v>16578317</v>
      </c>
      <c r="D10" s="236">
        <f t="shared" si="0"/>
        <v>16578317</v>
      </c>
      <c r="E10" s="290" t="s">
        <v>591</v>
      </c>
      <c r="F10" s="1068">
        <f>'4.sz.tábla '!K13</f>
        <v>29774000</v>
      </c>
      <c r="G10" s="241">
        <f>'4.sz.tábla '!L13</f>
        <v>29774000</v>
      </c>
      <c r="H10" s="236">
        <f t="shared" si="1"/>
        <v>0</v>
      </c>
    </row>
    <row r="11" spans="1:12" x14ac:dyDescent="0.25">
      <c r="A11" s="170"/>
      <c r="B11" s="1068"/>
      <c r="C11" s="241"/>
      <c r="D11" s="236"/>
      <c r="E11" s="408" t="s">
        <v>570</v>
      </c>
      <c r="F11" s="1069">
        <f>SUM(F12:F15)</f>
        <v>1171966248</v>
      </c>
      <c r="G11" s="239">
        <f>SUM(G12:G15)</f>
        <v>1183961970</v>
      </c>
      <c r="H11" s="236">
        <f t="shared" si="1"/>
        <v>11995722</v>
      </c>
    </row>
    <row r="12" spans="1:12" x14ac:dyDescent="0.25">
      <c r="A12" s="170"/>
      <c r="B12" s="1068"/>
      <c r="C12" s="241"/>
      <c r="D12" s="236"/>
      <c r="E12" s="408" t="s">
        <v>811</v>
      </c>
      <c r="F12" s="1068">
        <f>'5.tábla (2)'!B111</f>
        <v>0</v>
      </c>
      <c r="G12" s="241">
        <f>'5.tábla (2)'!C111</f>
        <v>2877449</v>
      </c>
      <c r="H12" s="236">
        <f t="shared" si="1"/>
        <v>2877449</v>
      </c>
    </row>
    <row r="13" spans="1:12" ht="27.6" x14ac:dyDescent="0.25">
      <c r="A13" s="224"/>
      <c r="B13" s="1068"/>
      <c r="C13" s="241"/>
      <c r="D13" s="236"/>
      <c r="E13" s="408" t="s">
        <v>812</v>
      </c>
      <c r="F13" s="1068">
        <f>'5.tábla (2)'!B115+'5.tábla (2)'!B19</f>
        <v>492708414</v>
      </c>
      <c r="G13" s="241">
        <f>'5.tábla (2)'!C115+'5.tábla (2)'!C19</f>
        <v>486113353</v>
      </c>
      <c r="H13" s="236">
        <f t="shared" si="1"/>
        <v>-6595061</v>
      </c>
    </row>
    <row r="14" spans="1:12" ht="27.6" x14ac:dyDescent="0.25">
      <c r="A14" s="225"/>
      <c r="B14" s="1068"/>
      <c r="C14" s="241"/>
      <c r="D14" s="236"/>
      <c r="E14" s="409" t="s">
        <v>813</v>
      </c>
      <c r="F14" s="1068">
        <f>'5.tábla (2)'!B119</f>
        <v>679257834</v>
      </c>
      <c r="G14" s="241">
        <f>'5.tábla (2)'!C119</f>
        <v>694971168</v>
      </c>
      <c r="H14" s="236">
        <f t="shared" si="1"/>
        <v>15713334</v>
      </c>
    </row>
    <row r="15" spans="1:12" ht="27.6" x14ac:dyDescent="0.25">
      <c r="A15" s="224"/>
      <c r="B15" s="1068"/>
      <c r="C15" s="241"/>
      <c r="D15" s="236"/>
      <c r="E15" s="408" t="s">
        <v>814</v>
      </c>
      <c r="F15" s="1068">
        <f>'5.tábla (2)'!B117</f>
        <v>0</v>
      </c>
      <c r="G15" s="241">
        <f>'5.tábla (2)'!C117</f>
        <v>0</v>
      </c>
      <c r="H15" s="236">
        <f t="shared" si="1"/>
        <v>0</v>
      </c>
    </row>
    <row r="16" spans="1:12" x14ac:dyDescent="0.25">
      <c r="A16" s="170"/>
      <c r="B16" s="1068"/>
      <c r="C16" s="241"/>
      <c r="D16" s="236"/>
      <c r="E16" s="290" t="s">
        <v>803</v>
      </c>
      <c r="F16" s="1068">
        <f>'1.sz.tábla   (2)'!B30-'8. sz. tábla  (3)'!F38</f>
        <v>407759876</v>
      </c>
      <c r="G16" s="241">
        <f>'1.sz.tábla   (2)'!C30-'8. sz. tábla  (3)'!G38</f>
        <v>172072054</v>
      </c>
      <c r="H16" s="236">
        <f t="shared" si="1"/>
        <v>-235687822</v>
      </c>
    </row>
    <row r="17" spans="1:8" s="2" customFormat="1" x14ac:dyDescent="0.25">
      <c r="A17" s="171" t="s">
        <v>732</v>
      </c>
      <c r="B17" s="1070">
        <f>SUM(B7:B16)</f>
        <v>3822341839</v>
      </c>
      <c r="C17" s="237">
        <f>SUM(C7:C16)</f>
        <v>3866219011</v>
      </c>
      <c r="D17" s="246">
        <f t="shared" si="0"/>
        <v>43877172</v>
      </c>
      <c r="E17" s="410" t="s">
        <v>733</v>
      </c>
      <c r="F17" s="1070">
        <f>F7+F8+F9+F10+F11+F16</f>
        <v>3341851450</v>
      </c>
      <c r="G17" s="237">
        <f>G7+G8+G9+G10+G11+G16</f>
        <v>3216892447</v>
      </c>
      <c r="H17" s="246">
        <f t="shared" si="1"/>
        <v>-124959003</v>
      </c>
    </row>
    <row r="18" spans="1:8" s="2" customFormat="1" x14ac:dyDescent="0.25">
      <c r="A18" s="171" t="s">
        <v>734</v>
      </c>
      <c r="B18" s="1070">
        <f>B17-F17</f>
        <v>480490389</v>
      </c>
      <c r="C18" s="237">
        <f>C17-G17</f>
        <v>649326564</v>
      </c>
      <c r="D18" s="246">
        <f t="shared" si="0"/>
        <v>168836175</v>
      </c>
      <c r="E18" s="411" t="s">
        <v>735</v>
      </c>
      <c r="F18" s="1071"/>
      <c r="G18" s="237"/>
      <c r="H18" s="246">
        <f t="shared" si="1"/>
        <v>0</v>
      </c>
    </row>
    <row r="19" spans="1:8" s="2" customFormat="1" ht="27.6" x14ac:dyDescent="0.25">
      <c r="A19" s="226" t="s">
        <v>736</v>
      </c>
      <c r="B19" s="1070">
        <f>SUM(B20)</f>
        <v>177134064</v>
      </c>
      <c r="C19" s="237">
        <f>SUM(C20)</f>
        <v>503018113</v>
      </c>
      <c r="D19" s="246">
        <f t="shared" si="0"/>
        <v>325884049</v>
      </c>
      <c r="E19" s="411" t="s">
        <v>737</v>
      </c>
      <c r="F19" s="1070">
        <f>SUM(F20:F23)</f>
        <v>45851776</v>
      </c>
      <c r="G19" s="237">
        <f>SUM(G20:G23)</f>
        <v>1505851776</v>
      </c>
      <c r="H19" s="246">
        <f t="shared" si="1"/>
        <v>1460000000</v>
      </c>
    </row>
    <row r="20" spans="1:8" ht="27.6" x14ac:dyDescent="0.25">
      <c r="A20" s="170" t="s">
        <v>738</v>
      </c>
      <c r="B20" s="1068">
        <f>'2.sz.tábla   (2)'!K77</f>
        <v>177134064</v>
      </c>
      <c r="C20" s="241">
        <f>'2.sz.tábla   (2)'!L77</f>
        <v>503018113</v>
      </c>
      <c r="D20" s="236">
        <f t="shared" si="0"/>
        <v>325884049</v>
      </c>
      <c r="E20" s="408" t="s">
        <v>355</v>
      </c>
      <c r="F20" s="1068">
        <f>'7. sz. tábla 1'!B186</f>
        <v>45851776</v>
      </c>
      <c r="G20" s="241">
        <f>'7. sz. tábla 1'!C186</f>
        <v>45851776</v>
      </c>
      <c r="H20" s="236">
        <f t="shared" si="1"/>
        <v>0</v>
      </c>
    </row>
    <row r="21" spans="1:8" s="2" customFormat="1" ht="27.6" x14ac:dyDescent="0.25">
      <c r="A21" s="171" t="s">
        <v>739</v>
      </c>
      <c r="B21" s="1217">
        <f>SUM(B22:B24)</f>
        <v>12800000</v>
      </c>
      <c r="C21" s="1218">
        <f>SUM(C22:C24)</f>
        <v>1472800000</v>
      </c>
      <c r="D21" s="246">
        <f t="shared" si="0"/>
        <v>1460000000</v>
      </c>
      <c r="E21" s="411" t="s">
        <v>815</v>
      </c>
      <c r="F21" s="1071"/>
      <c r="G21" s="237"/>
      <c r="H21" s="236">
        <f t="shared" si="1"/>
        <v>0</v>
      </c>
    </row>
    <row r="22" spans="1:8" x14ac:dyDescent="0.25">
      <c r="A22" s="221" t="s">
        <v>740</v>
      </c>
      <c r="B22" s="1068"/>
      <c r="C22" s="239">
        <f>'2.sz.tábla   (2)'!C85-'8. sz. tábla  (3)'!C44</f>
        <v>1460000000</v>
      </c>
      <c r="D22" s="236">
        <f t="shared" si="0"/>
        <v>1460000000</v>
      </c>
      <c r="E22" s="408" t="s">
        <v>835</v>
      </c>
      <c r="F22" s="1068"/>
      <c r="G22" s="237"/>
      <c r="H22" s="236">
        <f t="shared" si="1"/>
        <v>0</v>
      </c>
    </row>
    <row r="23" spans="1:8" x14ac:dyDescent="0.25">
      <c r="A23" s="170" t="s">
        <v>741</v>
      </c>
      <c r="B23" s="1068"/>
      <c r="C23" s="239"/>
      <c r="D23" s="236">
        <f t="shared" si="0"/>
        <v>0</v>
      </c>
      <c r="E23" s="409" t="s">
        <v>833</v>
      </c>
      <c r="F23" s="1068"/>
      <c r="G23" s="330">
        <f>'7. sz. tábla 1'!C185-G42</f>
        <v>1460000000</v>
      </c>
      <c r="H23" s="236">
        <f t="shared" si="1"/>
        <v>1460000000</v>
      </c>
    </row>
    <row r="24" spans="1:8" ht="27.6" x14ac:dyDescent="0.25">
      <c r="A24" s="221" t="s">
        <v>834</v>
      </c>
      <c r="B24" s="1068">
        <f>'2.sz.tábla   (2)'!K90</f>
        <v>12800000</v>
      </c>
      <c r="C24" s="241">
        <f>'2.sz.tábla   (2)'!L90</f>
        <v>12800000</v>
      </c>
      <c r="D24" s="236">
        <f t="shared" si="0"/>
        <v>0</v>
      </c>
      <c r="E24" s="1269"/>
      <c r="F24" s="1068"/>
      <c r="G24" s="330"/>
      <c r="H24" s="236">
        <f t="shared" si="1"/>
        <v>0</v>
      </c>
    </row>
    <row r="25" spans="1:8" s="2" customFormat="1" ht="14.4" thickBot="1" x14ac:dyDescent="0.3">
      <c r="A25" s="172" t="s">
        <v>742</v>
      </c>
      <c r="B25" s="1072">
        <f>B17+B19+B21</f>
        <v>4012275903</v>
      </c>
      <c r="C25" s="238">
        <f>C17+C19+C21</f>
        <v>5842037124</v>
      </c>
      <c r="D25" s="251">
        <f t="shared" si="0"/>
        <v>1829761221</v>
      </c>
      <c r="E25" s="172" t="s">
        <v>743</v>
      </c>
      <c r="F25" s="1072">
        <f>F19+F17</f>
        <v>3387703226</v>
      </c>
      <c r="G25" s="238">
        <f>G19+G17</f>
        <v>4722744223</v>
      </c>
      <c r="H25" s="251">
        <f t="shared" si="1"/>
        <v>1335040997</v>
      </c>
    </row>
    <row r="26" spans="1:8" x14ac:dyDescent="0.25">
      <c r="A26" s="691"/>
      <c r="B26" s="1267"/>
      <c r="C26" s="1267"/>
      <c r="D26" s="1267"/>
      <c r="E26" s="691"/>
      <c r="F26" s="1268"/>
      <c r="G26" s="1268"/>
      <c r="H26" s="1267"/>
    </row>
    <row r="27" spans="1:8" ht="15.75" customHeight="1" x14ac:dyDescent="0.3">
      <c r="A27" s="1738" t="s">
        <v>195</v>
      </c>
      <c r="B27" s="1738"/>
      <c r="C27" s="1738"/>
      <c r="D27" s="1738"/>
      <c r="E27" s="1738"/>
      <c r="F27" s="1738"/>
      <c r="G27" s="1738"/>
      <c r="H27" s="1738"/>
    </row>
    <row r="28" spans="1:8" ht="14.4" thickBot="1" x14ac:dyDescent="0.3"/>
    <row r="29" spans="1:8" s="78" customFormat="1" ht="28.2" thickBot="1" x14ac:dyDescent="0.3">
      <c r="A29" s="398" t="s">
        <v>744</v>
      </c>
      <c r="B29" s="886" t="s">
        <v>191</v>
      </c>
      <c r="C29" s="887" t="s">
        <v>357</v>
      </c>
      <c r="D29" s="932" t="s">
        <v>358</v>
      </c>
      <c r="E29" s="398" t="s">
        <v>745</v>
      </c>
      <c r="F29" s="886" t="s">
        <v>191</v>
      </c>
      <c r="G29" s="887" t="s">
        <v>357</v>
      </c>
      <c r="H29" s="932" t="s">
        <v>358</v>
      </c>
    </row>
    <row r="30" spans="1:8" ht="27.6" x14ac:dyDescent="0.25">
      <c r="A30" s="223" t="s">
        <v>746</v>
      </c>
      <c r="B30" s="1067">
        <f>'2.sz.tábla   (2)'!K22</f>
        <v>1808340761</v>
      </c>
      <c r="C30" s="957">
        <f>'2.sz.tábla   (2)'!L22</f>
        <v>2042262550</v>
      </c>
      <c r="D30" s="329">
        <f>C30-B30</f>
        <v>233921789</v>
      </c>
      <c r="E30" s="290" t="s">
        <v>747</v>
      </c>
      <c r="F30" s="956">
        <f>'7. sz. tábla 1'!B108</f>
        <v>4396480479</v>
      </c>
      <c r="G30" s="956">
        <f>'7. sz. tábla 1'!C108</f>
        <v>5206434304</v>
      </c>
      <c r="H30" s="329">
        <f>G30-F30</f>
        <v>809953825</v>
      </c>
    </row>
    <row r="31" spans="1:8" x14ac:dyDescent="0.25">
      <c r="A31" s="170" t="s">
        <v>748</v>
      </c>
      <c r="B31" s="1068">
        <f>'2.sz.tábla   (2)'!K58</f>
        <v>509250000</v>
      </c>
      <c r="C31" s="241">
        <f>'2.sz.tábla   (2)'!L58</f>
        <v>509461023</v>
      </c>
      <c r="D31" s="236">
        <f>C31-B31</f>
        <v>211023</v>
      </c>
      <c r="E31" s="408" t="s">
        <v>749</v>
      </c>
      <c r="F31" s="248">
        <f>'4.sz.tábla '!V11</f>
        <v>23431060</v>
      </c>
      <c r="G31" s="248">
        <f>'4.sz.tábla '!W11</f>
        <v>30746475</v>
      </c>
      <c r="H31" s="236">
        <f t="shared" ref="H31:H46" si="2">G31-F31</f>
        <v>7315415</v>
      </c>
    </row>
    <row r="32" spans="1:8" x14ac:dyDescent="0.25">
      <c r="A32" s="170" t="s">
        <v>750</v>
      </c>
      <c r="B32" s="1068">
        <f>'2.sz.tábla   (2)'!K70</f>
        <v>625906935</v>
      </c>
      <c r="C32" s="241">
        <f>'2.sz.tábla   (2)'!L70</f>
        <v>625906935</v>
      </c>
      <c r="D32" s="236">
        <f>C32-B32</f>
        <v>0</v>
      </c>
      <c r="E32" s="408" t="s">
        <v>751</v>
      </c>
      <c r="F32" s="248">
        <f>'7. sz. tábla 1'!B192</f>
        <v>73149430</v>
      </c>
      <c r="G32" s="248">
        <f>'7. sz. tábla 1'!C192</f>
        <v>73149430</v>
      </c>
      <c r="H32" s="236">
        <f t="shared" si="2"/>
        <v>0</v>
      </c>
    </row>
    <row r="33" spans="1:10" ht="27.6" x14ac:dyDescent="0.25">
      <c r="A33" s="170" t="s">
        <v>370</v>
      </c>
      <c r="B33" s="1068">
        <v>375309895</v>
      </c>
      <c r="C33" s="241">
        <f>375309896-5514594</f>
        <v>369795302</v>
      </c>
      <c r="D33" s="236">
        <f>C33-B33</f>
        <v>-5514593</v>
      </c>
      <c r="E33" s="408" t="s">
        <v>752</v>
      </c>
      <c r="F33" s="244">
        <f>SUM(F34:F37)</f>
        <v>518990164</v>
      </c>
      <c r="G33" s="244">
        <f>SUM(G34:G37)</f>
        <v>558790164</v>
      </c>
      <c r="H33" s="236">
        <f t="shared" si="2"/>
        <v>39800000</v>
      </c>
    </row>
    <row r="34" spans="1:10" ht="27.6" x14ac:dyDescent="0.25">
      <c r="A34" s="170"/>
      <c r="B34" s="1068"/>
      <c r="C34" s="958"/>
      <c r="D34" s="236"/>
      <c r="E34" s="408" t="s">
        <v>753</v>
      </c>
      <c r="F34" s="248">
        <f>'7. sz. tábla 1'!B125</f>
        <v>210155425</v>
      </c>
      <c r="G34" s="248">
        <f>'7. sz. tábla 1'!C125</f>
        <v>226155425</v>
      </c>
      <c r="H34" s="236">
        <f t="shared" si="2"/>
        <v>16000000</v>
      </c>
    </row>
    <row r="35" spans="1:10" ht="27" customHeight="1" x14ac:dyDescent="0.25">
      <c r="A35" s="170"/>
      <c r="B35" s="1068"/>
      <c r="C35" s="958"/>
      <c r="D35" s="236"/>
      <c r="E35" s="413" t="s">
        <v>754</v>
      </c>
      <c r="F35" s="248">
        <f>'7. sz. tábla 1'!B120</f>
        <v>3235539</v>
      </c>
      <c r="G35" s="248">
        <f>'7. sz. tábla 1'!C120</f>
        <v>27035539</v>
      </c>
      <c r="H35" s="236">
        <f t="shared" si="2"/>
        <v>23800000</v>
      </c>
    </row>
    <row r="36" spans="1:10" ht="27.6" x14ac:dyDescent="0.25">
      <c r="A36" s="170"/>
      <c r="B36" s="1068"/>
      <c r="C36" s="241"/>
      <c r="D36" s="236"/>
      <c r="E36" s="408" t="s">
        <v>839</v>
      </c>
      <c r="F36" s="248">
        <f>'7. sz. tábla 1'!B119</f>
        <v>0</v>
      </c>
      <c r="G36" s="248">
        <f>'7. sz. tábla 1'!C119</f>
        <v>0</v>
      </c>
      <c r="H36" s="236">
        <f t="shared" si="2"/>
        <v>0</v>
      </c>
    </row>
    <row r="37" spans="1:10" ht="27.6" x14ac:dyDescent="0.25">
      <c r="A37" s="170"/>
      <c r="B37" s="1068"/>
      <c r="C37" s="241"/>
      <c r="D37" s="236"/>
      <c r="E37" s="408" t="s">
        <v>755</v>
      </c>
      <c r="F37" s="248">
        <f>'7. sz. tábla 1'!B111</f>
        <v>305599200</v>
      </c>
      <c r="G37" s="248">
        <f>'7. sz. tábla 1'!C111</f>
        <v>305599200</v>
      </c>
      <c r="H37" s="236">
        <f t="shared" si="2"/>
        <v>0</v>
      </c>
    </row>
    <row r="38" spans="1:10" x14ac:dyDescent="0.25">
      <c r="A38" s="170"/>
      <c r="B38" s="1068"/>
      <c r="C38" s="241"/>
      <c r="D38" s="236"/>
      <c r="E38" s="290" t="s">
        <v>420</v>
      </c>
      <c r="F38" s="248">
        <f>'1.sz.tábla   (2)'!B41+'1.sz.tábla   (2)'!B43+'1.sz.tábla   (2)'!B44+'1.sz.tábla   (2)'!B46</f>
        <v>34504226</v>
      </c>
      <c r="G38" s="248">
        <f>'1.sz.tábla   (2)'!C41+'1.sz.tábla   (2)'!C43+'1.sz.tábla   (2)'!C44+'1.sz.tábla   (2)'!C46+'1.sz.tábla   (2)'!C47+'1.sz.tábla   (2)'!C48</f>
        <v>108416237</v>
      </c>
      <c r="H38" s="236">
        <f t="shared" si="2"/>
        <v>73912011</v>
      </c>
      <c r="J38" s="52"/>
    </row>
    <row r="39" spans="1:10" s="2" customFormat="1" x14ac:dyDescent="0.25">
      <c r="A39" s="171" t="s">
        <v>756</v>
      </c>
      <c r="B39" s="1070">
        <f>SUM(B30:B36)</f>
        <v>3318807591</v>
      </c>
      <c r="C39" s="237">
        <f>SUM(C30:C36)</f>
        <v>3547425810</v>
      </c>
      <c r="D39" s="918">
        <f>C39-B39</f>
        <v>228618219</v>
      </c>
      <c r="E39" s="411" t="s">
        <v>757</v>
      </c>
      <c r="F39" s="245">
        <f>F30+F31+F32+F33+F38</f>
        <v>5046555359</v>
      </c>
      <c r="G39" s="245">
        <f>G30+G31+G32+G33+G38</f>
        <v>5977536610</v>
      </c>
      <c r="H39" s="246">
        <f t="shared" si="2"/>
        <v>930981251</v>
      </c>
    </row>
    <row r="40" spans="1:10" s="2" customFormat="1" x14ac:dyDescent="0.25">
      <c r="A40" s="171" t="s">
        <v>758</v>
      </c>
      <c r="B40" s="1071"/>
      <c r="C40" s="237"/>
      <c r="D40" s="959"/>
      <c r="E40" s="411" t="s">
        <v>760</v>
      </c>
      <c r="F40" s="245">
        <f>B39-F39</f>
        <v>-1727747768</v>
      </c>
      <c r="G40" s="245">
        <f>C39-G39</f>
        <v>-2430110800</v>
      </c>
      <c r="H40" s="246">
        <f t="shared" si="2"/>
        <v>-702363032</v>
      </c>
    </row>
    <row r="41" spans="1:10" s="2" customFormat="1" ht="27.6" x14ac:dyDescent="0.25">
      <c r="A41" s="171" t="s">
        <v>761</v>
      </c>
      <c r="B41" s="1070">
        <f>SUM(B42)</f>
        <v>1177417515</v>
      </c>
      <c r="C41" s="237">
        <f>SUM(C42)</f>
        <v>1188360600</v>
      </c>
      <c r="D41" s="918">
        <f>C41-B41</f>
        <v>10943085</v>
      </c>
      <c r="E41" s="411" t="s">
        <v>762</v>
      </c>
      <c r="F41" s="245">
        <f>SUM(F42:F43)</f>
        <v>1074242424</v>
      </c>
      <c r="G41" s="245">
        <f>SUM(G42:G43)</f>
        <v>74242424</v>
      </c>
      <c r="H41" s="246">
        <f t="shared" si="2"/>
        <v>-1000000000</v>
      </c>
    </row>
    <row r="42" spans="1:10" s="2" customFormat="1" x14ac:dyDescent="0.25">
      <c r="A42" s="171" t="s">
        <v>763</v>
      </c>
      <c r="B42" s="249">
        <f>'2.sz.tábla   (2)'!K78</f>
        <v>1177417515</v>
      </c>
      <c r="C42" s="240">
        <f>'2.sz.tábla   (2)'!L78</f>
        <v>1188360600</v>
      </c>
      <c r="D42" s="918">
        <f>C42-B42</f>
        <v>10943085</v>
      </c>
      <c r="E42" s="411" t="s">
        <v>6</v>
      </c>
      <c r="F42" s="245">
        <f>'7. sz. tábla 1'!B185</f>
        <v>1000000000</v>
      </c>
      <c r="G42" s="245">
        <v>0</v>
      </c>
      <c r="H42" s="246">
        <f t="shared" si="2"/>
        <v>-1000000000</v>
      </c>
    </row>
    <row r="43" spans="1:10" s="2" customFormat="1" ht="27.6" x14ac:dyDescent="0.25">
      <c r="A43" s="171" t="s">
        <v>764</v>
      </c>
      <c r="B43" s="245">
        <f>SUM(B44:B45)</f>
        <v>1000000000</v>
      </c>
      <c r="C43" s="237">
        <f>SUM(C44:C45)</f>
        <v>196699723</v>
      </c>
      <c r="D43" s="918">
        <f>C43-B43</f>
        <v>-803300277</v>
      </c>
      <c r="E43" s="411" t="s">
        <v>765</v>
      </c>
      <c r="F43" s="245">
        <f>'7. sz. tábla 1'!B184</f>
        <v>74242424</v>
      </c>
      <c r="G43" s="245">
        <f>'7. sz. tábla 1'!C184</f>
        <v>74242424</v>
      </c>
      <c r="H43" s="246">
        <f t="shared" si="2"/>
        <v>0</v>
      </c>
    </row>
    <row r="44" spans="1:10" ht="27.6" x14ac:dyDescent="0.25">
      <c r="A44" s="221" t="s">
        <v>766</v>
      </c>
      <c r="B44" s="248">
        <f>'2.sz.tábla   (2)'!K85</f>
        <v>1000000000</v>
      </c>
      <c r="C44" s="241">
        <v>196699723</v>
      </c>
      <c r="D44" s="236">
        <f>C44-B44</f>
        <v>-803300277</v>
      </c>
      <c r="E44" s="170" t="s">
        <v>356</v>
      </c>
      <c r="F44" s="248"/>
      <c r="G44" s="248"/>
      <c r="H44" s="236">
        <f t="shared" si="2"/>
        <v>0</v>
      </c>
    </row>
    <row r="45" spans="1:10" x14ac:dyDescent="0.25">
      <c r="A45" s="170" t="s">
        <v>767</v>
      </c>
      <c r="B45" s="248"/>
      <c r="C45" s="239"/>
      <c r="D45" s="236"/>
      <c r="E45" s="170"/>
      <c r="F45" s="248"/>
      <c r="G45" s="248"/>
      <c r="H45" s="236">
        <f t="shared" si="2"/>
        <v>0</v>
      </c>
    </row>
    <row r="46" spans="1:10" s="2" customFormat="1" ht="14.4" thickBot="1" x14ac:dyDescent="0.3">
      <c r="A46" s="172" t="s">
        <v>768</v>
      </c>
      <c r="B46" s="238">
        <f>B39+B41+B43</f>
        <v>5496225106</v>
      </c>
      <c r="C46" s="238">
        <f>C39+C41+C43</f>
        <v>4932486133</v>
      </c>
      <c r="D46" s="960">
        <f>C46-B46</f>
        <v>-563738973</v>
      </c>
      <c r="E46" s="172" t="s">
        <v>769</v>
      </c>
      <c r="F46" s="247">
        <f>F39+F41</f>
        <v>6120797783</v>
      </c>
      <c r="G46" s="247">
        <f>G39+G41</f>
        <v>6051779034</v>
      </c>
      <c r="H46" s="251">
        <f t="shared" si="2"/>
        <v>-69018749</v>
      </c>
    </row>
    <row r="47" spans="1:10" x14ac:dyDescent="0.25">
      <c r="A47" s="765"/>
      <c r="B47" s="769"/>
      <c r="C47" s="769"/>
      <c r="D47" s="769"/>
      <c r="E47" s="691"/>
      <c r="F47" s="1270"/>
      <c r="G47" s="1270"/>
      <c r="H47" s="1267"/>
    </row>
    <row r="48" spans="1:10" ht="15.75" customHeight="1" x14ac:dyDescent="0.3">
      <c r="A48" s="1738" t="s">
        <v>194</v>
      </c>
      <c r="B48" s="1738"/>
      <c r="C48" s="1738"/>
      <c r="D48" s="1738"/>
      <c r="E48" s="1738"/>
      <c r="F48" s="1738"/>
      <c r="G48" s="1738"/>
      <c r="H48" s="1738"/>
    </row>
    <row r="49" spans="1:8" ht="14.4" thickBot="1" x14ac:dyDescent="0.3"/>
    <row r="50" spans="1:8" s="78" customFormat="1" ht="28.2" thickBot="1" x14ac:dyDescent="0.3">
      <c r="A50" s="398" t="s">
        <v>770</v>
      </c>
      <c r="B50" s="886" t="s">
        <v>191</v>
      </c>
      <c r="C50" s="887" t="s">
        <v>357</v>
      </c>
      <c r="D50" s="932" t="s">
        <v>358</v>
      </c>
      <c r="E50" s="398" t="s">
        <v>771</v>
      </c>
      <c r="F50" s="886" t="s">
        <v>191</v>
      </c>
      <c r="G50" s="887" t="s">
        <v>357</v>
      </c>
      <c r="H50" s="932" t="s">
        <v>358</v>
      </c>
    </row>
    <row r="51" spans="1:8" x14ac:dyDescent="0.25">
      <c r="A51" s="220" t="s">
        <v>772</v>
      </c>
      <c r="B51" s="1219">
        <f>B17</f>
        <v>3822341839</v>
      </c>
      <c r="C51" s="961">
        <f>C17</f>
        <v>3866219011</v>
      </c>
      <c r="D51" s="329">
        <f>C51-B51</f>
        <v>43877172</v>
      </c>
      <c r="E51" s="290" t="s">
        <v>773</v>
      </c>
      <c r="F51" s="243">
        <f>F17</f>
        <v>3341851450</v>
      </c>
      <c r="G51" s="961">
        <f>G17</f>
        <v>3216892447</v>
      </c>
      <c r="H51" s="329">
        <f>G51-F51</f>
        <v>-124959003</v>
      </c>
    </row>
    <row r="52" spans="1:8" x14ac:dyDescent="0.25">
      <c r="A52" s="170" t="s">
        <v>774</v>
      </c>
      <c r="B52" s="1069">
        <f>B39</f>
        <v>3318807591</v>
      </c>
      <c r="C52" s="239">
        <f>C39</f>
        <v>3547425810</v>
      </c>
      <c r="D52" s="236">
        <f t="shared" ref="D52:D61" si="3">C52-B52</f>
        <v>228618219</v>
      </c>
      <c r="E52" s="408" t="s">
        <v>775</v>
      </c>
      <c r="F52" s="244">
        <f>F39</f>
        <v>5046555359</v>
      </c>
      <c r="G52" s="239">
        <f>G39</f>
        <v>5977536610</v>
      </c>
      <c r="H52" s="236">
        <f t="shared" ref="H52:H61" si="4">G52-F52</f>
        <v>930981251</v>
      </c>
    </row>
    <row r="53" spans="1:8" s="2" customFormat="1" x14ac:dyDescent="0.25">
      <c r="A53" s="171" t="s">
        <v>893</v>
      </c>
      <c r="B53" s="1071">
        <f>SUM(B51:B52)</f>
        <v>7141149430</v>
      </c>
      <c r="C53" s="240">
        <f>SUM(C51:C52)</f>
        <v>7413644821</v>
      </c>
      <c r="D53" s="246">
        <f t="shared" si="3"/>
        <v>272495391</v>
      </c>
      <c r="E53" s="411" t="s">
        <v>909</v>
      </c>
      <c r="F53" s="249">
        <f>SUM(F51:F52)</f>
        <v>8388406809</v>
      </c>
      <c r="G53" s="240">
        <f>SUM(G51:G52)</f>
        <v>9194429057</v>
      </c>
      <c r="H53" s="246">
        <f t="shared" si="4"/>
        <v>806022248</v>
      </c>
    </row>
    <row r="54" spans="1:8" s="2" customFormat="1" x14ac:dyDescent="0.25">
      <c r="A54" s="171" t="s">
        <v>776</v>
      </c>
      <c r="B54" s="1070"/>
      <c r="C54" s="237"/>
      <c r="D54" s="236">
        <f t="shared" si="3"/>
        <v>0</v>
      </c>
      <c r="E54" s="411" t="s">
        <v>421</v>
      </c>
      <c r="F54" s="249">
        <f>B53-F53</f>
        <v>-1247257379</v>
      </c>
      <c r="G54" s="240">
        <f>C53-G53</f>
        <v>-1780784236</v>
      </c>
      <c r="H54" s="246">
        <f t="shared" si="4"/>
        <v>-533526857</v>
      </c>
    </row>
    <row r="55" spans="1:8" s="2" customFormat="1" ht="27.6" x14ac:dyDescent="0.25">
      <c r="A55" s="171" t="s">
        <v>777</v>
      </c>
      <c r="B55" s="1071">
        <f>SUM(B56:B57)</f>
        <v>1354551579</v>
      </c>
      <c r="C55" s="240">
        <f>SUM(C56:C57)</f>
        <v>1691378713</v>
      </c>
      <c r="D55" s="246">
        <f t="shared" si="3"/>
        <v>336827134</v>
      </c>
      <c r="E55" s="411" t="s">
        <v>778</v>
      </c>
      <c r="F55" s="249">
        <f>SUM(F56:F57)</f>
        <v>1120094200</v>
      </c>
      <c r="G55" s="240">
        <f>SUM(G56:G57)</f>
        <v>1580094200</v>
      </c>
      <c r="H55" s="246">
        <f t="shared" si="4"/>
        <v>460000000</v>
      </c>
    </row>
    <row r="56" spans="1:8" ht="27.6" x14ac:dyDescent="0.25">
      <c r="A56" s="170" t="s">
        <v>736</v>
      </c>
      <c r="B56" s="1068">
        <f>B19</f>
        <v>177134064</v>
      </c>
      <c r="C56" s="241">
        <f>C19</f>
        <v>503018113</v>
      </c>
      <c r="D56" s="236">
        <f t="shared" si="3"/>
        <v>325884049</v>
      </c>
      <c r="E56" s="408" t="s">
        <v>779</v>
      </c>
      <c r="F56" s="248">
        <f>F19</f>
        <v>45851776</v>
      </c>
      <c r="G56" s="241">
        <f>G19</f>
        <v>1505851776</v>
      </c>
      <c r="H56" s="236">
        <f t="shared" si="4"/>
        <v>1460000000</v>
      </c>
    </row>
    <row r="57" spans="1:8" ht="27.6" x14ac:dyDescent="0.25">
      <c r="A57" s="170" t="s">
        <v>761</v>
      </c>
      <c r="B57" s="1068">
        <f>B41</f>
        <v>1177417515</v>
      </c>
      <c r="C57" s="241">
        <f>C41</f>
        <v>1188360600</v>
      </c>
      <c r="D57" s="236">
        <f t="shared" si="3"/>
        <v>10943085</v>
      </c>
      <c r="E57" s="408" t="s">
        <v>780</v>
      </c>
      <c r="F57" s="248">
        <f>F41</f>
        <v>1074242424</v>
      </c>
      <c r="G57" s="241">
        <f>G41</f>
        <v>74242424</v>
      </c>
      <c r="H57" s="236">
        <f t="shared" si="4"/>
        <v>-1000000000</v>
      </c>
    </row>
    <row r="58" spans="1:8" s="2" customFormat="1" x14ac:dyDescent="0.25">
      <c r="A58" s="219" t="s">
        <v>781</v>
      </c>
      <c r="B58" s="1071">
        <f>SUM(B59:B60)</f>
        <v>1012800000</v>
      </c>
      <c r="C58" s="240">
        <f>SUM(C59:C60)</f>
        <v>1669499723</v>
      </c>
      <c r="D58" s="246">
        <f t="shared" si="3"/>
        <v>656699723</v>
      </c>
      <c r="E58" s="410"/>
      <c r="F58" s="245"/>
      <c r="G58" s="962"/>
      <c r="H58" s="236">
        <f t="shared" si="4"/>
        <v>0</v>
      </c>
    </row>
    <row r="59" spans="1:8" ht="27.6" x14ac:dyDescent="0.25">
      <c r="A59" s="364" t="s">
        <v>739</v>
      </c>
      <c r="B59" s="1068">
        <f>B21</f>
        <v>12800000</v>
      </c>
      <c r="C59" s="241">
        <f>C21</f>
        <v>1472800000</v>
      </c>
      <c r="D59" s="236">
        <f t="shared" si="3"/>
        <v>1460000000</v>
      </c>
      <c r="E59" s="414"/>
      <c r="F59" s="244"/>
      <c r="G59" s="241"/>
      <c r="H59" s="236">
        <f t="shared" si="4"/>
        <v>0</v>
      </c>
    </row>
    <row r="60" spans="1:8" ht="27.6" x14ac:dyDescent="0.25">
      <c r="A60" s="221" t="s">
        <v>764</v>
      </c>
      <c r="B60" s="1068">
        <f>B43</f>
        <v>1000000000</v>
      </c>
      <c r="C60" s="241">
        <f>C43</f>
        <v>196699723</v>
      </c>
      <c r="D60" s="236">
        <f t="shared" si="3"/>
        <v>-803300277</v>
      </c>
      <c r="E60" s="410"/>
      <c r="F60" s="244"/>
      <c r="G60" s="240"/>
      <c r="H60" s="236">
        <f t="shared" si="4"/>
        <v>0</v>
      </c>
    </row>
    <row r="61" spans="1:8" s="2" customFormat="1" ht="14.4" thickBot="1" x14ac:dyDescent="0.3">
      <c r="A61" s="172" t="s">
        <v>464</v>
      </c>
      <c r="B61" s="1220">
        <f>B53+B55+B58</f>
        <v>9508501009</v>
      </c>
      <c r="C61" s="242">
        <f>C53+C55+C58</f>
        <v>10774523257</v>
      </c>
      <c r="D61" s="251">
        <f t="shared" si="3"/>
        <v>1266022248</v>
      </c>
      <c r="E61" s="412" t="s">
        <v>782</v>
      </c>
      <c r="F61" s="250">
        <f>F53+F55</f>
        <v>9508501009</v>
      </c>
      <c r="G61" s="242">
        <f>G53+G55</f>
        <v>10774523257</v>
      </c>
      <c r="H61" s="251">
        <f t="shared" si="4"/>
        <v>1266022248</v>
      </c>
    </row>
    <row r="62" spans="1:8" x14ac:dyDescent="0.25">
      <c r="A62" s="764" t="s">
        <v>783</v>
      </c>
      <c r="F62" s="766">
        <f>B61-F61</f>
        <v>0</v>
      </c>
      <c r="G62" s="766">
        <f>C61-G61</f>
        <v>0</v>
      </c>
    </row>
  </sheetData>
  <sheetProtection selectLockedCells="1" selectUnlockedCells="1"/>
  <mergeCells count="4">
    <mergeCell ref="A4:H4"/>
    <mergeCell ref="A27:H27"/>
    <mergeCell ref="A48:H48"/>
    <mergeCell ref="C2:H2"/>
  </mergeCells>
  <phoneticPr fontId="27" type="noConversion"/>
  <pageMargins left="0.74791666666666667" right="0.74791666666666667" top="0.98402777777777772" bottom="0.98402777777777772" header="0.51180555555555551" footer="0.51180555555555551"/>
  <pageSetup paperSize="9" scale="54" firstPageNumber="0" orientation="landscape" r:id="rId1"/>
  <headerFooter alignWithMargins="0">
    <oddHeader>&amp;C
8. melléklet 
az önkormányzat 2018. évi költségvetéséről szóló 11/2018. (III.01.) önkormányzati rendelethez&amp;R&amp;P. oldal</oddHeader>
  </headerFooter>
  <rowBreaks count="2" manualBreakCount="2">
    <brk id="26" max="7" man="1"/>
    <brk id="62" max="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L64"/>
  <sheetViews>
    <sheetView view="pageLayout" topLeftCell="D1" zoomScaleNormal="100" zoomScaleSheetLayoutView="89" workbookViewId="0">
      <selection activeCell="A34" sqref="A34"/>
    </sheetView>
  </sheetViews>
  <sheetFormatPr defaultColWidth="9.109375" defaultRowHeight="13.8" x14ac:dyDescent="0.25"/>
  <cols>
    <col min="1" max="1" width="45.6640625" style="764" customWidth="1"/>
    <col min="2" max="2" width="15.109375" style="647" bestFit="1" customWidth="1"/>
    <col min="3" max="3" width="15" style="647" customWidth="1"/>
    <col min="4" max="4" width="15.33203125" style="647" customWidth="1"/>
    <col min="5" max="5" width="45.88671875" style="764" customWidth="1"/>
    <col min="6" max="6" width="14" style="647" customWidth="1"/>
    <col min="7" max="7" width="15.109375" style="647" bestFit="1" customWidth="1"/>
    <col min="8" max="8" width="15.44140625" style="647" bestFit="1" customWidth="1"/>
    <col min="9" max="9" width="14.33203125" style="10" customWidth="1"/>
    <col min="10" max="10" width="10.44140625" style="10" customWidth="1"/>
    <col min="11" max="11" width="9.109375" style="10"/>
    <col min="12" max="12" width="12.33203125" style="10" customWidth="1"/>
    <col min="13" max="16384" width="9.109375" style="10"/>
  </cols>
  <sheetData>
    <row r="1" spans="1:12" x14ac:dyDescent="0.25">
      <c r="B1" s="1740"/>
      <c r="C1" s="1740"/>
      <c r="D1" s="1740"/>
      <c r="E1" s="1740"/>
      <c r="F1" s="1740"/>
      <c r="G1" s="1740"/>
      <c r="H1" s="1740"/>
    </row>
    <row r="2" spans="1:12" x14ac:dyDescent="0.25">
      <c r="B2" s="1740"/>
      <c r="C2" s="1740"/>
      <c r="D2" s="1740"/>
      <c r="E2" s="1740"/>
      <c r="F2" s="1740"/>
      <c r="G2" s="1740"/>
      <c r="H2" s="1740"/>
    </row>
    <row r="3" spans="1:12" x14ac:dyDescent="0.25">
      <c r="A3" s="1741" t="s">
        <v>270</v>
      </c>
      <c r="B3" s="1741"/>
      <c r="C3" s="1741"/>
      <c r="D3" s="1741"/>
      <c r="E3" s="1741"/>
      <c r="F3" s="1741"/>
      <c r="G3" s="1741"/>
      <c r="H3" s="1741"/>
    </row>
    <row r="5" spans="1:12" ht="15.75" customHeight="1" x14ac:dyDescent="0.3">
      <c r="A5" s="1738" t="s">
        <v>193</v>
      </c>
      <c r="B5" s="1738"/>
      <c r="C5" s="1738"/>
      <c r="D5" s="1738"/>
      <c r="E5" s="1738"/>
      <c r="F5" s="1738"/>
      <c r="G5" s="1738"/>
      <c r="H5" s="1738"/>
    </row>
    <row r="6" spans="1:12" ht="14.4" thickBot="1" x14ac:dyDescent="0.3"/>
    <row r="7" spans="1:12" s="78" customFormat="1" ht="28.2" thickBot="1" x14ac:dyDescent="0.3">
      <c r="A7" s="566" t="s">
        <v>722</v>
      </c>
      <c r="B7" s="567" t="s">
        <v>264</v>
      </c>
      <c r="C7" s="568" t="s">
        <v>899</v>
      </c>
      <c r="D7" s="569" t="s">
        <v>265</v>
      </c>
      <c r="E7" s="570" t="s">
        <v>723</v>
      </c>
      <c r="F7" s="567" t="s">
        <v>264</v>
      </c>
      <c r="G7" s="568" t="s">
        <v>899</v>
      </c>
      <c r="H7" s="569" t="s">
        <v>265</v>
      </c>
    </row>
    <row r="8" spans="1:12" ht="26.25" customHeight="1" x14ac:dyDescent="0.25">
      <c r="A8" s="613" t="s">
        <v>724</v>
      </c>
      <c r="B8" s="571">
        <f>'2.sz.tábla   (2)'!F7+'2.sz.tábla   (2)'!I7+'3.sz. tábla  (2)'!C14</f>
        <v>386362559</v>
      </c>
      <c r="C8" s="571">
        <f>'2.sz.tábla   (2)'!C7-'3.sz. tábla  (2)'!C14</f>
        <v>948169540</v>
      </c>
      <c r="D8" s="572">
        <f>SUM(B8:C8)</f>
        <v>1334532099</v>
      </c>
      <c r="E8" s="573" t="s">
        <v>572</v>
      </c>
      <c r="F8" s="574">
        <f>'4.sz.tábla '!C11</f>
        <v>492092945</v>
      </c>
      <c r="G8" s="571">
        <f>'4.sz.tábla '!C12</f>
        <v>138018414</v>
      </c>
      <c r="H8" s="572">
        <f>SUM(F8:G8)</f>
        <v>630111359</v>
      </c>
    </row>
    <row r="9" spans="1:12" x14ac:dyDescent="0.25">
      <c r="A9" s="575" t="s">
        <v>725</v>
      </c>
      <c r="B9" s="571">
        <f>'2.sz.tábla   (2)'!F30+'2.sz.tábla   (2)'!I30</f>
        <v>1000000</v>
      </c>
      <c r="C9" s="571">
        <f>'2.sz.tábla   (2)'!C30</f>
        <v>1754525000</v>
      </c>
      <c r="D9" s="572">
        <f t="shared" ref="D9:D14" si="0">SUM(B9:C9)</f>
        <v>1755525000</v>
      </c>
      <c r="E9" s="576" t="s">
        <v>726</v>
      </c>
      <c r="F9" s="577">
        <f>'4.sz.tábla '!F11</f>
        <v>104231356</v>
      </c>
      <c r="G9" s="578">
        <f>'4.sz.tábla '!F12</f>
        <v>27331842</v>
      </c>
      <c r="H9" s="572">
        <f t="shared" ref="H9:H16" si="1">SUM(F9:G9)</f>
        <v>131563198</v>
      </c>
    </row>
    <row r="10" spans="1:12" ht="15" x14ac:dyDescent="0.25">
      <c r="A10" s="579" t="s">
        <v>727</v>
      </c>
      <c r="B10" s="571">
        <f>'2.sz.tábla   (2)'!F43+'2.sz.tábla   (2)'!I43</f>
        <v>76934058</v>
      </c>
      <c r="C10" s="571">
        <f>'2.sz.tábla   (2)'!C43-C34</f>
        <v>682649537</v>
      </c>
      <c r="D10" s="572">
        <f t="shared" si="0"/>
        <v>759583595</v>
      </c>
      <c r="E10" s="576" t="s">
        <v>730</v>
      </c>
      <c r="F10" s="577">
        <f>'4.sz.tábla '!I11</f>
        <v>209653186</v>
      </c>
      <c r="G10" s="571">
        <f>'4.sz.tábla '!I12</f>
        <v>859756680</v>
      </c>
      <c r="H10" s="572">
        <f t="shared" si="1"/>
        <v>1069409866</v>
      </c>
      <c r="J10" s="8"/>
      <c r="K10" s="9"/>
      <c r="L10" s="9"/>
    </row>
    <row r="11" spans="1:12" ht="27.6" x14ac:dyDescent="0.25">
      <c r="A11" s="575" t="s">
        <v>731</v>
      </c>
      <c r="B11" s="571">
        <f>'2.sz.tábla   (2)'!E66+'2.sz.tábla   (2)'!H66</f>
        <v>0</v>
      </c>
      <c r="C11" s="571">
        <f>'2.sz.tábla   (2)'!C66</f>
        <v>16578317</v>
      </c>
      <c r="D11" s="572">
        <f t="shared" si="0"/>
        <v>16578317</v>
      </c>
      <c r="E11" s="573" t="s">
        <v>591</v>
      </c>
      <c r="F11" s="577">
        <f>'4.sz.tábla '!L11</f>
        <v>1674000</v>
      </c>
      <c r="G11" s="571">
        <f>'4.sz.tábla '!L12</f>
        <v>28100000</v>
      </c>
      <c r="H11" s="572">
        <f t="shared" si="1"/>
        <v>29774000</v>
      </c>
    </row>
    <row r="12" spans="1:12" x14ac:dyDescent="0.25">
      <c r="A12" s="580"/>
      <c r="B12" s="571"/>
      <c r="C12" s="571"/>
      <c r="D12" s="572">
        <f t="shared" si="0"/>
        <v>0</v>
      </c>
      <c r="E12" s="576" t="s">
        <v>570</v>
      </c>
      <c r="F12" s="581"/>
      <c r="G12" s="581"/>
      <c r="H12" s="572"/>
    </row>
    <row r="13" spans="1:12" x14ac:dyDescent="0.25">
      <c r="A13" s="580"/>
      <c r="B13" s="571"/>
      <c r="C13" s="571"/>
      <c r="D13" s="572">
        <f t="shared" si="0"/>
        <v>0</v>
      </c>
      <c r="E13" s="576" t="s">
        <v>811</v>
      </c>
      <c r="F13" s="581"/>
      <c r="G13" s="571">
        <f>'5.tábla (2)'!C111</f>
        <v>2877449</v>
      </c>
      <c r="H13" s="572">
        <f t="shared" si="1"/>
        <v>2877449</v>
      </c>
    </row>
    <row r="14" spans="1:12" ht="27.6" x14ac:dyDescent="0.25">
      <c r="A14" s="575"/>
      <c r="B14" s="571"/>
      <c r="C14" s="571"/>
      <c r="D14" s="572">
        <f t="shared" si="0"/>
        <v>0</v>
      </c>
      <c r="E14" s="576" t="s">
        <v>812</v>
      </c>
      <c r="F14" s="577">
        <f>'4.sz.tábla '!T10</f>
        <v>321968</v>
      </c>
      <c r="G14" s="571">
        <f>'5.tábla (2)'!C115</f>
        <v>485791385</v>
      </c>
      <c r="H14" s="572">
        <f>SUM(F14:G14)</f>
        <v>486113353</v>
      </c>
    </row>
    <row r="15" spans="1:12" ht="27.6" x14ac:dyDescent="0.25">
      <c r="A15" s="582"/>
      <c r="B15" s="571"/>
      <c r="C15" s="571"/>
      <c r="D15" s="572"/>
      <c r="E15" s="583" t="s">
        <v>813</v>
      </c>
      <c r="F15" s="577"/>
      <c r="G15" s="578">
        <f>'5.tábla (2)'!C119</f>
        <v>694971168</v>
      </c>
      <c r="H15" s="572">
        <f t="shared" si="1"/>
        <v>694971168</v>
      </c>
    </row>
    <row r="16" spans="1:12" ht="27.6" x14ac:dyDescent="0.25">
      <c r="A16" s="575"/>
      <c r="B16" s="571"/>
      <c r="C16" s="571"/>
      <c r="D16" s="572"/>
      <c r="E16" s="576" t="s">
        <v>814</v>
      </c>
      <c r="F16" s="577"/>
      <c r="G16" s="571">
        <f>'5.tábla (2)'!C117</f>
        <v>0</v>
      </c>
      <c r="H16" s="572">
        <f t="shared" si="1"/>
        <v>0</v>
      </c>
    </row>
    <row r="17" spans="1:9" x14ac:dyDescent="0.25">
      <c r="A17" s="580"/>
      <c r="B17" s="571"/>
      <c r="C17" s="571"/>
      <c r="D17" s="572"/>
      <c r="E17" s="290" t="s">
        <v>803</v>
      </c>
      <c r="F17" s="577"/>
      <c r="G17" s="584">
        <f>'8. sz. tábla  (3)'!G16</f>
        <v>172072054</v>
      </c>
      <c r="H17" s="572">
        <f>SUM(F17:G17)</f>
        <v>172072054</v>
      </c>
    </row>
    <row r="18" spans="1:9" x14ac:dyDescent="0.25">
      <c r="A18" s="585" t="s">
        <v>732</v>
      </c>
      <c r="B18" s="586">
        <f>SUM(B8:B17)</f>
        <v>464296617</v>
      </c>
      <c r="C18" s="586">
        <f>SUM(C8:C17)</f>
        <v>3401922394</v>
      </c>
      <c r="D18" s="587">
        <f>SUM(D8:D17)</f>
        <v>3866219011</v>
      </c>
      <c r="E18" s="588" t="s">
        <v>733</v>
      </c>
      <c r="F18" s="589">
        <f>F8+F9+F10+F11+F12+F17+F14</f>
        <v>807973455</v>
      </c>
      <c r="G18" s="589">
        <f>SUM(G8:G17)</f>
        <v>2408918992</v>
      </c>
      <c r="H18" s="589">
        <f>H8+H9+H10+H11+H14+H15+H16+H17+H13</f>
        <v>3216892447</v>
      </c>
      <c r="I18" s="52">
        <f>F18+G18</f>
        <v>3216892447</v>
      </c>
    </row>
    <row r="19" spans="1:9" x14ac:dyDescent="0.25">
      <c r="A19" s="585" t="s">
        <v>1011</v>
      </c>
      <c r="B19" s="586">
        <f>B18-F18</f>
        <v>-343676838</v>
      </c>
      <c r="C19" s="586">
        <f>C18-G18</f>
        <v>993003402</v>
      </c>
      <c r="D19" s="587">
        <f>D18-H18</f>
        <v>649326564</v>
      </c>
      <c r="E19" s="590" t="s">
        <v>735</v>
      </c>
      <c r="F19" s="577"/>
      <c r="G19" s="591"/>
      <c r="H19" s="592"/>
    </row>
    <row r="20" spans="1:9" ht="27.6" x14ac:dyDescent="0.25">
      <c r="A20" s="593" t="s">
        <v>736</v>
      </c>
      <c r="B20" s="591">
        <f>SUM(B21)</f>
        <v>48287993</v>
      </c>
      <c r="C20" s="591">
        <f>SUM(C21)</f>
        <v>454730120</v>
      </c>
      <c r="D20" s="592">
        <f>SUM(B20:C20)</f>
        <v>503018113</v>
      </c>
      <c r="E20" s="590" t="s">
        <v>737</v>
      </c>
      <c r="F20" s="594">
        <f>SUM(F21:F21)</f>
        <v>0</v>
      </c>
      <c r="G20" s="586">
        <f>SUM(G21:G25)</f>
        <v>1505851776</v>
      </c>
      <c r="H20" s="587">
        <f>G20-F20</f>
        <v>1505851776</v>
      </c>
    </row>
    <row r="21" spans="1:9" ht="27.6" x14ac:dyDescent="0.25">
      <c r="A21" s="580" t="s">
        <v>738</v>
      </c>
      <c r="B21" s="571">
        <f>'2.sz.tábla   (2)'!F77+'2.sz.tábla   (2)'!I77</f>
        <v>48287993</v>
      </c>
      <c r="C21" s="571">
        <f>'2.sz.tábla   (2)'!C77</f>
        <v>454730120</v>
      </c>
      <c r="D21" s="572">
        <f>SUM(B21:C21)</f>
        <v>503018113</v>
      </c>
      <c r="E21" s="580" t="s">
        <v>355</v>
      </c>
      <c r="F21" s="577"/>
      <c r="G21" s="571">
        <f>'7. sz. tábla 1'!C186</f>
        <v>45851776</v>
      </c>
      <c r="H21" s="572">
        <f>SUM(F21:G21)</f>
        <v>45851776</v>
      </c>
    </row>
    <row r="22" spans="1:9" ht="27.6" x14ac:dyDescent="0.25">
      <c r="A22" s="585" t="s">
        <v>739</v>
      </c>
      <c r="B22" s="571"/>
      <c r="C22" s="595">
        <f>SUM(C23:C25)</f>
        <v>1472800000</v>
      </c>
      <c r="D22" s="596">
        <f>SUM(B22:C22)</f>
        <v>1472800000</v>
      </c>
      <c r="E22" s="576" t="s">
        <v>815</v>
      </c>
      <c r="F22" s="577"/>
      <c r="G22" s="571"/>
      <c r="H22" s="572">
        <f>SUM(F22:G22)</f>
        <v>0</v>
      </c>
    </row>
    <row r="23" spans="1:9" x14ac:dyDescent="0.25">
      <c r="A23" s="597" t="s">
        <v>740</v>
      </c>
      <c r="B23" s="571"/>
      <c r="C23" s="571">
        <f>'2.sz.tábla   (2)'!C85-C45</f>
        <v>1460000000</v>
      </c>
      <c r="D23" s="572">
        <f>SUM(B23:C23)</f>
        <v>1460000000</v>
      </c>
      <c r="E23" s="580" t="s">
        <v>835</v>
      </c>
      <c r="F23" s="577"/>
      <c r="G23" s="598"/>
      <c r="H23" s="572">
        <f>SUM(F23:G23)</f>
        <v>0</v>
      </c>
    </row>
    <row r="24" spans="1:9" x14ac:dyDescent="0.25">
      <c r="A24" s="580" t="s">
        <v>741</v>
      </c>
      <c r="B24" s="571"/>
      <c r="C24" s="599"/>
      <c r="D24" s="600"/>
      <c r="E24" s="601" t="s">
        <v>833</v>
      </c>
      <c r="F24" s="581"/>
      <c r="G24" s="602">
        <f>'7. sz. tábla 1'!C185</f>
        <v>1460000000</v>
      </c>
      <c r="H24" s="572">
        <f>SUM(F24:G24)</f>
        <v>1460000000</v>
      </c>
    </row>
    <row r="25" spans="1:9" ht="28.2" thickBot="1" x14ac:dyDescent="0.3">
      <c r="A25" s="597" t="s">
        <v>834</v>
      </c>
      <c r="B25" s="584"/>
      <c r="C25" s="584">
        <f>'2.sz.tábla   (2)'!C90</f>
        <v>12800000</v>
      </c>
      <c r="D25" s="603">
        <f>SUM(B25:C25)</f>
        <v>12800000</v>
      </c>
      <c r="E25" s="604"/>
      <c r="F25" s="605"/>
      <c r="G25" s="606"/>
      <c r="H25" s="607"/>
    </row>
    <row r="26" spans="1:9" ht="14.4" thickBot="1" x14ac:dyDescent="0.3">
      <c r="A26" s="566" t="s">
        <v>742</v>
      </c>
      <c r="B26" s="608">
        <f>B18+B20+B22</f>
        <v>512584610</v>
      </c>
      <c r="C26" s="608">
        <f>C18+C20+C22</f>
        <v>5329452514</v>
      </c>
      <c r="D26" s="609">
        <f>D18+D20+D22</f>
        <v>5842037124</v>
      </c>
      <c r="E26" s="570" t="s">
        <v>743</v>
      </c>
      <c r="F26" s="610">
        <f>F18+F20</f>
        <v>807973455</v>
      </c>
      <c r="G26" s="608">
        <f>G18+G20</f>
        <v>3914770768</v>
      </c>
      <c r="H26" s="609">
        <f>H18+H20</f>
        <v>4722744223</v>
      </c>
    </row>
    <row r="28" spans="1:9" ht="15.75" customHeight="1" x14ac:dyDescent="0.3">
      <c r="A28" s="1738" t="s">
        <v>195</v>
      </c>
      <c r="B28" s="1738"/>
      <c r="C28" s="1738"/>
      <c r="D28" s="1738"/>
      <c r="E28" s="1738"/>
      <c r="F28" s="1738"/>
      <c r="G28" s="1738"/>
      <c r="H28" s="1738"/>
    </row>
    <row r="29" spans="1:9" ht="14.4" thickBot="1" x14ac:dyDescent="0.3"/>
    <row r="30" spans="1:9" s="78" customFormat="1" ht="28.2" thickBot="1" x14ac:dyDescent="0.3">
      <c r="A30" s="611" t="s">
        <v>744</v>
      </c>
      <c r="B30" s="567" t="s">
        <v>264</v>
      </c>
      <c r="C30" s="568" t="s">
        <v>899</v>
      </c>
      <c r="D30" s="569" t="s">
        <v>265</v>
      </c>
      <c r="E30" s="612" t="s">
        <v>745</v>
      </c>
      <c r="F30" s="567" t="s">
        <v>264</v>
      </c>
      <c r="G30" s="568" t="s">
        <v>899</v>
      </c>
      <c r="H30" s="569" t="s">
        <v>265</v>
      </c>
    </row>
    <row r="31" spans="1:9" ht="27.6" x14ac:dyDescent="0.25">
      <c r="A31" s="613" t="s">
        <v>746</v>
      </c>
      <c r="B31" s="571">
        <f>'2.sz.tábla   (2)'!I22+'2.sz.tábla   (2)'!F22</f>
        <v>435539</v>
      </c>
      <c r="C31" s="571">
        <f>'2.sz.tábla   (2)'!C22</f>
        <v>2041827011</v>
      </c>
      <c r="D31" s="614">
        <f>SUM(B31:C31)</f>
        <v>2042262550</v>
      </c>
      <c r="E31" s="615" t="s">
        <v>747</v>
      </c>
      <c r="F31" s="616"/>
      <c r="G31" s="616">
        <f>'7. sz. tábla 1'!C108</f>
        <v>5206434304</v>
      </c>
      <c r="H31" s="617">
        <f>SUM(F31:G31)</f>
        <v>5206434304</v>
      </c>
    </row>
    <row r="32" spans="1:9" x14ac:dyDescent="0.25">
      <c r="A32" s="580" t="s">
        <v>748</v>
      </c>
      <c r="B32" s="571">
        <f>'2.sz.tábla   (2)'!F58+'2.sz.tábla   (2)'!I58</f>
        <v>211023</v>
      </c>
      <c r="C32" s="571">
        <f>'2.sz.tábla   (2)'!C58</f>
        <v>509250000</v>
      </c>
      <c r="D32" s="291">
        <f>SUM(B32:C32)</f>
        <v>509461023</v>
      </c>
      <c r="E32" s="618" t="s">
        <v>749</v>
      </c>
      <c r="F32" s="619">
        <f>'4a. sz. tábla  (3)'!D43</f>
        <v>30746475</v>
      </c>
      <c r="G32" s="602"/>
      <c r="H32" s="620">
        <f t="shared" ref="H32:H39" si="2">SUM(F32:G32)</f>
        <v>30746475</v>
      </c>
    </row>
    <row r="33" spans="1:11" x14ac:dyDescent="0.25">
      <c r="A33" s="580" t="s">
        <v>750</v>
      </c>
      <c r="B33" s="571">
        <f>'2.sz.tábla   (2)'!F70+'2.sz.tábla   (2)'!I70</f>
        <v>0</v>
      </c>
      <c r="C33" s="571">
        <f>'2.sz.tábla   (2)'!C70</f>
        <v>625906935</v>
      </c>
      <c r="D33" s="291">
        <f>SUM(B33:C33)</f>
        <v>625906935</v>
      </c>
      <c r="E33" s="618" t="s">
        <v>751</v>
      </c>
      <c r="F33" s="619"/>
      <c r="G33" s="619">
        <f>'6.sz.tábla '!C116</f>
        <v>73149430</v>
      </c>
      <c r="H33" s="620">
        <f t="shared" si="2"/>
        <v>73149430</v>
      </c>
    </row>
    <row r="34" spans="1:11" ht="27.6" x14ac:dyDescent="0.25">
      <c r="A34" s="170" t="s">
        <v>370</v>
      </c>
      <c r="B34" s="571"/>
      <c r="C34" s="571">
        <f>375309895-5514593</f>
        <v>369795302</v>
      </c>
      <c r="D34" s="291">
        <f>SUM(B34:C34)</f>
        <v>369795302</v>
      </c>
      <c r="E34" s="618" t="s">
        <v>752</v>
      </c>
      <c r="F34" s="619"/>
      <c r="G34" s="619"/>
      <c r="H34" s="620"/>
    </row>
    <row r="35" spans="1:11" ht="27.6" x14ac:dyDescent="0.25">
      <c r="A35" s="580"/>
      <c r="B35" s="571"/>
      <c r="C35" s="578"/>
      <c r="D35" s="621"/>
      <c r="E35" s="618" t="s">
        <v>753</v>
      </c>
      <c r="F35" s="602"/>
      <c r="G35" s="602">
        <f>'7. sz. tábla 1'!C125</f>
        <v>226155425</v>
      </c>
      <c r="H35" s="620">
        <f>SUM(F35:G35)</f>
        <v>226155425</v>
      </c>
    </row>
    <row r="36" spans="1:11" ht="27" customHeight="1" x14ac:dyDescent="0.25">
      <c r="A36" s="580"/>
      <c r="B36" s="571"/>
      <c r="C36" s="578"/>
      <c r="D36" s="621"/>
      <c r="E36" s="622" t="s">
        <v>754</v>
      </c>
      <c r="F36" s="619"/>
      <c r="G36" s="623">
        <f>'7. sz. tábla 1'!C120</f>
        <v>27035539</v>
      </c>
      <c r="H36" s="620">
        <f t="shared" si="2"/>
        <v>27035539</v>
      </c>
    </row>
    <row r="37" spans="1:11" ht="27.6" x14ac:dyDescent="0.25">
      <c r="A37" s="580"/>
      <c r="B37" s="571"/>
      <c r="C37" s="624"/>
      <c r="D37" s="291"/>
      <c r="E37" s="618" t="s">
        <v>839</v>
      </c>
      <c r="F37" s="619"/>
      <c r="G37" s="619">
        <f>'7. sz. tábla 1'!C119</f>
        <v>0</v>
      </c>
      <c r="H37" s="620">
        <f t="shared" si="2"/>
        <v>0</v>
      </c>
    </row>
    <row r="38" spans="1:11" ht="27.6" x14ac:dyDescent="0.25">
      <c r="A38" s="580"/>
      <c r="B38" s="571"/>
      <c r="C38" s="619"/>
      <c r="D38" s="291"/>
      <c r="E38" s="618" t="s">
        <v>266</v>
      </c>
      <c r="F38" s="619"/>
      <c r="G38" s="619">
        <f>'7. sz. tábla 1'!C111</f>
        <v>305599200</v>
      </c>
      <c r="H38" s="620">
        <f t="shared" si="2"/>
        <v>305599200</v>
      </c>
    </row>
    <row r="39" spans="1:11" x14ac:dyDescent="0.25">
      <c r="A39" s="580"/>
      <c r="B39" s="571"/>
      <c r="C39" s="619"/>
      <c r="D39" s="291"/>
      <c r="E39" s="618" t="s">
        <v>420</v>
      </c>
      <c r="F39" s="619"/>
      <c r="G39" s="619">
        <f>'8. sz. tábla  (3)'!G38</f>
        <v>108416237</v>
      </c>
      <c r="H39" s="620">
        <f t="shared" si="2"/>
        <v>108416237</v>
      </c>
    </row>
    <row r="40" spans="1:11" x14ac:dyDescent="0.25">
      <c r="A40" s="585" t="s">
        <v>756</v>
      </c>
      <c r="B40" s="594">
        <f>SUM(B31:B37)</f>
        <v>646562</v>
      </c>
      <c r="C40" s="598">
        <f>SUM(C31:C37)</f>
        <v>3546779248</v>
      </c>
      <c r="D40" s="625">
        <f>SUM(D31:D37)</f>
        <v>3547425810</v>
      </c>
      <c r="E40" s="626" t="s">
        <v>757</v>
      </c>
      <c r="F40" s="627">
        <f>SUM(F31:F34)</f>
        <v>30746475</v>
      </c>
      <c r="G40" s="627">
        <f>SUM(G31:G39)</f>
        <v>5946790135</v>
      </c>
      <c r="H40" s="589">
        <f>H31+H32+H33+H35+H36+H37+H38+H39</f>
        <v>5977536610</v>
      </c>
      <c r="I40" s="52"/>
      <c r="K40" s="2"/>
    </row>
    <row r="41" spans="1:11" x14ac:dyDescent="0.25">
      <c r="A41" s="585" t="s">
        <v>758</v>
      </c>
      <c r="B41" s="577"/>
      <c r="C41" s="625"/>
      <c r="D41" s="625"/>
      <c r="E41" s="626" t="s">
        <v>760</v>
      </c>
      <c r="F41" s="627">
        <f>B40-F40</f>
        <v>-30099913</v>
      </c>
      <c r="G41" s="627">
        <f>C40-G40</f>
        <v>-2400010887</v>
      </c>
      <c r="H41" s="589">
        <f>D40-H40</f>
        <v>-2430110800</v>
      </c>
    </row>
    <row r="42" spans="1:11" ht="27.6" x14ac:dyDescent="0.25">
      <c r="A42" s="585" t="s">
        <v>761</v>
      </c>
      <c r="B42" s="594">
        <f>SUM(B43)</f>
        <v>5266947</v>
      </c>
      <c r="C42" s="628">
        <f>SUM(C43)</f>
        <v>1183093653</v>
      </c>
      <c r="D42" s="625">
        <f>SUM(D43)</f>
        <v>1188360600</v>
      </c>
      <c r="E42" s="626" t="s">
        <v>762</v>
      </c>
      <c r="F42" s="627">
        <f>SUM(F43:F44)</f>
        <v>0</v>
      </c>
      <c r="G42" s="627">
        <f>SUM(G43:G44)</f>
        <v>74242424</v>
      </c>
      <c r="H42" s="589">
        <f>SUM(H43:H45)</f>
        <v>74242424</v>
      </c>
    </row>
    <row r="43" spans="1:11" x14ac:dyDescent="0.25">
      <c r="A43" s="580" t="s">
        <v>763</v>
      </c>
      <c r="B43" s="577">
        <f>'2.sz.tábla   (2)'!F78+'2.sz.tábla   (2)'!I78</f>
        <v>5266947</v>
      </c>
      <c r="C43" s="291">
        <f>'2.sz.tábla   (2)'!C78</f>
        <v>1183093653</v>
      </c>
      <c r="D43" s="291">
        <f>SUM(B43:C43)</f>
        <v>1188360600</v>
      </c>
      <c r="E43" s="618" t="s">
        <v>267</v>
      </c>
      <c r="F43" s="619"/>
      <c r="G43" s="619">
        <v>0</v>
      </c>
      <c r="H43" s="620">
        <f>SUM(F43:G43)</f>
        <v>0</v>
      </c>
    </row>
    <row r="44" spans="1:11" ht="27.6" x14ac:dyDescent="0.25">
      <c r="A44" s="585" t="s">
        <v>764</v>
      </c>
      <c r="B44" s="594">
        <f>SUM(B45:B46)</f>
        <v>0</v>
      </c>
      <c r="C44" s="586">
        <f>SUM(C45:C46)</f>
        <v>196699723</v>
      </c>
      <c r="D44" s="625">
        <f>SUM(D45:D46)</f>
        <v>196699723</v>
      </c>
      <c r="E44" s="618" t="s">
        <v>765</v>
      </c>
      <c r="F44" s="619"/>
      <c r="G44" s="619">
        <f>'7. sz. tábla 1'!C184</f>
        <v>74242424</v>
      </c>
      <c r="H44" s="620">
        <f>SUM(F44:G44)</f>
        <v>74242424</v>
      </c>
    </row>
    <row r="45" spans="1:11" ht="27.6" x14ac:dyDescent="0.25">
      <c r="A45" s="597" t="s">
        <v>766</v>
      </c>
      <c r="B45" s="577"/>
      <c r="C45" s="291">
        <v>196699723</v>
      </c>
      <c r="D45" s="291">
        <f>SUM(B45:C45)</f>
        <v>196699723</v>
      </c>
      <c r="E45" s="618" t="s">
        <v>356</v>
      </c>
      <c r="F45" s="619"/>
      <c r="G45" s="619"/>
      <c r="H45" s="620"/>
    </row>
    <row r="46" spans="1:11" ht="14.4" thickBot="1" x14ac:dyDescent="0.3">
      <c r="A46" s="597" t="s">
        <v>767</v>
      </c>
      <c r="B46" s="629"/>
      <c r="C46" s="630"/>
      <c r="D46" s="630"/>
      <c r="E46" s="631"/>
      <c r="F46" s="632"/>
      <c r="G46" s="632"/>
      <c r="H46" s="633"/>
    </row>
    <row r="47" spans="1:11" ht="14.4" thickBot="1" x14ac:dyDescent="0.3">
      <c r="A47" s="566" t="s">
        <v>768</v>
      </c>
      <c r="B47" s="610">
        <f>B40+B42+B44</f>
        <v>5913509</v>
      </c>
      <c r="C47" s="608">
        <f>C40+C42+C44</f>
        <v>4926572624</v>
      </c>
      <c r="D47" s="634">
        <f>D40+D42+D44</f>
        <v>4932486133</v>
      </c>
      <c r="E47" s="635" t="s">
        <v>769</v>
      </c>
      <c r="F47" s="636">
        <f>F40+F42</f>
        <v>30746475</v>
      </c>
      <c r="G47" s="637">
        <f>G40+G42</f>
        <v>6021032559</v>
      </c>
      <c r="H47" s="638">
        <f>H40+H42</f>
        <v>6051779034</v>
      </c>
    </row>
    <row r="48" spans="1:11" x14ac:dyDescent="0.25">
      <c r="A48" s="765"/>
      <c r="B48" s="770"/>
      <c r="C48" s="770"/>
      <c r="D48" s="770"/>
      <c r="E48" s="765"/>
      <c r="F48" s="770"/>
      <c r="G48" s="770"/>
      <c r="H48" s="770"/>
    </row>
    <row r="49" spans="1:9" ht="15.75" customHeight="1" x14ac:dyDescent="0.3">
      <c r="A49" s="1738" t="s">
        <v>194</v>
      </c>
      <c r="B49" s="1738"/>
      <c r="C49" s="1738"/>
      <c r="D49" s="1738"/>
      <c r="E49" s="1738"/>
      <c r="F49" s="1738"/>
      <c r="G49" s="1738"/>
      <c r="H49" s="1738"/>
    </row>
    <row r="50" spans="1:9" ht="14.4" thickBot="1" x14ac:dyDescent="0.3"/>
    <row r="51" spans="1:9" s="78" customFormat="1" ht="28.2" thickBot="1" x14ac:dyDescent="0.3">
      <c r="A51" s="611" t="s">
        <v>770</v>
      </c>
      <c r="B51" s="567" t="s">
        <v>264</v>
      </c>
      <c r="C51" s="568" t="s">
        <v>899</v>
      </c>
      <c r="D51" s="569" t="s">
        <v>265</v>
      </c>
      <c r="E51" s="611" t="s">
        <v>771</v>
      </c>
      <c r="F51" s="567" t="s">
        <v>264</v>
      </c>
      <c r="G51" s="568" t="s">
        <v>899</v>
      </c>
      <c r="H51" s="569" t="s">
        <v>265</v>
      </c>
    </row>
    <row r="52" spans="1:9" x14ac:dyDescent="0.25">
      <c r="A52" s="579" t="s">
        <v>772</v>
      </c>
      <c r="B52" s="574">
        <f>B18</f>
        <v>464296617</v>
      </c>
      <c r="C52" s="614">
        <f>C18</f>
        <v>3401922394</v>
      </c>
      <c r="D52" s="639">
        <f>D18</f>
        <v>3866219011</v>
      </c>
      <c r="E52" s="579" t="s">
        <v>773</v>
      </c>
      <c r="F52" s="574">
        <f>F18</f>
        <v>807973455</v>
      </c>
      <c r="G52" s="640">
        <f>G18</f>
        <v>2408918992</v>
      </c>
      <c r="H52" s="639">
        <f>H18</f>
        <v>3216892447</v>
      </c>
    </row>
    <row r="53" spans="1:9" x14ac:dyDescent="0.25">
      <c r="A53" s="580" t="s">
        <v>774</v>
      </c>
      <c r="B53" s="577">
        <f>B40</f>
        <v>646562</v>
      </c>
      <c r="C53" s="571">
        <f>C40</f>
        <v>3546779248</v>
      </c>
      <c r="D53" s="620">
        <f>D40</f>
        <v>3547425810</v>
      </c>
      <c r="E53" s="580" t="s">
        <v>775</v>
      </c>
      <c r="F53" s="577">
        <f>F40</f>
        <v>30746475</v>
      </c>
      <c r="G53" s="571">
        <f>G40</f>
        <v>5946790135</v>
      </c>
      <c r="H53" s="572">
        <f>H40</f>
        <v>5977536610</v>
      </c>
    </row>
    <row r="54" spans="1:9" x14ac:dyDescent="0.25">
      <c r="A54" s="585" t="s">
        <v>893</v>
      </c>
      <c r="B54" s="594">
        <f>SUM(B52:B53)</f>
        <v>464943179</v>
      </c>
      <c r="C54" s="586">
        <f>SUM(C52:C53)</f>
        <v>6948701642</v>
      </c>
      <c r="D54" s="589">
        <f>SUM(D52:D53)</f>
        <v>7413644821</v>
      </c>
      <c r="E54" s="585" t="s">
        <v>909</v>
      </c>
      <c r="F54" s="594">
        <f>SUM(F52:F53)</f>
        <v>838719930</v>
      </c>
      <c r="G54" s="586">
        <f>SUM(G52:G53)</f>
        <v>8355709127</v>
      </c>
      <c r="H54" s="587">
        <f>SUM(H52:H53)</f>
        <v>9194429057</v>
      </c>
    </row>
    <row r="55" spans="1:9" x14ac:dyDescent="0.25">
      <c r="A55" s="585" t="s">
        <v>776</v>
      </c>
      <c r="B55" s="586"/>
      <c r="C55" s="586"/>
      <c r="D55" s="589"/>
      <c r="E55" s="585" t="s">
        <v>268</v>
      </c>
      <c r="F55" s="594">
        <f>B54-F54</f>
        <v>-373776751</v>
      </c>
      <c r="G55" s="594">
        <f>C54-G54</f>
        <v>-1407007485</v>
      </c>
      <c r="H55" s="587">
        <f>D54-H54</f>
        <v>-1780784236</v>
      </c>
    </row>
    <row r="56" spans="1:9" ht="27.6" x14ac:dyDescent="0.25">
      <c r="A56" s="585" t="s">
        <v>777</v>
      </c>
      <c r="B56" s="594">
        <f>SUM(B57:B58)</f>
        <v>53554940</v>
      </c>
      <c r="C56" s="586">
        <f>SUM(C57:C58)</f>
        <v>1637823773</v>
      </c>
      <c r="D56" s="589">
        <f>SUM(D57:D58)</f>
        <v>1691378713</v>
      </c>
      <c r="E56" s="585" t="s">
        <v>778</v>
      </c>
      <c r="F56" s="594">
        <f>SUM(F57:F58)</f>
        <v>0</v>
      </c>
      <c r="G56" s="586">
        <f>SUM(G57:G58)</f>
        <v>1580094200</v>
      </c>
      <c r="H56" s="587">
        <f>SUM(H57:H58)</f>
        <v>1580094200</v>
      </c>
    </row>
    <row r="57" spans="1:9" ht="27.6" x14ac:dyDescent="0.25">
      <c r="A57" s="580" t="s">
        <v>736</v>
      </c>
      <c r="B57" s="577">
        <f>B20</f>
        <v>48287993</v>
      </c>
      <c r="C57" s="581">
        <f>C20</f>
        <v>454730120</v>
      </c>
      <c r="D57" s="620">
        <f>D20</f>
        <v>503018113</v>
      </c>
      <c r="E57" s="580" t="s">
        <v>779</v>
      </c>
      <c r="F57" s="581">
        <f>F20</f>
        <v>0</v>
      </c>
      <c r="G57" s="581">
        <f>G20</f>
        <v>1505851776</v>
      </c>
      <c r="H57" s="641">
        <f>H20</f>
        <v>1505851776</v>
      </c>
    </row>
    <row r="58" spans="1:9" ht="27.6" x14ac:dyDescent="0.25">
      <c r="A58" s="580" t="s">
        <v>761</v>
      </c>
      <c r="B58" s="577">
        <f>B42</f>
        <v>5266947</v>
      </c>
      <c r="C58" s="581">
        <f>C42</f>
        <v>1183093653</v>
      </c>
      <c r="D58" s="620">
        <f>D42</f>
        <v>1188360600</v>
      </c>
      <c r="E58" s="580" t="s">
        <v>780</v>
      </c>
      <c r="F58" s="581">
        <f>F42</f>
        <v>0</v>
      </c>
      <c r="G58" s="581">
        <f>G42</f>
        <v>74242424</v>
      </c>
      <c r="H58" s="641">
        <f>H42</f>
        <v>74242424</v>
      </c>
    </row>
    <row r="59" spans="1:9" x14ac:dyDescent="0.25">
      <c r="A59" s="585" t="s">
        <v>781</v>
      </c>
      <c r="B59" s="594">
        <f>SUM(B60:B61)</f>
        <v>0</v>
      </c>
      <c r="C59" s="586">
        <f>SUM(C60:C61)</f>
        <v>1669499723</v>
      </c>
      <c r="D59" s="589">
        <f>SUM(D60:D61)</f>
        <v>1669499723</v>
      </c>
      <c r="E59" s="580"/>
      <c r="F59" s="642"/>
      <c r="G59" s="642"/>
      <c r="H59" s="643"/>
    </row>
    <row r="60" spans="1:9" ht="27.6" x14ac:dyDescent="0.25">
      <c r="A60" s="580" t="s">
        <v>739</v>
      </c>
      <c r="B60" s="577">
        <f>B22</f>
        <v>0</v>
      </c>
      <c r="C60" s="581">
        <f>C22</f>
        <v>1472800000</v>
      </c>
      <c r="D60" s="620">
        <f>D22</f>
        <v>1472800000</v>
      </c>
      <c r="E60" s="580"/>
      <c r="F60" s="581"/>
      <c r="G60" s="581"/>
      <c r="H60" s="641"/>
    </row>
    <row r="61" spans="1:9" ht="28.2" thickBot="1" x14ac:dyDescent="0.3">
      <c r="A61" s="597" t="s">
        <v>764</v>
      </c>
      <c r="B61" s="629">
        <f>B44</f>
        <v>0</v>
      </c>
      <c r="C61" s="605">
        <f>C44</f>
        <v>196699723</v>
      </c>
      <c r="D61" s="644">
        <f>D44</f>
        <v>196699723</v>
      </c>
      <c r="E61" s="645"/>
      <c r="F61" s="628"/>
      <c r="G61" s="628"/>
      <c r="H61" s="646"/>
    </row>
    <row r="62" spans="1:9" ht="14.4" thickBot="1" x14ac:dyDescent="0.3">
      <c r="A62" s="566" t="s">
        <v>464</v>
      </c>
      <c r="B62" s="610">
        <f>B54+B56+B59</f>
        <v>518498119</v>
      </c>
      <c r="C62" s="608">
        <f>C54+C56+C59</f>
        <v>10256025138</v>
      </c>
      <c r="D62" s="634">
        <f>D54+D56+D59</f>
        <v>10774523257</v>
      </c>
      <c r="E62" s="566" t="s">
        <v>782</v>
      </c>
      <c r="F62" s="608">
        <f>F54+F56</f>
        <v>838719930</v>
      </c>
      <c r="G62" s="608">
        <f>G54+G56</f>
        <v>9935803327</v>
      </c>
      <c r="H62" s="609">
        <f>H54+H56</f>
        <v>10774523257</v>
      </c>
      <c r="I62" s="52">
        <f>SUM(F62:G62)</f>
        <v>10774523257</v>
      </c>
    </row>
    <row r="63" spans="1:9" x14ac:dyDescent="0.25">
      <c r="A63" s="764" t="s">
        <v>269</v>
      </c>
      <c r="B63" s="647">
        <f>B62-F62</f>
        <v>-320221811</v>
      </c>
      <c r="C63" s="647">
        <f>C62-G62</f>
        <v>320221811</v>
      </c>
      <c r="D63" s="647">
        <f>D62-H62</f>
        <v>0</v>
      </c>
      <c r="E63" s="1221"/>
    </row>
    <row r="64" spans="1:9" x14ac:dyDescent="0.25">
      <c r="D64" s="647">
        <f>SUM(B62:C62)</f>
        <v>10774523257</v>
      </c>
    </row>
  </sheetData>
  <sheetProtection selectLockedCells="1" selectUnlockedCells="1"/>
  <mergeCells count="6">
    <mergeCell ref="A49:H49"/>
    <mergeCell ref="B1:H1"/>
    <mergeCell ref="B2:H2"/>
    <mergeCell ref="A3:H3"/>
    <mergeCell ref="A5:H5"/>
    <mergeCell ref="A28:H28"/>
  </mergeCells>
  <phoneticPr fontId="27" type="noConversion"/>
  <pageMargins left="0.74791666666666667" right="0.74791666666666667" top="0.98402777777777772" bottom="0.98402777777777772" header="0.51180555555555551" footer="0.51180555555555551"/>
  <pageSetup paperSize="9" scale="58" firstPageNumber="0" orientation="landscape" r:id="rId1"/>
  <headerFooter alignWithMargins="0">
    <oddHeader xml:space="preserve">&amp;C8/a. melléklet
az önkormányzat 2018. évi költségvetéséről szóló 11/2018. (III.01.) önkormányzati rendelethez&amp;R&amp;P. oldal
</oddHeader>
  </headerFooter>
  <rowBreaks count="2" manualBreakCount="2">
    <brk id="27" max="16383" man="1"/>
    <brk id="63" max="9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O96"/>
  <sheetViews>
    <sheetView view="pageLayout" topLeftCell="B1" zoomScaleNormal="100" zoomScaleSheetLayoutView="89" workbookViewId="0">
      <selection activeCell="F101" sqref="F101"/>
    </sheetView>
  </sheetViews>
  <sheetFormatPr defaultColWidth="9.109375" defaultRowHeight="13.8" x14ac:dyDescent="0.25"/>
  <cols>
    <col min="1" max="1" width="45.6640625" style="658" customWidth="1"/>
    <col min="2" max="2" width="13.109375" style="648" customWidth="1"/>
    <col min="3" max="3" width="14.5546875" style="648" customWidth="1"/>
    <col min="4" max="4" width="16.33203125" style="648" customWidth="1"/>
    <col min="5" max="5" width="14.5546875" style="648" customWidth="1"/>
    <col min="6" max="6" width="45.88671875" style="648" customWidth="1"/>
    <col min="7" max="7" width="12.88671875" style="651" customWidth="1"/>
    <col min="8" max="8" width="14.33203125" style="651" customWidth="1"/>
    <col min="9" max="9" width="14.33203125" style="651" bestFit="1" customWidth="1"/>
    <col min="10" max="10" width="15.6640625" style="651" customWidth="1"/>
    <col min="11" max="11" width="14.6640625" style="648" customWidth="1"/>
    <col min="12" max="12" width="14.33203125" style="648" customWidth="1"/>
    <col min="13" max="13" width="12.6640625" style="648" customWidth="1"/>
    <col min="14" max="14" width="9.109375" style="648"/>
    <col min="15" max="15" width="10" style="648" bestFit="1" customWidth="1"/>
    <col min="16" max="16384" width="9.109375" style="648"/>
  </cols>
  <sheetData>
    <row r="1" spans="1:12" ht="14.25" customHeight="1" x14ac:dyDescent="0.25">
      <c r="A1" s="1742" t="s">
        <v>302</v>
      </c>
      <c r="B1" s="1742"/>
      <c r="C1" s="1742"/>
      <c r="D1" s="1742"/>
      <c r="E1" s="1742"/>
      <c r="F1" s="1742"/>
      <c r="G1" s="1742"/>
      <c r="H1" s="1742"/>
      <c r="I1" s="1742"/>
      <c r="J1" s="1742"/>
    </row>
    <row r="2" spans="1:12" s="649" customFormat="1" ht="14.25" customHeight="1" x14ac:dyDescent="0.25">
      <c r="A2" s="1742"/>
      <c r="B2" s="1742"/>
      <c r="C2" s="1742"/>
      <c r="D2" s="1742"/>
      <c r="E2" s="1742"/>
      <c r="F2" s="1742"/>
      <c r="G2" s="1742"/>
      <c r="H2" s="1742"/>
      <c r="I2" s="1742"/>
      <c r="J2" s="1742"/>
    </row>
    <row r="3" spans="1:12" s="649" customFormat="1" ht="14.25" customHeight="1" x14ac:dyDescent="0.25">
      <c r="A3" s="1742"/>
      <c r="B3" s="1742"/>
      <c r="C3" s="1742"/>
      <c r="D3" s="1742"/>
      <c r="E3" s="1742"/>
      <c r="F3" s="1742"/>
      <c r="G3" s="1742"/>
      <c r="H3" s="1742"/>
      <c r="I3" s="1742"/>
      <c r="J3" s="1742"/>
    </row>
    <row r="4" spans="1:12" s="649" customFormat="1" ht="14.25" customHeight="1" x14ac:dyDescent="0.3">
      <c r="A4" s="650"/>
      <c r="B4" s="650"/>
      <c r="C4" s="650"/>
      <c r="D4" s="650"/>
      <c r="E4" s="650"/>
      <c r="F4" s="650"/>
      <c r="G4" s="650"/>
      <c r="H4" s="650"/>
      <c r="I4" s="650"/>
      <c r="J4" s="650"/>
    </row>
    <row r="5" spans="1:12" ht="15.75" customHeight="1" x14ac:dyDescent="0.3">
      <c r="A5" s="1743" t="s">
        <v>303</v>
      </c>
      <c r="B5" s="1743"/>
      <c r="C5" s="1743"/>
      <c r="D5" s="1743"/>
      <c r="E5" s="1743"/>
      <c r="F5" s="1743"/>
      <c r="G5" s="1743"/>
    </row>
    <row r="7" spans="1:12" s="658" customFormat="1" ht="26.4" x14ac:dyDescent="0.25">
      <c r="A7" s="652" t="s">
        <v>722</v>
      </c>
      <c r="B7" s="653" t="s">
        <v>901</v>
      </c>
      <c r="C7" s="654" t="s">
        <v>271</v>
      </c>
      <c r="D7" s="655" t="s">
        <v>899</v>
      </c>
      <c r="E7" s="656" t="s">
        <v>265</v>
      </c>
      <c r="F7" s="657" t="s">
        <v>723</v>
      </c>
      <c r="G7" s="653" t="s">
        <v>901</v>
      </c>
      <c r="H7" s="654" t="s">
        <v>271</v>
      </c>
      <c r="I7" s="655" t="s">
        <v>899</v>
      </c>
      <c r="J7" s="656" t="s">
        <v>265</v>
      </c>
    </row>
    <row r="8" spans="1:12" s="658" customFormat="1" x14ac:dyDescent="0.25">
      <c r="A8" s="659" t="s">
        <v>156</v>
      </c>
      <c r="B8" s="660"/>
      <c r="C8" s="660"/>
      <c r="D8" s="661"/>
      <c r="E8" s="662"/>
      <c r="F8" s="663" t="s">
        <v>898</v>
      </c>
      <c r="G8" s="664"/>
      <c r="H8" s="664"/>
      <c r="I8" s="665"/>
      <c r="J8" s="666"/>
    </row>
    <row r="9" spans="1:12" s="676" customFormat="1" ht="27.6" x14ac:dyDescent="0.25">
      <c r="A9" s="667" t="s">
        <v>272</v>
      </c>
      <c r="B9" s="668">
        <f>'3.sz. tábla  (2)'!C12+'2.sz.tábla   (2)'!I7-'9. sz. tábla (2)'!B39</f>
        <v>121513079</v>
      </c>
      <c r="C9" s="669">
        <f>'3.sz. tábla  (2)'!C13+'2.sz.tábla   (2)'!F7-'9. sz. tábla (2)'!C72</f>
        <v>156630879.69949999</v>
      </c>
      <c r="D9" s="670">
        <f>'3.sz. tábla  (2)'!C15+'2.sz.tábla   (2)'!C20-'9. sz. tábla (2)'!D39</f>
        <v>912155940</v>
      </c>
      <c r="E9" s="671">
        <f>SUM(B9:D9)</f>
        <v>1190299898.6995001</v>
      </c>
      <c r="F9" s="672" t="s">
        <v>572</v>
      </c>
      <c r="G9" s="668">
        <f>'4.sz.tábla '!C9-'9. sz. tábla (2)'!G39</f>
        <v>138903179</v>
      </c>
      <c r="H9" s="668">
        <f>'5.tábla (2)'!C7-'9. sz. tábla (2)'!H72</f>
        <v>225110169</v>
      </c>
      <c r="I9" s="673">
        <f>'5.tábla (2)'!C30-'9. sz. tábla (2)'!I39</f>
        <v>112848614</v>
      </c>
      <c r="J9" s="674">
        <f>SUM(G9:I9)</f>
        <v>476861962</v>
      </c>
      <c r="K9" s="675">
        <f>I9+I39</f>
        <v>138018414</v>
      </c>
      <c r="L9" s="675"/>
    </row>
    <row r="10" spans="1:12" ht="17.25" customHeight="1" x14ac:dyDescent="0.25">
      <c r="A10" s="677" t="s">
        <v>725</v>
      </c>
      <c r="B10" s="678"/>
      <c r="C10" s="678"/>
      <c r="D10" s="571">
        <f>'2.sz.tábla   (2)'!C30</f>
        <v>1754525000</v>
      </c>
      <c r="E10" s="671">
        <f>SUM(B10:D10)</f>
        <v>1754525000</v>
      </c>
      <c r="F10" s="679" t="s">
        <v>563</v>
      </c>
      <c r="G10" s="680">
        <f>'4.sz.tábla '!F9-'9. sz. tábla (2)'!G40</f>
        <v>27779883</v>
      </c>
      <c r="H10" s="680">
        <f>'5.tábla (2)'!C8-'9. sz. tábla (2)'!H73</f>
        <v>49335809</v>
      </c>
      <c r="I10" s="681">
        <f>'5.tábla (2)'!C45-'9. sz. tábla (2)'!I40</f>
        <v>20792285</v>
      </c>
      <c r="J10" s="682">
        <f t="shared" ref="J10:J18" si="0">SUM(G10:I10)</f>
        <v>97907977</v>
      </c>
      <c r="K10" s="675">
        <f>I10+I40</f>
        <v>27331842</v>
      </c>
      <c r="L10" s="675"/>
    </row>
    <row r="11" spans="1:12" x14ac:dyDescent="0.25">
      <c r="A11" s="683" t="s">
        <v>727</v>
      </c>
      <c r="B11" s="680">
        <f>'2.sz.tábla   (2)'!I43-'9. sz. tábla (2)'!B41</f>
        <v>15344531</v>
      </c>
      <c r="C11" s="680">
        <f>'2.sz.tábla   (2)'!F43-'9. sz. tábla (2)'!C74</f>
        <v>24383080.427999999</v>
      </c>
      <c r="D11" s="681">
        <f>'2.sz.tábla   (2)'!C43-'9. sz. tábla (2)'!D41-D26-D56</f>
        <v>322578194</v>
      </c>
      <c r="E11" s="671">
        <f>SUM(B11:D11)</f>
        <v>362305805.42799997</v>
      </c>
      <c r="F11" s="679" t="s">
        <v>564</v>
      </c>
      <c r="G11" s="680">
        <f>'4.sz.tábla '!I9-'9. sz. tábla (2)'!G41</f>
        <v>59198501</v>
      </c>
      <c r="H11" s="680">
        <f>'5.tábla (2)'!C9-'9. sz. tábla (2)'!H74</f>
        <v>67188547</v>
      </c>
      <c r="I11" s="681">
        <f>'5.tábla (2)'!C60-'9. sz. tábla (2)'!I41</f>
        <v>775031736</v>
      </c>
      <c r="J11" s="682">
        <f t="shared" si="0"/>
        <v>901418784</v>
      </c>
      <c r="K11" s="675">
        <f t="shared" ref="K11:K18" si="1">I11+I41</f>
        <v>859756680</v>
      </c>
      <c r="L11" s="675"/>
    </row>
    <row r="12" spans="1:12" ht="27.6" x14ac:dyDescent="0.25">
      <c r="A12" s="684" t="s">
        <v>731</v>
      </c>
      <c r="B12" s="680"/>
      <c r="C12" s="685"/>
      <c r="D12" s="686">
        <f>'2.sz.tábla   (2)'!C66-'9. sz. tábla (2)'!D42</f>
        <v>15984312</v>
      </c>
      <c r="E12" s="671">
        <f>SUM(B12:D12)</f>
        <v>15984312</v>
      </c>
      <c r="F12" s="687" t="s">
        <v>591</v>
      </c>
      <c r="G12" s="680"/>
      <c r="H12" s="680">
        <f>'5.tábla (2)'!C15+'5.tábla (2)'!B17</f>
        <v>1674000</v>
      </c>
      <c r="I12" s="681">
        <f>'5.tábla (2)'!C101-'9. sz. tábla (2)'!I42</f>
        <v>28100000</v>
      </c>
      <c r="J12" s="682">
        <f t="shared" si="0"/>
        <v>29774000</v>
      </c>
      <c r="K12" s="675">
        <f t="shared" si="1"/>
        <v>28100000</v>
      </c>
      <c r="L12" s="675"/>
    </row>
    <row r="13" spans="1:12" x14ac:dyDescent="0.25">
      <c r="A13" s="677"/>
      <c r="B13" s="680"/>
      <c r="C13" s="680"/>
      <c r="D13" s="681"/>
      <c r="E13" s="682"/>
      <c r="F13" s="679" t="s">
        <v>570</v>
      </c>
      <c r="G13" s="680"/>
      <c r="H13" s="680"/>
      <c r="I13" s="681"/>
      <c r="J13" s="682">
        <f t="shared" si="0"/>
        <v>0</v>
      </c>
      <c r="K13" s="675">
        <f t="shared" si="1"/>
        <v>0</v>
      </c>
      <c r="L13" s="675"/>
    </row>
    <row r="14" spans="1:12" x14ac:dyDescent="0.25">
      <c r="A14" s="683"/>
      <c r="B14" s="680"/>
      <c r="C14" s="680"/>
      <c r="D14" s="681"/>
      <c r="E14" s="682"/>
      <c r="F14" s="576" t="s">
        <v>811</v>
      </c>
      <c r="G14" s="680"/>
      <c r="H14" s="680"/>
      <c r="I14" s="681">
        <f>'5.tábla (2)'!C111</f>
        <v>2877449</v>
      </c>
      <c r="J14" s="682">
        <f t="shared" si="0"/>
        <v>2877449</v>
      </c>
      <c r="K14" s="675">
        <f t="shared" si="1"/>
        <v>2877449</v>
      </c>
      <c r="L14" s="675"/>
    </row>
    <row r="15" spans="1:12" ht="27.6" x14ac:dyDescent="0.25">
      <c r="A15" s="683"/>
      <c r="B15" s="680"/>
      <c r="C15" s="680"/>
      <c r="D15" s="681"/>
      <c r="E15" s="682"/>
      <c r="F15" s="576" t="s">
        <v>812</v>
      </c>
      <c r="G15" s="680"/>
      <c r="H15" s="680">
        <f>'5.tábla (2)'!C19-H76</f>
        <v>221578</v>
      </c>
      <c r="I15" s="681">
        <f>'5.tábla (2)'!C115-'9. sz. tábla (2)'!I45</f>
        <v>465789340</v>
      </c>
      <c r="J15" s="682">
        <f t="shared" si="0"/>
        <v>466010918</v>
      </c>
      <c r="K15" s="675">
        <f t="shared" si="1"/>
        <v>485791385</v>
      </c>
      <c r="L15" s="675"/>
    </row>
    <row r="16" spans="1:12" ht="27.6" x14ac:dyDescent="0.25">
      <c r="A16" s="688"/>
      <c r="B16" s="680"/>
      <c r="C16" s="685"/>
      <c r="D16" s="686"/>
      <c r="E16" s="689"/>
      <c r="F16" s="583" t="s">
        <v>813</v>
      </c>
      <c r="G16" s="680"/>
      <c r="H16" s="680"/>
      <c r="I16" s="681">
        <f>'5.tábla (2)'!C119-'9. sz. tábla (2)'!I46</f>
        <v>345659787</v>
      </c>
      <c r="J16" s="682">
        <f t="shared" si="0"/>
        <v>345659787</v>
      </c>
      <c r="K16" s="675">
        <f t="shared" si="1"/>
        <v>694971168</v>
      </c>
      <c r="L16" s="675"/>
    </row>
    <row r="17" spans="1:12" ht="27.6" x14ac:dyDescent="0.25">
      <c r="A17" s="690"/>
      <c r="B17" s="680"/>
      <c r="C17" s="680"/>
      <c r="D17" s="681"/>
      <c r="E17" s="682"/>
      <c r="F17" s="576" t="s">
        <v>814</v>
      </c>
      <c r="G17" s="680"/>
      <c r="H17" s="680"/>
      <c r="I17" s="681">
        <f>'5.tábla (2)'!C117-'9. sz. tábla (2)'!I47</f>
        <v>0</v>
      </c>
      <c r="J17" s="682">
        <f t="shared" si="0"/>
        <v>0</v>
      </c>
      <c r="K17" s="675">
        <f t="shared" si="1"/>
        <v>0</v>
      </c>
      <c r="L17" s="675"/>
    </row>
    <row r="18" spans="1:12" x14ac:dyDescent="0.25">
      <c r="A18" s="677"/>
      <c r="B18" s="680"/>
      <c r="C18" s="680"/>
      <c r="D18" s="681"/>
      <c r="E18" s="682"/>
      <c r="F18" s="691" t="s">
        <v>803</v>
      </c>
      <c r="G18" s="692"/>
      <c r="H18" s="692"/>
      <c r="I18" s="584">
        <f>'1.sz.tábla   (2)'!C30-'9. sz. tábla (2)'!I30</f>
        <v>172072054</v>
      </c>
      <c r="J18" s="693">
        <f t="shared" si="0"/>
        <v>172072054</v>
      </c>
      <c r="K18" s="675">
        <f t="shared" si="1"/>
        <v>172072054</v>
      </c>
      <c r="L18" s="675"/>
    </row>
    <row r="19" spans="1:12" s="699" customFormat="1" ht="27.6" x14ac:dyDescent="0.25">
      <c r="A19" s="694" t="s">
        <v>273</v>
      </c>
      <c r="B19" s="695">
        <f>SUM(B9:B18)</f>
        <v>136857610</v>
      </c>
      <c r="C19" s="695">
        <f>SUM(C9:C18)</f>
        <v>181013960.1275</v>
      </c>
      <c r="D19" s="696">
        <f>SUM(D9:D18)</f>
        <v>3005243446</v>
      </c>
      <c r="E19" s="696">
        <f>SUM(E9:E18)</f>
        <v>3323115016.1275001</v>
      </c>
      <c r="F19" s="697" t="s">
        <v>274</v>
      </c>
      <c r="G19" s="698">
        <f>SUM(G9:G18)</f>
        <v>225881563</v>
      </c>
      <c r="H19" s="698">
        <f>SUM(H9:H18)</f>
        <v>343530103</v>
      </c>
      <c r="I19" s="698">
        <f>SUM(I9:I18)</f>
        <v>1923171265</v>
      </c>
      <c r="J19" s="698">
        <f>SUM(J9:J18)</f>
        <v>2492582931</v>
      </c>
      <c r="K19" s="675">
        <f>I19+I49</f>
        <v>2408918992</v>
      </c>
      <c r="L19" s="675"/>
    </row>
    <row r="20" spans="1:12" x14ac:dyDescent="0.25">
      <c r="A20" s="665" t="s">
        <v>275</v>
      </c>
      <c r="B20" s="680">
        <f>'2.sz.tábla   (2)'!I76-B50</f>
        <v>17263952</v>
      </c>
      <c r="C20" s="680">
        <f>'2.sz.tábla   (2)'!F77-'9. sz. tábla (2)'!C83</f>
        <v>24039283.684</v>
      </c>
      <c r="D20" s="681">
        <f>'8a. sz. tábla  (4)'!C20+'8a. sz. tábla  (4)'!C22-'9. sz. tábla (2)'!D50</f>
        <v>1811861173</v>
      </c>
      <c r="E20" s="700">
        <f>SUM(B20:D20)</f>
        <v>1853164408.684</v>
      </c>
      <c r="F20" s="666" t="s">
        <v>276</v>
      </c>
      <c r="G20" s="682"/>
      <c r="H20" s="682"/>
      <c r="I20" s="682">
        <f>'8. sz. tábla  (3)'!G19</f>
        <v>1505851776</v>
      </c>
      <c r="J20" s="682">
        <f>SUM(G20:I20)</f>
        <v>1505851776</v>
      </c>
      <c r="K20" s="675">
        <f>I20+I50+I32</f>
        <v>1505851776</v>
      </c>
      <c r="L20" s="675"/>
    </row>
    <row r="21" spans="1:12" ht="41.4" x14ac:dyDescent="0.25">
      <c r="A21" s="694" t="s">
        <v>277</v>
      </c>
      <c r="B21" s="695">
        <f>B19+B20</f>
        <v>154121562</v>
      </c>
      <c r="C21" s="695">
        <f>C19+C20</f>
        <v>205053243.81150001</v>
      </c>
      <c r="D21" s="696">
        <f>D19+D20</f>
        <v>4817104619</v>
      </c>
      <c r="E21" s="701">
        <f>E19+E20</f>
        <v>5176279424.8115005</v>
      </c>
      <c r="F21" s="697" t="s">
        <v>278</v>
      </c>
      <c r="G21" s="698">
        <f>G19+G20</f>
        <v>225881563</v>
      </c>
      <c r="H21" s="698">
        <f>H19+H20</f>
        <v>343530103</v>
      </c>
      <c r="I21" s="698">
        <f>I19+I20</f>
        <v>3429023041</v>
      </c>
      <c r="J21" s="698">
        <f>J19+J20</f>
        <v>3998434707</v>
      </c>
    </row>
    <row r="22" spans="1:12" x14ac:dyDescent="0.25">
      <c r="A22" s="702" t="s">
        <v>279</v>
      </c>
      <c r="B22" s="703"/>
      <c r="C22" s="703"/>
      <c r="D22" s="703"/>
      <c r="E22" s="704"/>
      <c r="F22" s="705" t="s">
        <v>902</v>
      </c>
      <c r="G22" s="706"/>
      <c r="H22" s="706"/>
      <c r="I22" s="706"/>
      <c r="J22" s="706"/>
    </row>
    <row r="23" spans="1:12" ht="27.6" x14ac:dyDescent="0.25">
      <c r="A23" s="684" t="s">
        <v>746</v>
      </c>
      <c r="B23" s="680">
        <f>'2.sz.tábla   (2)'!I22-'9. sz. tábla (2)'!B53</f>
        <v>435539</v>
      </c>
      <c r="C23" s="680">
        <f>'2.sz.tábla   (2)'!F22</f>
        <v>0</v>
      </c>
      <c r="D23" s="681">
        <f>'2.sz.tábla   (2)'!C22-'9. sz. tábla (2)'!D53</f>
        <v>1080891806</v>
      </c>
      <c r="E23" s="700">
        <f>SUM(B23:D23)</f>
        <v>1081327345</v>
      </c>
      <c r="F23" s="707" t="s">
        <v>747</v>
      </c>
      <c r="G23" s="682"/>
      <c r="H23" s="682"/>
      <c r="I23" s="682">
        <f>'7. sz. tábla 1'!C108-'9. sz. tábla (2)'!I53</f>
        <v>2142197224</v>
      </c>
      <c r="J23" s="682">
        <f t="shared" ref="J23:J30" si="2">SUM(G23:I23)</f>
        <v>2142197224</v>
      </c>
      <c r="K23" s="708">
        <f t="shared" ref="K23:K28" si="3">I23+I53</f>
        <v>5206434304</v>
      </c>
      <c r="L23" s="708"/>
    </row>
    <row r="24" spans="1:12" x14ac:dyDescent="0.25">
      <c r="A24" s="709" t="s">
        <v>280</v>
      </c>
      <c r="B24" s="680"/>
      <c r="C24" s="680">
        <f>'2.sz.tábla   (2)'!F58-C87</f>
        <v>161221.57199999999</v>
      </c>
      <c r="D24" s="681">
        <f>'2.sz.tábla   (2)'!B58-'9. sz. tábla (2)'!D54</f>
        <v>0</v>
      </c>
      <c r="E24" s="700">
        <f>SUM(B24:D24)</f>
        <v>161221.57199999999</v>
      </c>
      <c r="F24" s="707" t="s">
        <v>749</v>
      </c>
      <c r="G24" s="682">
        <f>'4.sz.tábla '!W9-G54</f>
        <v>5191557</v>
      </c>
      <c r="H24" s="682">
        <f>'5.tábla (2)'!C21-'9. sz. tábla (2)'!H87</f>
        <v>15002653</v>
      </c>
      <c r="I24" s="682"/>
      <c r="J24" s="682">
        <f t="shared" si="2"/>
        <v>20194210</v>
      </c>
      <c r="K24" s="708">
        <f t="shared" si="3"/>
        <v>0</v>
      </c>
      <c r="L24" s="708"/>
    </row>
    <row r="25" spans="1:12" ht="27.6" x14ac:dyDescent="0.25">
      <c r="A25" s="709" t="s">
        <v>281</v>
      </c>
      <c r="B25" s="680"/>
      <c r="C25" s="680"/>
      <c r="D25" s="681">
        <f>'2.sz.tábla   (2)'!C70-'9. sz. tábla (2)'!D55</f>
        <v>17000000</v>
      </c>
      <c r="E25" s="700">
        <f>SUM(B25:D25)</f>
        <v>17000000</v>
      </c>
      <c r="F25" s="707" t="s">
        <v>751</v>
      </c>
      <c r="G25" s="682"/>
      <c r="H25" s="682"/>
      <c r="I25" s="682">
        <f>'6.sz.tábla '!C116-'9. sz. tábla (2)'!I55</f>
        <v>67789903</v>
      </c>
      <c r="J25" s="682">
        <f t="shared" si="2"/>
        <v>67789903</v>
      </c>
      <c r="K25" s="708">
        <f t="shared" si="3"/>
        <v>73149430</v>
      </c>
      <c r="L25" s="708"/>
    </row>
    <row r="26" spans="1:12" ht="27.6" x14ac:dyDescent="0.25">
      <c r="A26" s="170" t="s">
        <v>370</v>
      </c>
      <c r="B26" s="680"/>
      <c r="C26" s="680"/>
      <c r="D26" s="681"/>
      <c r="E26" s="700"/>
      <c r="F26" s="707" t="s">
        <v>282</v>
      </c>
      <c r="G26" s="682"/>
      <c r="H26" s="682"/>
      <c r="I26" s="682"/>
      <c r="J26" s="682">
        <f t="shared" si="2"/>
        <v>0</v>
      </c>
      <c r="K26" s="708">
        <f t="shared" si="3"/>
        <v>0</v>
      </c>
      <c r="L26" s="708"/>
    </row>
    <row r="27" spans="1:12" ht="27.6" x14ac:dyDescent="0.25">
      <c r="A27" s="677"/>
      <c r="B27" s="680"/>
      <c r="C27" s="680"/>
      <c r="D27" s="681"/>
      <c r="E27" s="700"/>
      <c r="F27" s="707" t="s">
        <v>283</v>
      </c>
      <c r="G27" s="682"/>
      <c r="H27" s="682"/>
      <c r="I27" s="682">
        <f>'7. sz. tábla 1'!C125-'9. sz. tábla (2)'!I57</f>
        <v>60635000</v>
      </c>
      <c r="J27" s="682">
        <f t="shared" si="2"/>
        <v>60635000</v>
      </c>
      <c r="K27" s="708">
        <f t="shared" si="3"/>
        <v>226155425</v>
      </c>
      <c r="L27" s="708"/>
    </row>
    <row r="28" spans="1:12" ht="27.6" x14ac:dyDescent="0.25">
      <c r="A28" s="677"/>
      <c r="B28" s="680"/>
      <c r="C28" s="680"/>
      <c r="D28" s="681"/>
      <c r="E28" s="700"/>
      <c r="F28" s="710" t="s">
        <v>284</v>
      </c>
      <c r="G28" s="682"/>
      <c r="H28" s="682"/>
      <c r="I28" s="682">
        <f>'7. sz. tábla 1'!C120-'9. sz. tábla (2)'!I58</f>
        <v>2532500</v>
      </c>
      <c r="J28" s="682">
        <f t="shared" si="2"/>
        <v>2532500</v>
      </c>
      <c r="K28" s="708">
        <f t="shared" si="3"/>
        <v>27035539</v>
      </c>
      <c r="L28" s="708"/>
    </row>
    <row r="29" spans="1:12" ht="27.6" x14ac:dyDescent="0.25">
      <c r="A29" s="711"/>
      <c r="B29" s="680"/>
      <c r="C29" s="680"/>
      <c r="D29" s="681"/>
      <c r="E29" s="700"/>
      <c r="F29" s="707" t="s">
        <v>266</v>
      </c>
      <c r="G29" s="682"/>
      <c r="H29" s="682"/>
      <c r="I29" s="682">
        <f>'7. sz. tábla 1'!C111-'9. sz. tábla (2)'!I60</f>
        <v>0</v>
      </c>
      <c r="J29" s="682">
        <f t="shared" si="2"/>
        <v>0</v>
      </c>
      <c r="K29" s="708">
        <f>I29+I60</f>
        <v>305599200</v>
      </c>
      <c r="L29" s="708"/>
    </row>
    <row r="30" spans="1:12" x14ac:dyDescent="0.25">
      <c r="A30" s="711"/>
      <c r="B30" s="680"/>
      <c r="C30" s="680"/>
      <c r="D30" s="681"/>
      <c r="E30" s="700"/>
      <c r="F30" s="712" t="s">
        <v>420</v>
      </c>
      <c r="G30" s="682"/>
      <c r="H30" s="682"/>
      <c r="I30" s="682">
        <f>'8. sz. tábla  (3)'!G38</f>
        <v>108416237</v>
      </c>
      <c r="J30" s="682">
        <f t="shared" si="2"/>
        <v>108416237</v>
      </c>
      <c r="K30" s="708">
        <f>I30</f>
        <v>108416237</v>
      </c>
      <c r="L30" s="708"/>
    </row>
    <row r="31" spans="1:12" s="699" customFormat="1" ht="27.6" x14ac:dyDescent="0.25">
      <c r="A31" s="694" t="s">
        <v>285</v>
      </c>
      <c r="B31" s="695">
        <f>SUM(B23:B29)</f>
        <v>435539</v>
      </c>
      <c r="C31" s="695">
        <f>SUM(C23:C29)</f>
        <v>161221.57199999999</v>
      </c>
      <c r="D31" s="696">
        <f>SUM(D23:D29)</f>
        <v>1097891806</v>
      </c>
      <c r="E31" s="701">
        <f>SUM(E23:E29)</f>
        <v>1098488566.572</v>
      </c>
      <c r="F31" s="697" t="s">
        <v>286</v>
      </c>
      <c r="G31" s="698">
        <f>SUM(G23:G29)</f>
        <v>5191557</v>
      </c>
      <c r="H31" s="698">
        <f>SUM(H23:H29)</f>
        <v>15002653</v>
      </c>
      <c r="I31" s="698">
        <f>SUM(I23:I30)</f>
        <v>2381570864</v>
      </c>
      <c r="J31" s="698">
        <f>SUM(J23:J30)</f>
        <v>2401765074</v>
      </c>
      <c r="K31" s="713">
        <f>SUM(K23:K30)</f>
        <v>5946790135</v>
      </c>
      <c r="L31" s="713"/>
    </row>
    <row r="32" spans="1:12" ht="15" customHeight="1" x14ac:dyDescent="0.25">
      <c r="A32" s="665" t="s">
        <v>275</v>
      </c>
      <c r="B32" s="680">
        <f>'2.sz.tábla   (2)'!H78-'9. sz. tábla (2)'!B62</f>
        <v>0</v>
      </c>
      <c r="C32" s="680">
        <f>'2.sz.tábla   (2)'!F78-'9. sz. tábla (2)'!C91</f>
        <v>3687031.148</v>
      </c>
      <c r="D32" s="681">
        <f>'8a. sz. tábla  (4)'!C42+'8a. sz. tábla  (4)'!C44-'9. sz. tábla (2)'!D62</f>
        <v>329177709</v>
      </c>
      <c r="E32" s="700">
        <f>SUM(B32:D32)</f>
        <v>332864740.148</v>
      </c>
      <c r="F32" s="666" t="s">
        <v>276</v>
      </c>
      <c r="G32" s="682"/>
      <c r="H32" s="682"/>
      <c r="I32" s="682">
        <f>'7. sz. tábla 1'!C184-I62</f>
        <v>0</v>
      </c>
      <c r="J32" s="682">
        <f>SUM(G32:I32)</f>
        <v>0</v>
      </c>
    </row>
    <row r="33" spans="1:15" ht="41.4" x14ac:dyDescent="0.25">
      <c r="A33" s="702" t="s">
        <v>287</v>
      </c>
      <c r="B33" s="695">
        <f>B31+B32</f>
        <v>435539</v>
      </c>
      <c r="C33" s="695">
        <f>C31+C32</f>
        <v>3848252.72</v>
      </c>
      <c r="D33" s="696">
        <f>D31+D32</f>
        <v>1427069515</v>
      </c>
      <c r="E33" s="701">
        <f>E31+E32</f>
        <v>1431353306.72</v>
      </c>
      <c r="F33" s="697" t="s">
        <v>288</v>
      </c>
      <c r="G33" s="698">
        <f>G31+G32</f>
        <v>5191557</v>
      </c>
      <c r="H33" s="698">
        <f>H31+H32</f>
        <v>15002653</v>
      </c>
      <c r="I33" s="698">
        <f>I31+I32</f>
        <v>2381570864</v>
      </c>
      <c r="J33" s="698">
        <f>J31+J32</f>
        <v>2401765074</v>
      </c>
    </row>
    <row r="34" spans="1:15" x14ac:dyDescent="0.25">
      <c r="B34" s="708">
        <f>B33+B21</f>
        <v>154557101</v>
      </c>
      <c r="C34" s="708">
        <f>C33+C21</f>
        <v>208901496.53150001</v>
      </c>
      <c r="D34" s="708">
        <f>D33+D21</f>
        <v>6244174134</v>
      </c>
      <c r="E34" s="708">
        <f>E33+E21</f>
        <v>6607632731.5315008</v>
      </c>
      <c r="G34" s="714">
        <f>G33+G21</f>
        <v>231073120</v>
      </c>
      <c r="H34" s="714">
        <f>H33+H21</f>
        <v>358532756</v>
      </c>
      <c r="I34" s="714">
        <f>I33+I21</f>
        <v>5810593905</v>
      </c>
      <c r="J34" s="714">
        <f>J33+J21</f>
        <v>6400199781</v>
      </c>
    </row>
    <row r="35" spans="1:15" ht="15.75" customHeight="1" x14ac:dyDescent="0.3">
      <c r="A35" s="1743" t="s">
        <v>304</v>
      </c>
      <c r="B35" s="1743"/>
      <c r="C35" s="1743"/>
      <c r="D35" s="1743"/>
      <c r="E35" s="1743"/>
      <c r="F35" s="1743"/>
      <c r="G35" s="1743"/>
    </row>
    <row r="37" spans="1:15" s="658" customFormat="1" ht="26.4" x14ac:dyDescent="0.25">
      <c r="A37" s="715" t="s">
        <v>722</v>
      </c>
      <c r="B37" s="653" t="s">
        <v>901</v>
      </c>
      <c r="C37" s="654" t="s">
        <v>271</v>
      </c>
      <c r="D37" s="655" t="s">
        <v>899</v>
      </c>
      <c r="E37" s="656" t="s">
        <v>265</v>
      </c>
      <c r="F37" s="716" t="s">
        <v>723</v>
      </c>
      <c r="G37" s="653" t="s">
        <v>901</v>
      </c>
      <c r="H37" s="654" t="s">
        <v>271</v>
      </c>
      <c r="I37" s="655" t="s">
        <v>899</v>
      </c>
      <c r="J37" s="656" t="s">
        <v>265</v>
      </c>
    </row>
    <row r="38" spans="1:15" x14ac:dyDescent="0.25">
      <c r="A38" s="659" t="s">
        <v>156</v>
      </c>
      <c r="B38" s="660"/>
      <c r="C38" s="660"/>
      <c r="D38" s="661"/>
      <c r="E38" s="662"/>
      <c r="F38" s="663" t="s">
        <v>898</v>
      </c>
      <c r="G38" s="717"/>
      <c r="H38" s="717"/>
      <c r="I38" s="718"/>
      <c r="J38" s="706"/>
      <c r="L38" s="719"/>
      <c r="M38" s="719"/>
      <c r="N38" s="719"/>
    </row>
    <row r="39" spans="1:15" ht="27.6" x14ac:dyDescent="0.25">
      <c r="A39" s="688" t="s">
        <v>272</v>
      </c>
      <c r="B39" s="680">
        <f>53893000+705300+176762+157878+700000</f>
        <v>55632940</v>
      </c>
      <c r="C39" s="680"/>
      <c r="D39" s="681">
        <v>36013600</v>
      </c>
      <c r="E39" s="682">
        <f>SUM(B39:D39)</f>
        <v>91646540</v>
      </c>
      <c r="F39" s="687" t="s">
        <v>572</v>
      </c>
      <c r="G39" s="680">
        <f>8851908+3327015+39931665+600000+1422500</f>
        <v>54133088</v>
      </c>
      <c r="H39" s="680"/>
      <c r="I39" s="681">
        <v>25169800</v>
      </c>
      <c r="J39" s="682">
        <f>SUM(G39:I39)</f>
        <v>79302888</v>
      </c>
      <c r="K39" s="719"/>
    </row>
    <row r="40" spans="1:15" x14ac:dyDescent="0.25">
      <c r="A40" s="677" t="s">
        <v>725</v>
      </c>
      <c r="B40" s="680"/>
      <c r="C40" s="680"/>
      <c r="D40" s="681"/>
      <c r="E40" s="682">
        <f>SUM(B40:D40)</f>
        <v>0</v>
      </c>
      <c r="F40" s="679" t="s">
        <v>563</v>
      </c>
      <c r="G40" s="680">
        <f>1837734+668663+8020132+105300+277500</f>
        <v>10909329</v>
      </c>
      <c r="H40" s="680"/>
      <c r="I40" s="681">
        <v>6539557</v>
      </c>
      <c r="J40" s="682">
        <f t="shared" ref="J40:J47" si="4">SUM(G40:I40)</f>
        <v>17448886</v>
      </c>
      <c r="K40" s="719"/>
    </row>
    <row r="41" spans="1:15" x14ac:dyDescent="0.25">
      <c r="A41" s="683" t="s">
        <v>727</v>
      </c>
      <c r="B41" s="680">
        <f>9344000+22769000</f>
        <v>32113000</v>
      </c>
      <c r="C41" s="680"/>
      <c r="D41" s="681">
        <v>729866645</v>
      </c>
      <c r="E41" s="682">
        <f>SUM(B41:D41)</f>
        <v>761979645</v>
      </c>
      <c r="F41" s="679" t="s">
        <v>564</v>
      </c>
      <c r="G41" s="680">
        <f>12500000+49544109+610507+700000</f>
        <v>63354616</v>
      </c>
      <c r="H41" s="680"/>
      <c r="I41" s="681">
        <v>84724944</v>
      </c>
      <c r="J41" s="682">
        <f t="shared" si="4"/>
        <v>148079560</v>
      </c>
      <c r="K41" s="719"/>
    </row>
    <row r="42" spans="1:15" ht="27.6" x14ac:dyDescent="0.25">
      <c r="A42" s="684" t="s">
        <v>731</v>
      </c>
      <c r="B42" s="680"/>
      <c r="C42" s="680"/>
      <c r="D42" s="681">
        <v>594005</v>
      </c>
      <c r="E42" s="682">
        <f>SUM(B42:D42)</f>
        <v>594005</v>
      </c>
      <c r="F42" s="687" t="s">
        <v>591</v>
      </c>
      <c r="G42" s="680"/>
      <c r="H42" s="680"/>
      <c r="I42" s="681"/>
      <c r="J42" s="682">
        <f t="shared" si="4"/>
        <v>0</v>
      </c>
      <c r="K42" s="719"/>
    </row>
    <row r="43" spans="1:15" x14ac:dyDescent="0.25">
      <c r="A43" s="677"/>
      <c r="B43" s="680"/>
      <c r="C43" s="680"/>
      <c r="D43" s="681"/>
      <c r="E43" s="682">
        <f>SUM(B43:D43)</f>
        <v>0</v>
      </c>
      <c r="F43" s="679" t="s">
        <v>570</v>
      </c>
      <c r="G43" s="680"/>
      <c r="H43" s="680"/>
      <c r="I43" s="681"/>
      <c r="J43" s="682">
        <f t="shared" si="4"/>
        <v>0</v>
      </c>
      <c r="L43" s="719"/>
      <c r="O43" s="719"/>
    </row>
    <row r="44" spans="1:15" x14ac:dyDescent="0.25">
      <c r="A44" s="683"/>
      <c r="B44" s="680"/>
      <c r="C44" s="680"/>
      <c r="D44" s="681"/>
      <c r="E44" s="682"/>
      <c r="F44" s="576" t="s">
        <v>811</v>
      </c>
      <c r="G44" s="680"/>
      <c r="H44" s="680"/>
      <c r="I44" s="681"/>
      <c r="J44" s="682">
        <f t="shared" si="4"/>
        <v>0</v>
      </c>
    </row>
    <row r="45" spans="1:15" ht="27.6" x14ac:dyDescent="0.25">
      <c r="A45" s="683"/>
      <c r="B45" s="680"/>
      <c r="C45" s="680"/>
      <c r="D45" s="681"/>
      <c r="E45" s="682"/>
      <c r="F45" s="576" t="s">
        <v>812</v>
      </c>
      <c r="G45" s="680"/>
      <c r="H45" s="680"/>
      <c r="I45" s="681">
        <v>20002045</v>
      </c>
      <c r="J45" s="682">
        <f t="shared" si="4"/>
        <v>20002045</v>
      </c>
    </row>
    <row r="46" spans="1:15" ht="27.6" x14ac:dyDescent="0.25">
      <c r="A46" s="688"/>
      <c r="B46" s="680"/>
      <c r="C46" s="685"/>
      <c r="D46" s="686"/>
      <c r="E46" s="689"/>
      <c r="F46" s="583" t="s">
        <v>813</v>
      </c>
      <c r="G46" s="680"/>
      <c r="H46" s="680"/>
      <c r="I46" s="681">
        <v>349311381</v>
      </c>
      <c r="J46" s="682">
        <f t="shared" si="4"/>
        <v>349311381</v>
      </c>
    </row>
    <row r="47" spans="1:15" ht="27.6" x14ac:dyDescent="0.25">
      <c r="A47" s="690"/>
      <c r="B47" s="680"/>
      <c r="C47" s="680"/>
      <c r="D47" s="681"/>
      <c r="E47" s="682"/>
      <c r="F47" s="576" t="s">
        <v>814</v>
      </c>
      <c r="G47" s="680"/>
      <c r="H47" s="680"/>
      <c r="I47" s="681">
        <v>0</v>
      </c>
      <c r="J47" s="682">
        <f t="shared" si="4"/>
        <v>0</v>
      </c>
    </row>
    <row r="48" spans="1:15" x14ac:dyDescent="0.25">
      <c r="A48" s="677"/>
      <c r="B48" s="680"/>
      <c r="C48" s="680"/>
      <c r="D48" s="681"/>
      <c r="E48" s="682"/>
      <c r="F48" s="290" t="s">
        <v>803</v>
      </c>
      <c r="G48" s="680"/>
      <c r="H48" s="680"/>
      <c r="I48" s="681"/>
      <c r="J48" s="706"/>
    </row>
    <row r="49" spans="1:13" ht="27.6" x14ac:dyDescent="0.25">
      <c r="A49" s="694" t="s">
        <v>289</v>
      </c>
      <c r="B49" s="695">
        <f>SUM(B39:B48)</f>
        <v>87745940</v>
      </c>
      <c r="C49" s="695">
        <f>SUM(C39:C48)</f>
        <v>0</v>
      </c>
      <c r="D49" s="696">
        <f>SUM(D39:D48)</f>
        <v>766474250</v>
      </c>
      <c r="E49" s="698">
        <f>SUM(E39:E48)</f>
        <v>854220190</v>
      </c>
      <c r="F49" s="663" t="s">
        <v>290</v>
      </c>
      <c r="G49" s="695">
        <f>SUM(G39:G48)</f>
        <v>128397033</v>
      </c>
      <c r="H49" s="695">
        <f>SUM(H39:H48)</f>
        <v>0</v>
      </c>
      <c r="I49" s="696">
        <f>SUM(I39:I48)</f>
        <v>485747727</v>
      </c>
      <c r="J49" s="698">
        <f>SUM(J39:J48)</f>
        <v>614144760</v>
      </c>
      <c r="M49" s="708"/>
    </row>
    <row r="50" spans="1:13" x14ac:dyDescent="0.25">
      <c r="A50" s="665" t="s">
        <v>275</v>
      </c>
      <c r="B50" s="680"/>
      <c r="C50" s="680"/>
      <c r="D50" s="681">
        <f>115668947</f>
        <v>115668947</v>
      </c>
      <c r="E50" s="682">
        <f>SUM(B50:D50)</f>
        <v>115668947</v>
      </c>
      <c r="F50" s="720" t="s">
        <v>276</v>
      </c>
      <c r="G50" s="680"/>
      <c r="H50" s="680"/>
      <c r="I50" s="681">
        <f>'8a. sz. tábla  (4)'!G43</f>
        <v>0</v>
      </c>
      <c r="J50" s="682">
        <f>SUM(G50:I50)</f>
        <v>0</v>
      </c>
    </row>
    <row r="51" spans="1:13" ht="41.4" x14ac:dyDescent="0.25">
      <c r="A51" s="694" t="s">
        <v>291</v>
      </c>
      <c r="B51" s="695">
        <f>B49+B50</f>
        <v>87745940</v>
      </c>
      <c r="C51" s="695">
        <f>C49+C50</f>
        <v>0</v>
      </c>
      <c r="D51" s="696">
        <f>D49+D50</f>
        <v>882143197</v>
      </c>
      <c r="E51" s="698">
        <f>E49+E50</f>
        <v>969889137</v>
      </c>
      <c r="F51" s="663" t="s">
        <v>292</v>
      </c>
      <c r="G51" s="695">
        <f>G49+G50</f>
        <v>128397033</v>
      </c>
      <c r="H51" s="695">
        <f>H49+H50</f>
        <v>0</v>
      </c>
      <c r="I51" s="696">
        <f>I49+I50</f>
        <v>485747727</v>
      </c>
      <c r="J51" s="698">
        <f>J49+J50</f>
        <v>614144760</v>
      </c>
    </row>
    <row r="52" spans="1:13" x14ac:dyDescent="0.25">
      <c r="A52" s="694" t="s">
        <v>279</v>
      </c>
      <c r="B52" s="703"/>
      <c r="C52" s="703"/>
      <c r="D52" s="703"/>
      <c r="E52" s="705"/>
      <c r="F52" s="721" t="s">
        <v>902</v>
      </c>
      <c r="G52" s="722"/>
      <c r="H52" s="722"/>
      <c r="I52" s="722"/>
      <c r="J52" s="706"/>
    </row>
    <row r="53" spans="1:13" ht="27.6" x14ac:dyDescent="0.25">
      <c r="A53" s="684" t="s">
        <v>746</v>
      </c>
      <c r="B53" s="680"/>
      <c r="C53" s="680"/>
      <c r="D53" s="681">
        <v>960935205</v>
      </c>
      <c r="E53" s="682">
        <f>SUM(B53:D53)</f>
        <v>960935205</v>
      </c>
      <c r="F53" s="687" t="s">
        <v>747</v>
      </c>
      <c r="G53" s="680"/>
      <c r="H53" s="680"/>
      <c r="I53" s="681">
        <v>3064237080</v>
      </c>
      <c r="J53" s="682">
        <f>SUM(G53:I53)</f>
        <v>3064237080</v>
      </c>
    </row>
    <row r="54" spans="1:13" x14ac:dyDescent="0.25">
      <c r="A54" s="709" t="s">
        <v>280</v>
      </c>
      <c r="B54" s="680"/>
      <c r="C54" s="680"/>
      <c r="D54" s="681">
        <v>509250000</v>
      </c>
      <c r="E54" s="682">
        <f>SUM(B54:D54)</f>
        <v>509250000</v>
      </c>
      <c r="F54" s="679" t="s">
        <v>749</v>
      </c>
      <c r="G54" s="680">
        <f>5560060+200000+157878</f>
        <v>5917938</v>
      </c>
      <c r="H54" s="680"/>
      <c r="I54" s="681"/>
      <c r="J54" s="682">
        <f t="shared" ref="J54:J62" si="5">SUM(G54:I54)</f>
        <v>5917938</v>
      </c>
    </row>
    <row r="55" spans="1:13" ht="27.6" x14ac:dyDescent="0.25">
      <c r="A55" s="709" t="s">
        <v>281</v>
      </c>
      <c r="B55" s="680"/>
      <c r="C55" s="723"/>
      <c r="D55" s="724">
        <v>608906935</v>
      </c>
      <c r="E55" s="682">
        <f>SUM(B55:D55)</f>
        <v>608906935</v>
      </c>
      <c r="F55" s="679" t="s">
        <v>751</v>
      </c>
      <c r="G55" s="680"/>
      <c r="H55" s="680"/>
      <c r="I55" s="681">
        <v>5359527</v>
      </c>
      <c r="J55" s="682">
        <f t="shared" si="5"/>
        <v>5359527</v>
      </c>
    </row>
    <row r="56" spans="1:13" ht="27.6" x14ac:dyDescent="0.25">
      <c r="A56" s="170" t="s">
        <v>370</v>
      </c>
      <c r="B56" s="680"/>
      <c r="C56" s="680"/>
      <c r="D56" s="681"/>
      <c r="E56" s="682"/>
      <c r="F56" s="679" t="s">
        <v>282</v>
      </c>
      <c r="G56" s="680"/>
      <c r="H56" s="680"/>
      <c r="I56" s="681"/>
      <c r="J56" s="682">
        <f t="shared" si="5"/>
        <v>0</v>
      </c>
    </row>
    <row r="57" spans="1:13" ht="27.6" x14ac:dyDescent="0.25">
      <c r="A57" s="725"/>
      <c r="B57" s="680"/>
      <c r="C57" s="680"/>
      <c r="D57" s="681"/>
      <c r="E57" s="682"/>
      <c r="F57" s="679" t="s">
        <v>283</v>
      </c>
      <c r="G57" s="680"/>
      <c r="H57" s="680"/>
      <c r="I57" s="681">
        <v>165520425</v>
      </c>
      <c r="J57" s="682">
        <f t="shared" si="5"/>
        <v>165520425</v>
      </c>
    </row>
    <row r="58" spans="1:13" ht="27.6" x14ac:dyDescent="0.25">
      <c r="A58" s="725"/>
      <c r="B58" s="680"/>
      <c r="C58" s="680"/>
      <c r="D58" s="681"/>
      <c r="E58" s="682"/>
      <c r="F58" s="726" t="s">
        <v>284</v>
      </c>
      <c r="G58" s="680"/>
      <c r="H58" s="680"/>
      <c r="I58" s="681">
        <v>24503039</v>
      </c>
      <c r="J58" s="682">
        <f t="shared" si="5"/>
        <v>24503039</v>
      </c>
    </row>
    <row r="59" spans="1:13" ht="27.6" x14ac:dyDescent="0.25">
      <c r="A59" s="727"/>
      <c r="B59" s="680"/>
      <c r="C59" s="680"/>
      <c r="D59" s="681"/>
      <c r="E59" s="682"/>
      <c r="F59" s="576" t="s">
        <v>839</v>
      </c>
      <c r="G59" s="680"/>
      <c r="H59" s="680"/>
      <c r="I59" s="681">
        <v>0</v>
      </c>
      <c r="J59" s="682">
        <f t="shared" si="5"/>
        <v>0</v>
      </c>
    </row>
    <row r="60" spans="1:13" ht="27.6" x14ac:dyDescent="0.25">
      <c r="A60" s="727"/>
      <c r="B60" s="680"/>
      <c r="C60" s="680"/>
      <c r="D60" s="681"/>
      <c r="E60" s="682"/>
      <c r="F60" s="576" t="s">
        <v>266</v>
      </c>
      <c r="G60" s="680"/>
      <c r="H60" s="680"/>
      <c r="I60" s="681">
        <v>305599200</v>
      </c>
      <c r="J60" s="682">
        <f t="shared" si="5"/>
        <v>305599200</v>
      </c>
    </row>
    <row r="61" spans="1:13" ht="27.6" x14ac:dyDescent="0.25">
      <c r="A61" s="728" t="s">
        <v>293</v>
      </c>
      <c r="B61" s="695">
        <f>SUM(B53:B59)</f>
        <v>0</v>
      </c>
      <c r="C61" s="695">
        <f>SUM(C53:C59)</f>
        <v>0</v>
      </c>
      <c r="D61" s="696">
        <f>SUM(D53:D59)</f>
        <v>2079092140</v>
      </c>
      <c r="E61" s="698">
        <f>SUM(E53:E59)</f>
        <v>2079092140</v>
      </c>
      <c r="F61" s="663" t="s">
        <v>294</v>
      </c>
      <c r="G61" s="695">
        <f>SUM(G53:G59)</f>
        <v>5917938</v>
      </c>
      <c r="H61" s="695">
        <f>SUM(H53:H59)</f>
        <v>0</v>
      </c>
      <c r="I61" s="696">
        <f>SUM(I53:I60)</f>
        <v>3565219271</v>
      </c>
      <c r="J61" s="698">
        <f>SUM(J53:J60)</f>
        <v>3571137209</v>
      </c>
    </row>
    <row r="62" spans="1:13" x14ac:dyDescent="0.25">
      <c r="A62" s="664" t="s">
        <v>275</v>
      </c>
      <c r="B62" s="680"/>
      <c r="C62" s="680"/>
      <c r="D62" s="681">
        <f>853915944+196699723</f>
        <v>1050615667</v>
      </c>
      <c r="E62" s="682">
        <f>SUM(B62:D62)</f>
        <v>1050615667</v>
      </c>
      <c r="F62" s="720" t="s">
        <v>276</v>
      </c>
      <c r="G62" s="680"/>
      <c r="H62" s="680"/>
      <c r="I62" s="681">
        <v>74242424</v>
      </c>
      <c r="J62" s="682">
        <f t="shared" si="5"/>
        <v>74242424</v>
      </c>
    </row>
    <row r="63" spans="1:13" x14ac:dyDescent="0.25">
      <c r="A63" s="664"/>
      <c r="B63" s="680"/>
      <c r="C63" s="680"/>
      <c r="D63" s="681"/>
      <c r="E63" s="682"/>
      <c r="F63" s="679"/>
      <c r="G63" s="680"/>
      <c r="H63" s="680"/>
      <c r="I63" s="681"/>
      <c r="J63" s="706"/>
    </row>
    <row r="64" spans="1:13" ht="41.4" x14ac:dyDescent="0.25">
      <c r="A64" s="729" t="s">
        <v>295</v>
      </c>
      <c r="B64" s="695">
        <f>B61+B62</f>
        <v>0</v>
      </c>
      <c r="C64" s="695">
        <f>C61+C62</f>
        <v>0</v>
      </c>
      <c r="D64" s="696">
        <f>D61+D62</f>
        <v>3129707807</v>
      </c>
      <c r="E64" s="698">
        <f>E61+E62</f>
        <v>3129707807</v>
      </c>
      <c r="F64" s="730" t="s">
        <v>296</v>
      </c>
      <c r="G64" s="695">
        <f>G61+G62</f>
        <v>5917938</v>
      </c>
      <c r="H64" s="695">
        <f>H61+H62</f>
        <v>0</v>
      </c>
      <c r="I64" s="696">
        <f>I61+I62</f>
        <v>3639461695</v>
      </c>
      <c r="J64" s="698">
        <f>J61+J62</f>
        <v>3645379633</v>
      </c>
    </row>
    <row r="65" spans="1:10" x14ac:dyDescent="0.25">
      <c r="A65" s="731"/>
      <c r="B65" s="850">
        <f>B64+B51</f>
        <v>87745940</v>
      </c>
      <c r="C65" s="850">
        <f>C64+C51</f>
        <v>0</v>
      </c>
      <c r="D65" s="850">
        <f>D64+D51</f>
        <v>4011851004</v>
      </c>
      <c r="E65" s="850">
        <f>E64+E51</f>
        <v>4099596944</v>
      </c>
      <c r="F65" s="733"/>
      <c r="G65" s="714">
        <f>G64+G51</f>
        <v>134314971</v>
      </c>
      <c r="H65" s="714">
        <f>H64+H51</f>
        <v>0</v>
      </c>
      <c r="I65" s="714">
        <f>I64+I51</f>
        <v>4125209422</v>
      </c>
      <c r="J65" s="714">
        <f>J64+J51</f>
        <v>4259524393</v>
      </c>
    </row>
    <row r="66" spans="1:10" x14ac:dyDescent="0.25">
      <c r="A66" s="731"/>
      <c r="B66" s="732"/>
      <c r="C66" s="732"/>
      <c r="D66" s="732"/>
      <c r="E66" s="732"/>
      <c r="F66" s="733"/>
      <c r="G66" s="714"/>
      <c r="H66" s="714"/>
      <c r="I66" s="714"/>
      <c r="J66" s="714"/>
    </row>
    <row r="67" spans="1:10" x14ac:dyDescent="0.25">
      <c r="A67" s="731"/>
      <c r="B67" s="732"/>
      <c r="C67" s="732"/>
      <c r="D67" s="732"/>
      <c r="E67" s="732"/>
      <c r="F67" s="733"/>
      <c r="G67" s="714"/>
      <c r="H67" s="714"/>
      <c r="I67" s="714"/>
      <c r="J67" s="714"/>
    </row>
    <row r="68" spans="1:10" ht="15.75" customHeight="1" x14ac:dyDescent="0.3">
      <c r="A68" s="1743" t="s">
        <v>305</v>
      </c>
      <c r="B68" s="1743"/>
      <c r="C68" s="1743"/>
      <c r="D68" s="1743"/>
      <c r="E68" s="1743"/>
      <c r="F68" s="1743"/>
      <c r="G68" s="1743"/>
    </row>
    <row r="70" spans="1:10" s="658" customFormat="1" ht="26.4" x14ac:dyDescent="0.25">
      <c r="A70" s="715" t="s">
        <v>722</v>
      </c>
      <c r="B70" s="653" t="s">
        <v>901</v>
      </c>
      <c r="C70" s="654" t="s">
        <v>271</v>
      </c>
      <c r="D70" s="655" t="s">
        <v>899</v>
      </c>
      <c r="E70" s="656" t="s">
        <v>265</v>
      </c>
      <c r="F70" s="716" t="s">
        <v>723</v>
      </c>
      <c r="G70" s="653" t="s">
        <v>901</v>
      </c>
      <c r="H70" s="654" t="s">
        <v>271</v>
      </c>
      <c r="I70" s="655" t="s">
        <v>899</v>
      </c>
      <c r="J70" s="656" t="s">
        <v>265</v>
      </c>
    </row>
    <row r="71" spans="1:10" x14ac:dyDescent="0.25">
      <c r="A71" s="734" t="s">
        <v>156</v>
      </c>
      <c r="B71" s="660"/>
      <c r="C71" s="660"/>
      <c r="D71" s="661"/>
      <c r="E71" s="662"/>
      <c r="F71" s="735" t="s">
        <v>898</v>
      </c>
      <c r="G71" s="717"/>
      <c r="H71" s="717"/>
      <c r="I71" s="718"/>
      <c r="J71" s="706"/>
    </row>
    <row r="72" spans="1:10" ht="27.6" x14ac:dyDescent="0.25">
      <c r="A72" s="736" t="s">
        <v>272</v>
      </c>
      <c r="B72" s="680"/>
      <c r="C72" s="680">
        <f>159523832*0.2435+20882368*0.3139+22871493*0.3139+23317*0.3118</f>
        <v>52585660.300499998</v>
      </c>
      <c r="D72" s="681"/>
      <c r="E72" s="682">
        <f>SUM(B72:D72)</f>
        <v>52585660.300499998</v>
      </c>
      <c r="F72" s="687" t="s">
        <v>572</v>
      </c>
      <c r="G72" s="680"/>
      <c r="H72" s="680">
        <v>73946509</v>
      </c>
      <c r="I72" s="681"/>
      <c r="J72" s="682">
        <f t="shared" ref="J72:J78" si="6">SUM(G72:I72)</f>
        <v>73946509</v>
      </c>
    </row>
    <row r="73" spans="1:10" x14ac:dyDescent="0.25">
      <c r="A73" s="725" t="s">
        <v>725</v>
      </c>
      <c r="B73" s="680"/>
      <c r="C73" s="680">
        <f>'2.sz.tábla   (2)'!E30</f>
        <v>1000000</v>
      </c>
      <c r="D73" s="681"/>
      <c r="E73" s="682">
        <f>SUM(B73:D73)</f>
        <v>1000000</v>
      </c>
      <c r="F73" s="737" t="s">
        <v>563</v>
      </c>
      <c r="G73" s="680"/>
      <c r="H73" s="680">
        <v>16206335</v>
      </c>
      <c r="I73" s="681"/>
      <c r="J73" s="682">
        <f t="shared" si="6"/>
        <v>16206335</v>
      </c>
    </row>
    <row r="74" spans="1:10" x14ac:dyDescent="0.25">
      <c r="A74" s="683" t="s">
        <v>727</v>
      </c>
      <c r="B74" s="680">
        <v>0</v>
      </c>
      <c r="C74" s="680">
        <f>5080000+56977*0.236</f>
        <v>5093446.5719999997</v>
      </c>
      <c r="D74" s="681"/>
      <c r="E74" s="682">
        <f>SUM(B74:D74)</f>
        <v>5093446.5719999997</v>
      </c>
      <c r="F74" s="737" t="s">
        <v>730</v>
      </c>
      <c r="G74" s="680"/>
      <c r="H74" s="680">
        <v>19911522</v>
      </c>
      <c r="I74" s="681"/>
      <c r="J74" s="682">
        <f t="shared" si="6"/>
        <v>19911522</v>
      </c>
    </row>
    <row r="75" spans="1:10" ht="27.6" x14ac:dyDescent="0.25">
      <c r="A75" s="684" t="s">
        <v>731</v>
      </c>
      <c r="B75" s="680"/>
      <c r="C75" s="680"/>
      <c r="D75" s="681"/>
      <c r="E75" s="682"/>
      <c r="F75" s="738" t="s">
        <v>591</v>
      </c>
      <c r="G75" s="680"/>
      <c r="H75" s="680"/>
      <c r="I75" s="681"/>
      <c r="J75" s="682">
        <f t="shared" si="6"/>
        <v>0</v>
      </c>
    </row>
    <row r="76" spans="1:10" x14ac:dyDescent="0.25">
      <c r="A76" s="725"/>
      <c r="B76" s="680"/>
      <c r="C76" s="680"/>
      <c r="D76" s="681"/>
      <c r="E76" s="682"/>
      <c r="F76" s="737" t="s">
        <v>570</v>
      </c>
      <c r="G76" s="680"/>
      <c r="H76" s="680">
        <v>100390</v>
      </c>
      <c r="I76" s="681"/>
      <c r="J76" s="682">
        <f t="shared" si="6"/>
        <v>100390</v>
      </c>
    </row>
    <row r="77" spans="1:10" x14ac:dyDescent="0.25">
      <c r="A77" s="739"/>
      <c r="B77" s="680"/>
      <c r="C77" s="680"/>
      <c r="D77" s="681"/>
      <c r="E77" s="682"/>
      <c r="F77" s="576" t="s">
        <v>811</v>
      </c>
      <c r="G77" s="680"/>
      <c r="H77" s="680"/>
      <c r="I77" s="681"/>
      <c r="J77" s="682">
        <f t="shared" si="6"/>
        <v>0</v>
      </c>
    </row>
    <row r="78" spans="1:10" ht="27.6" x14ac:dyDescent="0.25">
      <c r="A78" s="739"/>
      <c r="B78" s="680"/>
      <c r="C78" s="680"/>
      <c r="D78" s="681"/>
      <c r="E78" s="682"/>
      <c r="F78" s="576" t="s">
        <v>812</v>
      </c>
      <c r="G78" s="680"/>
      <c r="H78" s="680"/>
      <c r="I78" s="681"/>
      <c r="J78" s="682">
        <f t="shared" si="6"/>
        <v>0</v>
      </c>
    </row>
    <row r="79" spans="1:10" ht="27.6" x14ac:dyDescent="0.25">
      <c r="A79" s="736"/>
      <c r="B79" s="680"/>
      <c r="C79" s="685"/>
      <c r="D79" s="686"/>
      <c r="E79" s="689"/>
      <c r="F79" s="583" t="s">
        <v>813</v>
      </c>
      <c r="G79" s="680"/>
      <c r="H79" s="680"/>
      <c r="I79" s="681"/>
      <c r="J79" s="706"/>
    </row>
    <row r="80" spans="1:10" ht="27.6" x14ac:dyDescent="0.25">
      <c r="A80" s="684"/>
      <c r="B80" s="680"/>
      <c r="C80" s="680"/>
      <c r="D80" s="681"/>
      <c r="E80" s="682"/>
      <c r="F80" s="576" t="s">
        <v>814</v>
      </c>
      <c r="G80" s="680"/>
      <c r="H80" s="680"/>
      <c r="I80" s="681"/>
      <c r="J80" s="706"/>
    </row>
    <row r="81" spans="1:11" x14ac:dyDescent="0.25">
      <c r="A81" s="740"/>
      <c r="B81" s="680"/>
      <c r="C81" s="680"/>
      <c r="D81" s="681"/>
      <c r="E81" s="682"/>
      <c r="F81" s="290" t="s">
        <v>803</v>
      </c>
      <c r="G81" s="680"/>
      <c r="H81" s="680"/>
      <c r="I81" s="681"/>
      <c r="J81" s="706"/>
    </row>
    <row r="82" spans="1:11" ht="41.4" x14ac:dyDescent="0.25">
      <c r="A82" s="728" t="s">
        <v>297</v>
      </c>
      <c r="B82" s="695">
        <f>SUM(B72:B81)</f>
        <v>0</v>
      </c>
      <c r="C82" s="695">
        <f>SUM(C72:C81)</f>
        <v>58679106.872499995</v>
      </c>
      <c r="D82" s="696">
        <f>SUM(D72:D81)</f>
        <v>0</v>
      </c>
      <c r="E82" s="698">
        <f>SUM(E72:E81)</f>
        <v>58679106.872499995</v>
      </c>
      <c r="F82" s="735" t="s">
        <v>298</v>
      </c>
      <c r="G82" s="695">
        <f>SUM(G72:G81)</f>
        <v>0</v>
      </c>
      <c r="H82" s="695">
        <f>SUM(H72:H81)</f>
        <v>110164756</v>
      </c>
      <c r="I82" s="696">
        <f>SUM(I72:I81)</f>
        <v>0</v>
      </c>
      <c r="J82" s="698">
        <f>SUM(J72:J81)</f>
        <v>110164756</v>
      </c>
    </row>
    <row r="83" spans="1:11" x14ac:dyDescent="0.25">
      <c r="A83" s="664" t="s">
        <v>275</v>
      </c>
      <c r="B83" s="680"/>
      <c r="C83" s="680">
        <f>31465031*0.236</f>
        <v>7425747.3159999996</v>
      </c>
      <c r="D83" s="681"/>
      <c r="E83" s="682">
        <f>SUM(B83:D83)</f>
        <v>7425747.3159999996</v>
      </c>
      <c r="F83" s="741" t="s">
        <v>276</v>
      </c>
      <c r="G83" s="680"/>
      <c r="H83" s="680"/>
      <c r="I83" s="681"/>
      <c r="J83" s="706"/>
    </row>
    <row r="84" spans="1:11" ht="41.4" x14ac:dyDescent="0.25">
      <c r="A84" s="728" t="s">
        <v>299</v>
      </c>
      <c r="B84" s="695">
        <f>B82+B83</f>
        <v>0</v>
      </c>
      <c r="C84" s="695">
        <f>C82+C83</f>
        <v>66104854.188499995</v>
      </c>
      <c r="D84" s="696">
        <f>D82+D83</f>
        <v>0</v>
      </c>
      <c r="E84" s="698">
        <f>E82+E83</f>
        <v>66104854.188499995</v>
      </c>
      <c r="F84" s="735" t="s">
        <v>300</v>
      </c>
      <c r="G84" s="695">
        <f>G82+G83</f>
        <v>0</v>
      </c>
      <c r="H84" s="695">
        <f>H82+H83</f>
        <v>110164756</v>
      </c>
      <c r="I84" s="696">
        <f>I82+I83</f>
        <v>0</v>
      </c>
      <c r="J84" s="698">
        <f>J82+J83</f>
        <v>110164756</v>
      </c>
    </row>
    <row r="85" spans="1:11" x14ac:dyDescent="0.25">
      <c r="A85" s="694" t="s">
        <v>279</v>
      </c>
      <c r="B85" s="703"/>
      <c r="C85" s="703"/>
      <c r="D85" s="703"/>
      <c r="E85" s="705"/>
      <c r="F85" s="721" t="s">
        <v>902</v>
      </c>
      <c r="G85" s="722"/>
      <c r="H85" s="722"/>
      <c r="I85" s="722"/>
      <c r="J85" s="706"/>
    </row>
    <row r="86" spans="1:11" ht="27.6" x14ac:dyDescent="0.25">
      <c r="A86" s="684" t="s">
        <v>746</v>
      </c>
      <c r="B86" s="695"/>
      <c r="C86" s="695"/>
      <c r="D86" s="696"/>
      <c r="E86" s="698"/>
      <c r="F86" s="687" t="s">
        <v>747</v>
      </c>
      <c r="G86" s="680"/>
      <c r="H86" s="680"/>
      <c r="I86" s="681"/>
      <c r="J86" s="682">
        <f t="shared" ref="J86:J91" si="7">SUM(G86:I86)</f>
        <v>0</v>
      </c>
    </row>
    <row r="87" spans="1:11" x14ac:dyDescent="0.25">
      <c r="A87" s="709" t="s">
        <v>280</v>
      </c>
      <c r="B87" s="680"/>
      <c r="C87" s="680">
        <f>211023*0.236</f>
        <v>49801.428</v>
      </c>
      <c r="D87" s="681"/>
      <c r="E87" s="682">
        <f>SUM(B87:D87)</f>
        <v>49801.428</v>
      </c>
      <c r="F87" s="679" t="s">
        <v>749</v>
      </c>
      <c r="G87" s="680"/>
      <c r="H87" s="680">
        <v>4634327</v>
      </c>
      <c r="I87" s="681"/>
      <c r="J87" s="682">
        <f t="shared" si="7"/>
        <v>4634327</v>
      </c>
    </row>
    <row r="88" spans="1:11" ht="27.6" x14ac:dyDescent="0.25">
      <c r="A88" s="709" t="s">
        <v>281</v>
      </c>
      <c r="B88" s="742"/>
      <c r="C88" s="742"/>
      <c r="D88" s="743"/>
      <c r="E88" s="744"/>
      <c r="F88" s="679" t="s">
        <v>751</v>
      </c>
      <c r="G88" s="680"/>
      <c r="H88" s="680"/>
      <c r="I88" s="681"/>
      <c r="J88" s="682">
        <f t="shared" si="7"/>
        <v>0</v>
      </c>
    </row>
    <row r="89" spans="1:11" x14ac:dyDescent="0.25">
      <c r="A89" s="677"/>
      <c r="B89" s="680"/>
      <c r="C89" s="680"/>
      <c r="D89" s="681"/>
      <c r="E89" s="682"/>
      <c r="F89" s="679" t="s">
        <v>282</v>
      </c>
      <c r="G89" s="680"/>
      <c r="H89" s="680"/>
      <c r="I89" s="681"/>
      <c r="J89" s="682">
        <f t="shared" si="7"/>
        <v>0</v>
      </c>
    </row>
    <row r="90" spans="1:11" ht="27.6" x14ac:dyDescent="0.25">
      <c r="A90" s="728" t="s">
        <v>293</v>
      </c>
      <c r="B90" s="695">
        <f>SUM(B86:B88)</f>
        <v>0</v>
      </c>
      <c r="C90" s="695">
        <f>SUM(C86:C88)</f>
        <v>49801.428</v>
      </c>
      <c r="D90" s="696">
        <f>SUM(D86:D88)</f>
        <v>0</v>
      </c>
      <c r="E90" s="698">
        <f>SUM(E86:E88)</f>
        <v>49801.428</v>
      </c>
      <c r="F90" s="679" t="s">
        <v>283</v>
      </c>
      <c r="G90" s="680"/>
      <c r="H90" s="680"/>
      <c r="I90" s="681"/>
      <c r="J90" s="682">
        <f t="shared" si="7"/>
        <v>0</v>
      </c>
    </row>
    <row r="91" spans="1:11" ht="27.6" x14ac:dyDescent="0.25">
      <c r="A91" s="664" t="s">
        <v>275</v>
      </c>
      <c r="B91" s="680"/>
      <c r="C91" s="680">
        <f>4825957*0.236</f>
        <v>1138925.852</v>
      </c>
      <c r="D91" s="681"/>
      <c r="E91" s="682">
        <f>SUM(B91:D91)</f>
        <v>1138925.852</v>
      </c>
      <c r="F91" s="726" t="s">
        <v>284</v>
      </c>
      <c r="G91" s="680"/>
      <c r="H91" s="680"/>
      <c r="I91" s="681"/>
      <c r="J91" s="682">
        <f t="shared" si="7"/>
        <v>0</v>
      </c>
    </row>
    <row r="92" spans="1:11" ht="27.6" x14ac:dyDescent="0.25">
      <c r="A92" s="711"/>
      <c r="B92" s="680"/>
      <c r="C92" s="680"/>
      <c r="D92" s="681"/>
      <c r="E92" s="682"/>
      <c r="F92" s="576" t="s">
        <v>755</v>
      </c>
      <c r="G92" s="680"/>
      <c r="H92" s="680"/>
      <c r="I92" s="681"/>
      <c r="J92" s="706"/>
    </row>
    <row r="93" spans="1:11" ht="41.4" x14ac:dyDescent="0.25">
      <c r="A93" s="702" t="s">
        <v>1016</v>
      </c>
      <c r="B93" s="695">
        <f>SUM(B86:B92)</f>
        <v>0</v>
      </c>
      <c r="C93" s="696">
        <f>C90+C91</f>
        <v>1188727.28</v>
      </c>
      <c r="D93" s="696">
        <f t="shared" ref="D93:E93" si="8">D90+D91</f>
        <v>0</v>
      </c>
      <c r="E93" s="696">
        <f t="shared" si="8"/>
        <v>1188727.28</v>
      </c>
      <c r="F93" s="730" t="s">
        <v>1017</v>
      </c>
      <c r="G93" s="695">
        <f>SUM(G86:G92)</f>
        <v>0</v>
      </c>
      <c r="H93" s="696">
        <f>SUM(H86:H92)</f>
        <v>4634327</v>
      </c>
      <c r="I93" s="696">
        <f>SUM(I86:I92)</f>
        <v>0</v>
      </c>
      <c r="J93" s="698">
        <f>SUM(J86:J92)</f>
        <v>4634327</v>
      </c>
    </row>
    <row r="94" spans="1:11" x14ac:dyDescent="0.25">
      <c r="A94" s="1222"/>
      <c r="B94" s="708">
        <f>B93+B84+B64+B51+B33+B21</f>
        <v>242303041</v>
      </c>
      <c r="C94" s="708">
        <f>C93+C84+C64+C51+C33+C21</f>
        <v>276195078</v>
      </c>
      <c r="D94" s="708">
        <f>D93+D84+D64+D51+D33+D21</f>
        <v>10256025138</v>
      </c>
      <c r="E94" s="708">
        <f>E93+E84+E64+E51+E33+E21</f>
        <v>10774523257</v>
      </c>
      <c r="G94" s="714">
        <f>G93+G84+G64+G51+G33+G21</f>
        <v>365388091</v>
      </c>
      <c r="H94" s="714">
        <f>H93+H84+H64+H51+H33+H21</f>
        <v>473331839</v>
      </c>
      <c r="I94" s="714">
        <f>I93+I84+I64+I51+I33+I21</f>
        <v>9935803327</v>
      </c>
      <c r="J94" s="714">
        <f>SUM(G94:I94)</f>
        <v>10774523257</v>
      </c>
      <c r="K94" s="708">
        <f>J93+J84+J64+J51+J33+J21</f>
        <v>10774523257</v>
      </c>
    </row>
    <row r="95" spans="1:11" x14ac:dyDescent="0.25">
      <c r="A95" s="745" t="s">
        <v>301</v>
      </c>
      <c r="B95" s="708">
        <f>B94-G94</f>
        <v>-123085050</v>
      </c>
      <c r="C95" s="708">
        <f>C94-H94</f>
        <v>-197136761</v>
      </c>
      <c r="D95" s="708">
        <f>D94-I94</f>
        <v>320221811</v>
      </c>
      <c r="E95" s="708">
        <f>J94-E94</f>
        <v>0</v>
      </c>
      <c r="J95" s="714"/>
    </row>
    <row r="96" spans="1:11" x14ac:dyDescent="0.25">
      <c r="C96" s="708">
        <f>SUM(B95:C95)</f>
        <v>-320221811</v>
      </c>
      <c r="E96" s="708">
        <f>SUM(B94:D94)</f>
        <v>10774523257</v>
      </c>
    </row>
  </sheetData>
  <sheetProtection selectLockedCells="1" selectUnlockedCells="1"/>
  <mergeCells count="4">
    <mergeCell ref="A1:J3"/>
    <mergeCell ref="A5:G5"/>
    <mergeCell ref="A35:G35"/>
    <mergeCell ref="A68:G68"/>
  </mergeCells>
  <phoneticPr fontId="27" type="noConversion"/>
  <pageMargins left="0.75" right="0.75" top="1" bottom="1" header="0.5" footer="0.51180555555555551"/>
  <pageSetup paperSize="9" scale="62" firstPageNumber="0" orientation="landscape" r:id="rId1"/>
  <headerFooter alignWithMargins="0">
    <oddHeader xml:space="preserve">&amp;C9. melléklet 
az önkormányzat 2018. évi költségvetéséről szóló 11/2018. (III.01.) önkormányzati rendelethez&amp;R&amp;P. oldal
</oddHeader>
  </headerFooter>
  <rowBreaks count="2" manualBreakCount="2">
    <brk id="34" max="9" man="1"/>
    <brk id="65" max="9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view="pageLayout" zoomScaleNormal="100" workbookViewId="0">
      <selection activeCell="I60" sqref="I60"/>
    </sheetView>
  </sheetViews>
  <sheetFormatPr defaultRowHeight="13.2" x14ac:dyDescent="0.25"/>
  <cols>
    <col min="1" max="1" width="11.109375" style="1442" bestFit="1" customWidth="1"/>
    <col min="2" max="2" width="26" style="1443" bestFit="1" customWidth="1"/>
    <col min="3" max="3" width="13.6640625" customWidth="1"/>
    <col min="4" max="4" width="19.6640625" customWidth="1"/>
    <col min="5" max="5" width="17.33203125" customWidth="1"/>
    <col min="6" max="6" width="17.88671875" style="1446" customWidth="1"/>
    <col min="7" max="7" width="18" customWidth="1"/>
    <col min="8" max="8" width="16.5546875" customWidth="1"/>
    <col min="9" max="9" width="17.33203125" customWidth="1"/>
    <col min="10" max="10" width="16.33203125" customWidth="1"/>
    <col min="11" max="11" width="17.88671875" customWidth="1"/>
    <col min="12" max="12" width="19.109375" customWidth="1"/>
  </cols>
  <sheetData>
    <row r="1" spans="1:12" ht="15" x14ac:dyDescent="0.25">
      <c r="A1" s="1271"/>
      <c r="B1" s="517"/>
      <c r="C1" s="516"/>
      <c r="D1" s="1272"/>
      <c r="E1" s="1272"/>
      <c r="F1" s="1273"/>
      <c r="G1" s="1272"/>
      <c r="H1" s="1272"/>
      <c r="I1" s="1272"/>
      <c r="J1" s="1272"/>
      <c r="K1" s="1272"/>
      <c r="L1" s="1272"/>
    </row>
    <row r="2" spans="1:12" ht="15.6" x14ac:dyDescent="0.3">
      <c r="A2" s="1659" t="s">
        <v>1018</v>
      </c>
      <c r="B2" s="1659"/>
      <c r="C2" s="1659"/>
      <c r="D2" s="1659"/>
      <c r="E2" s="1659"/>
      <c r="F2" s="1659"/>
      <c r="G2" s="1659"/>
      <c r="H2" s="1659"/>
      <c r="I2" s="1659"/>
      <c r="J2" s="1659"/>
      <c r="K2" s="1659"/>
      <c r="L2" s="1659"/>
    </row>
    <row r="3" spans="1:12" ht="15" x14ac:dyDescent="0.25">
      <c r="A3" s="1271"/>
      <c r="B3" s="517"/>
      <c r="C3" s="1274"/>
      <c r="D3" s="1275"/>
      <c r="E3" s="1275"/>
      <c r="F3" s="1276"/>
      <c r="G3" s="1275"/>
      <c r="H3" s="1275"/>
      <c r="I3" s="1275"/>
      <c r="J3" s="1275"/>
      <c r="K3" s="1275"/>
      <c r="L3" s="1275"/>
    </row>
    <row r="4" spans="1:12" ht="31.5" customHeight="1" x14ac:dyDescent="0.3">
      <c r="A4" s="1277"/>
      <c r="B4" s="1746" t="s">
        <v>1019</v>
      </c>
      <c r="C4" s="1278" t="s">
        <v>1020</v>
      </c>
      <c r="D4" s="1748" t="s">
        <v>1021</v>
      </c>
      <c r="E4" s="1750" t="s">
        <v>1022</v>
      </c>
      <c r="F4" s="1751" t="s">
        <v>1023</v>
      </c>
      <c r="G4" s="1753" t="s">
        <v>1024</v>
      </c>
      <c r="H4" s="1753" t="s">
        <v>1025</v>
      </c>
      <c r="I4" s="1755" t="s">
        <v>1026</v>
      </c>
      <c r="J4" s="1757" t="s">
        <v>1027</v>
      </c>
      <c r="K4" s="1759" t="s">
        <v>1028</v>
      </c>
      <c r="L4" s="1744" t="s">
        <v>1029</v>
      </c>
    </row>
    <row r="5" spans="1:12" ht="15.75" customHeight="1" x14ac:dyDescent="0.3">
      <c r="A5" s="1277"/>
      <c r="B5" s="1747"/>
      <c r="C5" s="1279" t="s">
        <v>1030</v>
      </c>
      <c r="D5" s="1749"/>
      <c r="E5" s="1750"/>
      <c r="F5" s="1752"/>
      <c r="G5" s="1754"/>
      <c r="H5" s="1754"/>
      <c r="I5" s="1756"/>
      <c r="J5" s="1757"/>
      <c r="K5" s="1759"/>
      <c r="L5" s="1744"/>
    </row>
    <row r="6" spans="1:12" ht="30.75" customHeight="1" thickBot="1" x14ac:dyDescent="0.35">
      <c r="A6" s="1280"/>
      <c r="B6" s="1281"/>
      <c r="C6" s="1282"/>
      <c r="D6" s="1283" t="s">
        <v>1031</v>
      </c>
      <c r="E6" s="1748"/>
      <c r="F6" s="1752"/>
      <c r="G6" s="1754"/>
      <c r="H6" s="1754"/>
      <c r="I6" s="1756"/>
      <c r="J6" s="1758"/>
      <c r="K6" s="1760"/>
      <c r="L6" s="1745"/>
    </row>
    <row r="7" spans="1:12" ht="16.2" thickBot="1" x14ac:dyDescent="0.35">
      <c r="A7" s="1284" t="s">
        <v>1032</v>
      </c>
      <c r="B7" s="1285" t="s">
        <v>840</v>
      </c>
      <c r="C7" s="1286" t="s">
        <v>1033</v>
      </c>
      <c r="D7" s="1287" t="s">
        <v>1034</v>
      </c>
      <c r="E7" s="1287" t="s">
        <v>1035</v>
      </c>
      <c r="F7" s="1288" t="s">
        <v>1036</v>
      </c>
      <c r="G7" s="1289" t="s">
        <v>1037</v>
      </c>
      <c r="H7" s="1289" t="s">
        <v>1038</v>
      </c>
      <c r="I7" s="1289" t="s">
        <v>1039</v>
      </c>
      <c r="J7" s="1289" t="s">
        <v>1040</v>
      </c>
      <c r="K7" s="1290" t="s">
        <v>1041</v>
      </c>
      <c r="L7" s="1291" t="s">
        <v>1042</v>
      </c>
    </row>
    <row r="8" spans="1:12" ht="30" x14ac:dyDescent="0.25">
      <c r="A8" s="1292">
        <v>1</v>
      </c>
      <c r="B8" s="1293" t="s">
        <v>1043</v>
      </c>
      <c r="C8" s="1294"/>
      <c r="D8" s="1295"/>
      <c r="E8" s="1295"/>
      <c r="F8" s="1296"/>
      <c r="G8" s="1297"/>
      <c r="H8" s="1297"/>
      <c r="I8" s="1297"/>
      <c r="J8" s="1297"/>
      <c r="K8" s="1297"/>
      <c r="L8" s="1298"/>
    </row>
    <row r="9" spans="1:12" ht="15" x14ac:dyDescent="0.25">
      <c r="A9" s="1277">
        <v>2</v>
      </c>
      <c r="B9" s="1299" t="s">
        <v>1044</v>
      </c>
      <c r="C9" s="1300"/>
      <c r="D9" s="1301"/>
      <c r="E9" s="1301"/>
      <c r="F9" s="1302"/>
      <c r="G9" s="1303"/>
      <c r="H9" s="1303"/>
      <c r="I9" s="1303"/>
      <c r="J9" s="1303"/>
      <c r="K9" s="1304"/>
      <c r="L9" s="1305"/>
    </row>
    <row r="10" spans="1:12" ht="15" x14ac:dyDescent="0.25">
      <c r="A10" s="1277">
        <v>3</v>
      </c>
      <c r="B10" s="1306"/>
      <c r="C10" s="1300"/>
      <c r="D10" s="1307"/>
      <c r="E10" s="1308"/>
      <c r="F10" s="1309"/>
      <c r="G10" s="1310"/>
      <c r="H10" s="1310"/>
      <c r="I10" s="1310"/>
      <c r="J10" s="1310"/>
      <c r="K10" s="1311"/>
      <c r="L10" s="1305"/>
    </row>
    <row r="11" spans="1:12" ht="30" x14ac:dyDescent="0.25">
      <c r="A11" s="1277">
        <v>4</v>
      </c>
      <c r="B11" s="1299" t="s">
        <v>1045</v>
      </c>
      <c r="C11" s="1312"/>
      <c r="D11" s="1313"/>
      <c r="E11" s="1313"/>
      <c r="F11" s="1314"/>
      <c r="G11" s="1315"/>
      <c r="H11" s="1315"/>
      <c r="I11" s="1315"/>
      <c r="J11" s="1315"/>
      <c r="K11" s="1316"/>
      <c r="L11" s="1305"/>
    </row>
    <row r="12" spans="1:12" ht="15.6" x14ac:dyDescent="0.3">
      <c r="A12" s="1277">
        <v>5</v>
      </c>
      <c r="B12" s="1299" t="s">
        <v>1046</v>
      </c>
      <c r="C12" s="1300"/>
      <c r="D12" s="1317">
        <f>D14+D16+D18+D20</f>
        <v>391690713</v>
      </c>
      <c r="E12" s="1318">
        <f>SUM(E13)</f>
        <v>0</v>
      </c>
      <c r="F12" s="1319">
        <f t="shared" ref="F12:K12" si="0">F14+F16+F18+F20</f>
        <v>90872521</v>
      </c>
      <c r="G12" s="1318">
        <f t="shared" si="0"/>
        <v>88915408</v>
      </c>
      <c r="H12" s="1318">
        <f t="shared" si="0"/>
        <v>86995829</v>
      </c>
      <c r="I12" s="1318">
        <f t="shared" si="0"/>
        <v>85001182</v>
      </c>
      <c r="J12" s="1318">
        <f t="shared" si="0"/>
        <v>397145207</v>
      </c>
      <c r="K12" s="1318">
        <f t="shared" si="0"/>
        <v>658057626</v>
      </c>
      <c r="L12" s="1318">
        <f>D12+E12+F12+K12</f>
        <v>1140620860</v>
      </c>
    </row>
    <row r="13" spans="1:12" ht="30.6" x14ac:dyDescent="0.3">
      <c r="A13" s="1277">
        <v>6</v>
      </c>
      <c r="B13" s="1320" t="s">
        <v>1047</v>
      </c>
      <c r="C13" s="1321">
        <v>2014</v>
      </c>
      <c r="D13" s="1308">
        <v>331818182</v>
      </c>
      <c r="E13" s="1308"/>
      <c r="F13" s="1309">
        <v>74242424</v>
      </c>
      <c r="G13" s="1310">
        <v>74242424</v>
      </c>
      <c r="H13" s="1310">
        <v>74242424</v>
      </c>
      <c r="I13" s="1310">
        <v>74242424</v>
      </c>
      <c r="J13" s="1322">
        <v>371212122</v>
      </c>
      <c r="K13" s="1323">
        <f>G13+H13+I13+J13</f>
        <v>593939394</v>
      </c>
      <c r="L13" s="1305">
        <f>D13+E13+F13+K13</f>
        <v>1000000000</v>
      </c>
    </row>
    <row r="14" spans="1:12" ht="15.6" x14ac:dyDescent="0.3">
      <c r="A14" s="1277">
        <v>7</v>
      </c>
      <c r="B14" s="1324" t="s">
        <v>1048</v>
      </c>
      <c r="C14" s="1325"/>
      <c r="D14" s="1318">
        <f t="shared" ref="D14:L14" si="1">SUM(D13:D13)</f>
        <v>331818182</v>
      </c>
      <c r="E14" s="1326">
        <f t="shared" si="1"/>
        <v>0</v>
      </c>
      <c r="F14" s="1319">
        <f t="shared" si="1"/>
        <v>74242424</v>
      </c>
      <c r="G14" s="1318">
        <f t="shared" si="1"/>
        <v>74242424</v>
      </c>
      <c r="H14" s="1318">
        <f t="shared" si="1"/>
        <v>74242424</v>
      </c>
      <c r="I14" s="1318">
        <f t="shared" si="1"/>
        <v>74242424</v>
      </c>
      <c r="J14" s="1318">
        <f t="shared" si="1"/>
        <v>371212122</v>
      </c>
      <c r="K14" s="1318">
        <f t="shared" si="1"/>
        <v>593939394</v>
      </c>
      <c r="L14" s="1318">
        <f t="shared" si="1"/>
        <v>1000000000</v>
      </c>
    </row>
    <row r="15" spans="1:12" ht="30.6" x14ac:dyDescent="0.3">
      <c r="A15" s="1327">
        <v>8</v>
      </c>
      <c r="B15" s="1328" t="s">
        <v>1049</v>
      </c>
      <c r="C15" s="1329">
        <v>2014</v>
      </c>
      <c r="D15" s="1330">
        <v>59872531</v>
      </c>
      <c r="E15" s="1330">
        <v>0</v>
      </c>
      <c r="F15" s="1309">
        <v>16630097</v>
      </c>
      <c r="G15" s="1331">
        <v>14672984</v>
      </c>
      <c r="H15" s="1331">
        <v>12753405</v>
      </c>
      <c r="I15" s="1331">
        <v>10758758</v>
      </c>
      <c r="J15" s="1332">
        <v>25933085</v>
      </c>
      <c r="K15" s="1333">
        <f>G15+H15+I15+J15</f>
        <v>64118232</v>
      </c>
      <c r="L15" s="1326">
        <f>D15+E15+F15+K15</f>
        <v>140620860</v>
      </c>
    </row>
    <row r="16" spans="1:12" ht="15.6" x14ac:dyDescent="0.3">
      <c r="A16" s="1277">
        <v>9</v>
      </c>
      <c r="B16" s="1324" t="s">
        <v>1050</v>
      </c>
      <c r="C16" s="1325"/>
      <c r="D16" s="1318">
        <f t="shared" ref="D16:L16" si="2">SUM(D15:D15)</f>
        <v>59872531</v>
      </c>
      <c r="E16" s="1318">
        <f t="shared" si="2"/>
        <v>0</v>
      </c>
      <c r="F16" s="1319">
        <f t="shared" si="2"/>
        <v>16630097</v>
      </c>
      <c r="G16" s="1318">
        <f t="shared" si="2"/>
        <v>14672984</v>
      </c>
      <c r="H16" s="1318">
        <f t="shared" si="2"/>
        <v>12753405</v>
      </c>
      <c r="I16" s="1318">
        <f t="shared" si="2"/>
        <v>10758758</v>
      </c>
      <c r="J16" s="1318">
        <f t="shared" si="2"/>
        <v>25933085</v>
      </c>
      <c r="K16" s="1318">
        <f t="shared" si="2"/>
        <v>64118232</v>
      </c>
      <c r="L16" s="1318">
        <f t="shared" si="2"/>
        <v>140620860</v>
      </c>
    </row>
    <row r="17" spans="1:12" ht="15.6" x14ac:dyDescent="0.3">
      <c r="A17" s="1277">
        <v>10</v>
      </c>
      <c r="B17" s="1320"/>
      <c r="C17" s="1334"/>
      <c r="D17" s="1308"/>
      <c r="E17" s="1308"/>
      <c r="F17" s="1309"/>
      <c r="G17" s="1310"/>
      <c r="H17" s="1310"/>
      <c r="I17" s="1310"/>
      <c r="J17" s="1335"/>
      <c r="K17" s="1311"/>
      <c r="L17" s="1308"/>
    </row>
    <row r="18" spans="1:12" ht="35.25" customHeight="1" x14ac:dyDescent="0.3">
      <c r="A18" s="1277">
        <v>11</v>
      </c>
      <c r="B18" s="1324" t="s">
        <v>1051</v>
      </c>
      <c r="C18" s="1325"/>
      <c r="D18" s="1318">
        <f t="shared" ref="D18:L18" si="3">SUM(D17)</f>
        <v>0</v>
      </c>
      <c r="E18" s="1318">
        <f t="shared" si="3"/>
        <v>0</v>
      </c>
      <c r="F18" s="1319">
        <f t="shared" si="3"/>
        <v>0</v>
      </c>
      <c r="G18" s="1318">
        <f t="shared" si="3"/>
        <v>0</v>
      </c>
      <c r="H18" s="1318"/>
      <c r="I18" s="1318"/>
      <c r="J18" s="1318">
        <f t="shared" si="3"/>
        <v>0</v>
      </c>
      <c r="K18" s="1318">
        <f t="shared" si="3"/>
        <v>0</v>
      </c>
      <c r="L18" s="1318">
        <f t="shared" si="3"/>
        <v>0</v>
      </c>
    </row>
    <row r="19" spans="1:12" ht="15.6" x14ac:dyDescent="0.3">
      <c r="A19" s="1277">
        <v>12</v>
      </c>
      <c r="B19" s="1320"/>
      <c r="C19" s="1334"/>
      <c r="D19" s="1308"/>
      <c r="E19" s="1308"/>
      <c r="F19" s="1309"/>
      <c r="G19" s="1310"/>
      <c r="H19" s="1310"/>
      <c r="I19" s="1310"/>
      <c r="J19" s="1335"/>
      <c r="K19" s="1311"/>
      <c r="L19" s="1308"/>
    </row>
    <row r="20" spans="1:12" ht="33.75" customHeight="1" x14ac:dyDescent="0.3">
      <c r="A20" s="1277">
        <v>13</v>
      </c>
      <c r="B20" s="1336" t="s">
        <v>1052</v>
      </c>
      <c r="C20" s="1337"/>
      <c r="D20" s="1338">
        <f t="shared" ref="D20:L20" si="4">SUM(D19)</f>
        <v>0</v>
      </c>
      <c r="E20" s="1338">
        <f t="shared" si="4"/>
        <v>0</v>
      </c>
      <c r="F20" s="1339">
        <f t="shared" si="4"/>
        <v>0</v>
      </c>
      <c r="G20" s="1340">
        <f t="shared" si="4"/>
        <v>0</v>
      </c>
      <c r="H20" s="1340"/>
      <c r="I20" s="1340"/>
      <c r="J20" s="1340">
        <f t="shared" si="4"/>
        <v>0</v>
      </c>
      <c r="K20" s="1340">
        <f t="shared" si="4"/>
        <v>0</v>
      </c>
      <c r="L20" s="1340">
        <f t="shared" si="4"/>
        <v>0</v>
      </c>
    </row>
    <row r="21" spans="1:12" ht="15.6" x14ac:dyDescent="0.3">
      <c r="A21" s="1292">
        <v>14</v>
      </c>
      <c r="B21" s="517" t="s">
        <v>1053</v>
      </c>
      <c r="C21" s="1341"/>
      <c r="D21" s="1342">
        <f t="shared" ref="D21:K21" si="5">SUM(D22:D87)</f>
        <v>1102273331</v>
      </c>
      <c r="E21" s="1342">
        <f t="shared" si="5"/>
        <v>61690116</v>
      </c>
      <c r="F21" s="1343">
        <f t="shared" si="5"/>
        <v>1005132069</v>
      </c>
      <c r="G21" s="1342">
        <f t="shared" si="5"/>
        <v>326761094</v>
      </c>
      <c r="H21" s="1342">
        <f t="shared" si="5"/>
        <v>82687326</v>
      </c>
      <c r="I21" s="1342">
        <f t="shared" si="5"/>
        <v>54184491</v>
      </c>
      <c r="J21" s="1342">
        <f t="shared" si="5"/>
        <v>255504693</v>
      </c>
      <c r="K21" s="1342">
        <f t="shared" si="5"/>
        <v>719137604</v>
      </c>
      <c r="L21" s="1342">
        <f>D21+E21+F21+K21</f>
        <v>2888233120</v>
      </c>
    </row>
    <row r="22" spans="1:12" ht="30" x14ac:dyDescent="0.25">
      <c r="A22" s="1277">
        <v>15</v>
      </c>
      <c r="B22" s="1344" t="s">
        <v>1054</v>
      </c>
      <c r="C22" s="1345" t="s">
        <v>1055</v>
      </c>
      <c r="D22" s="1346">
        <v>3600000</v>
      </c>
      <c r="E22" s="1346">
        <v>400000</v>
      </c>
      <c r="F22" s="1347">
        <v>0</v>
      </c>
      <c r="G22" s="1348">
        <v>0</v>
      </c>
      <c r="H22" s="1348"/>
      <c r="I22" s="1348"/>
      <c r="J22" s="1310"/>
      <c r="K22" s="1311">
        <f t="shared" ref="K22:K35" si="6">G22+H22+I22+J22</f>
        <v>0</v>
      </c>
      <c r="L22" s="1308">
        <f t="shared" ref="L22:L35" si="7">D22+E22+F22+K22</f>
        <v>4000000</v>
      </c>
    </row>
    <row r="23" spans="1:12" ht="30" x14ac:dyDescent="0.25">
      <c r="A23" s="1277">
        <v>16</v>
      </c>
      <c r="B23" s="1344" t="s">
        <v>1056</v>
      </c>
      <c r="C23" s="1345" t="s">
        <v>1055</v>
      </c>
      <c r="D23" s="1346">
        <v>3780000</v>
      </c>
      <c r="E23" s="1346">
        <v>420000</v>
      </c>
      <c r="F23" s="1347">
        <v>0</v>
      </c>
      <c r="G23" s="1348">
        <v>0</v>
      </c>
      <c r="H23" s="1348"/>
      <c r="I23" s="1348"/>
      <c r="J23" s="1310"/>
      <c r="K23" s="1311">
        <f t="shared" si="6"/>
        <v>0</v>
      </c>
      <c r="L23" s="1308">
        <f t="shared" si="7"/>
        <v>4200000</v>
      </c>
    </row>
    <row r="24" spans="1:12" ht="45" x14ac:dyDescent="0.25">
      <c r="A24" s="1277">
        <v>17</v>
      </c>
      <c r="B24" s="1344" t="s">
        <v>1057</v>
      </c>
      <c r="C24" s="1345" t="s">
        <v>1055</v>
      </c>
      <c r="D24" s="1346">
        <v>8986752</v>
      </c>
      <c r="E24" s="1346">
        <v>998528</v>
      </c>
      <c r="F24" s="1347">
        <v>0</v>
      </c>
      <c r="G24" s="1348">
        <v>0</v>
      </c>
      <c r="H24" s="1348"/>
      <c r="I24" s="1348"/>
      <c r="J24" s="1310"/>
      <c r="K24" s="1311">
        <f t="shared" si="6"/>
        <v>0</v>
      </c>
      <c r="L24" s="1308">
        <f t="shared" si="7"/>
        <v>9985280</v>
      </c>
    </row>
    <row r="25" spans="1:12" ht="45" x14ac:dyDescent="0.25">
      <c r="A25" s="1277">
        <v>18</v>
      </c>
      <c r="B25" s="1344" t="s">
        <v>1058</v>
      </c>
      <c r="C25" s="1345" t="s">
        <v>1055</v>
      </c>
      <c r="D25" s="1346">
        <v>2160000</v>
      </c>
      <c r="E25" s="1346">
        <v>240000</v>
      </c>
      <c r="F25" s="1347">
        <v>0</v>
      </c>
      <c r="G25" s="1348">
        <v>0</v>
      </c>
      <c r="H25" s="1348"/>
      <c r="I25" s="1348"/>
      <c r="J25" s="1310">
        <v>0</v>
      </c>
      <c r="K25" s="1311">
        <f t="shared" si="6"/>
        <v>0</v>
      </c>
      <c r="L25" s="1308">
        <f t="shared" si="7"/>
        <v>2400000</v>
      </c>
    </row>
    <row r="26" spans="1:12" ht="105.6" thickBot="1" x14ac:dyDescent="0.3">
      <c r="A26" s="1277">
        <v>19</v>
      </c>
      <c r="B26" s="1349" t="s">
        <v>1059</v>
      </c>
      <c r="C26" s="1345" t="s">
        <v>1060</v>
      </c>
      <c r="D26" s="1346">
        <v>19230960</v>
      </c>
      <c r="E26" s="1346">
        <v>0</v>
      </c>
      <c r="F26" s="1347">
        <v>2747280</v>
      </c>
      <c r="G26" s="1348">
        <v>2747280</v>
      </c>
      <c r="H26" s="1348">
        <v>2747280</v>
      </c>
      <c r="I26" s="1348">
        <v>0</v>
      </c>
      <c r="J26" s="1310">
        <v>0</v>
      </c>
      <c r="K26" s="1311">
        <f t="shared" si="6"/>
        <v>5494560</v>
      </c>
      <c r="L26" s="1308">
        <f t="shared" si="7"/>
        <v>27472800</v>
      </c>
    </row>
    <row r="27" spans="1:12" ht="22.5" customHeight="1" thickBot="1" x14ac:dyDescent="0.35">
      <c r="A27" s="1284" t="s">
        <v>1032</v>
      </c>
      <c r="B27" s="1285" t="s">
        <v>840</v>
      </c>
      <c r="C27" s="1286" t="s">
        <v>1033</v>
      </c>
      <c r="D27" s="1287" t="s">
        <v>1034</v>
      </c>
      <c r="E27" s="1287" t="s">
        <v>1035</v>
      </c>
      <c r="F27" s="1288" t="s">
        <v>1036</v>
      </c>
      <c r="G27" s="1289" t="s">
        <v>1037</v>
      </c>
      <c r="H27" s="1289" t="s">
        <v>1038</v>
      </c>
      <c r="I27" s="1289" t="s">
        <v>1039</v>
      </c>
      <c r="J27" s="1289" t="s">
        <v>1040</v>
      </c>
      <c r="K27" s="1290" t="s">
        <v>1041</v>
      </c>
      <c r="L27" s="1291" t="s">
        <v>1042</v>
      </c>
    </row>
    <row r="28" spans="1:12" ht="75" x14ac:dyDescent="0.25">
      <c r="A28" s="1277">
        <v>20</v>
      </c>
      <c r="B28" s="1344" t="s">
        <v>1061</v>
      </c>
      <c r="C28" s="1345" t="s">
        <v>1060</v>
      </c>
      <c r="D28" s="1346">
        <v>51820000</v>
      </c>
      <c r="E28" s="1346">
        <v>128160000</v>
      </c>
      <c r="F28" s="1347">
        <v>0</v>
      </c>
      <c r="G28" s="1348">
        <v>0</v>
      </c>
      <c r="H28" s="1348">
        <v>0</v>
      </c>
      <c r="I28" s="1348">
        <v>0</v>
      </c>
      <c r="J28" s="1348">
        <v>0</v>
      </c>
      <c r="K28" s="1311">
        <f t="shared" si="6"/>
        <v>0</v>
      </c>
      <c r="L28" s="1308">
        <f t="shared" si="7"/>
        <v>179980000</v>
      </c>
    </row>
    <row r="29" spans="1:12" ht="45" x14ac:dyDescent="0.25">
      <c r="A29" s="1292">
        <v>21</v>
      </c>
      <c r="B29" s="1306" t="s">
        <v>1062</v>
      </c>
      <c r="C29" s="1350" t="s">
        <v>1063</v>
      </c>
      <c r="D29" s="1351"/>
      <c r="E29" s="1352">
        <v>-128160000</v>
      </c>
      <c r="F29" s="1353">
        <v>128160000</v>
      </c>
      <c r="G29" s="1352">
        <v>0</v>
      </c>
      <c r="H29" s="1352"/>
      <c r="I29" s="1352"/>
      <c r="J29" s="1352"/>
      <c r="K29" s="1352">
        <f>G29+H29+I29+J29</f>
        <v>0</v>
      </c>
      <c r="L29" s="1354">
        <f>D29+E29+F29+K29</f>
        <v>0</v>
      </c>
    </row>
    <row r="30" spans="1:12" ht="45" x14ac:dyDescent="0.25">
      <c r="A30" s="1277">
        <v>22</v>
      </c>
      <c r="B30" s="1355" t="s">
        <v>1064</v>
      </c>
      <c r="C30" s="1356" t="s">
        <v>1060</v>
      </c>
      <c r="D30" s="1357">
        <v>18561737</v>
      </c>
      <c r="E30" s="1357">
        <v>0</v>
      </c>
      <c r="F30" s="1347">
        <v>2324317</v>
      </c>
      <c r="G30" s="1347">
        <v>2324317</v>
      </c>
      <c r="H30" s="1347">
        <v>2324317</v>
      </c>
      <c r="I30" s="1347">
        <v>2324317</v>
      </c>
      <c r="J30" s="1309">
        <v>104594265</v>
      </c>
      <c r="K30" s="1358">
        <f>G30+H30+I30+J30</f>
        <v>111567216</v>
      </c>
      <c r="L30" s="1359">
        <f>D30+E30+F30+K30</f>
        <v>132453270</v>
      </c>
    </row>
    <row r="31" spans="1:12" ht="45" x14ac:dyDescent="0.25">
      <c r="A31" s="1277">
        <v>23</v>
      </c>
      <c r="B31" s="1344" t="s">
        <v>1065</v>
      </c>
      <c r="C31" s="1345">
        <v>2009</v>
      </c>
      <c r="D31" s="1360">
        <v>10474810</v>
      </c>
      <c r="E31" s="1360">
        <v>1496398</v>
      </c>
      <c r="F31" s="1361">
        <v>1496398</v>
      </c>
      <c r="G31" s="1362">
        <v>1496398</v>
      </c>
      <c r="H31" s="1362"/>
      <c r="I31" s="1362"/>
      <c r="J31" s="1310">
        <v>0</v>
      </c>
      <c r="K31" s="1363">
        <f t="shared" si="6"/>
        <v>1496398</v>
      </c>
      <c r="L31" s="1308">
        <f t="shared" si="7"/>
        <v>14964004</v>
      </c>
    </row>
    <row r="32" spans="1:12" ht="45" x14ac:dyDescent="0.25">
      <c r="A32" s="1277">
        <v>24</v>
      </c>
      <c r="B32" s="1344" t="s">
        <v>1066</v>
      </c>
      <c r="C32" s="1345">
        <v>2009</v>
      </c>
      <c r="D32" s="1360">
        <v>12714094</v>
      </c>
      <c r="E32" s="1360"/>
      <c r="F32" s="1361">
        <v>1589260</v>
      </c>
      <c r="G32" s="1362">
        <v>1589260</v>
      </c>
      <c r="H32" s="1362">
        <v>0</v>
      </c>
      <c r="I32" s="1362"/>
      <c r="J32" s="1310">
        <v>0</v>
      </c>
      <c r="K32" s="1363">
        <f t="shared" si="6"/>
        <v>1589260</v>
      </c>
      <c r="L32" s="1308">
        <f t="shared" si="7"/>
        <v>15892614</v>
      </c>
    </row>
    <row r="33" spans="1:12" ht="45" x14ac:dyDescent="0.25">
      <c r="A33" s="1277">
        <v>25</v>
      </c>
      <c r="B33" s="1344" t="s">
        <v>1067</v>
      </c>
      <c r="C33" s="1345" t="s">
        <v>1068</v>
      </c>
      <c r="D33" s="1360">
        <v>9733229</v>
      </c>
      <c r="E33" s="1360">
        <v>1390460</v>
      </c>
      <c r="F33" s="1361">
        <v>1390460</v>
      </c>
      <c r="G33" s="1362">
        <v>1390460</v>
      </c>
      <c r="H33" s="1362">
        <v>0</v>
      </c>
      <c r="I33" s="1362"/>
      <c r="J33" s="1310">
        <v>0</v>
      </c>
      <c r="K33" s="1363">
        <f t="shared" si="6"/>
        <v>1390460</v>
      </c>
      <c r="L33" s="1308">
        <f t="shared" si="7"/>
        <v>13904609</v>
      </c>
    </row>
    <row r="34" spans="1:12" ht="45" x14ac:dyDescent="0.25">
      <c r="A34" s="1277">
        <v>26</v>
      </c>
      <c r="B34" s="1344" t="s">
        <v>1069</v>
      </c>
      <c r="C34" s="1345" t="s">
        <v>1068</v>
      </c>
      <c r="D34" s="1360">
        <v>16236345</v>
      </c>
      <c r="E34" s="1360">
        <v>2319470</v>
      </c>
      <c r="F34" s="1361">
        <v>2319470</v>
      </c>
      <c r="G34" s="1362">
        <v>2319470</v>
      </c>
      <c r="H34" s="1362">
        <v>0</v>
      </c>
      <c r="I34" s="1362"/>
      <c r="J34" s="1310">
        <v>0</v>
      </c>
      <c r="K34" s="1363">
        <f t="shared" si="6"/>
        <v>2319470</v>
      </c>
      <c r="L34" s="1308">
        <f t="shared" si="7"/>
        <v>23194755</v>
      </c>
    </row>
    <row r="35" spans="1:12" ht="45" x14ac:dyDescent="0.25">
      <c r="A35" s="1277">
        <v>27</v>
      </c>
      <c r="B35" s="1344" t="s">
        <v>1070</v>
      </c>
      <c r="C35" s="1345" t="s">
        <v>1068</v>
      </c>
      <c r="D35" s="1360">
        <v>10491328</v>
      </c>
      <c r="E35" s="1360">
        <v>1498760</v>
      </c>
      <c r="F35" s="1361">
        <v>1498760</v>
      </c>
      <c r="G35" s="1362">
        <v>1498760</v>
      </c>
      <c r="H35" s="1362">
        <v>0</v>
      </c>
      <c r="I35" s="1362"/>
      <c r="J35" s="1310">
        <v>0</v>
      </c>
      <c r="K35" s="1363">
        <f t="shared" si="6"/>
        <v>1498760</v>
      </c>
      <c r="L35" s="1308">
        <f t="shared" si="7"/>
        <v>14987608</v>
      </c>
    </row>
    <row r="36" spans="1:12" ht="45" x14ac:dyDescent="0.25">
      <c r="A36" s="1277">
        <v>28</v>
      </c>
      <c r="B36" s="1355" t="s">
        <v>1071</v>
      </c>
      <c r="C36" s="1356">
        <v>2009</v>
      </c>
      <c r="D36" s="1364">
        <v>157016705</v>
      </c>
      <c r="E36" s="1364">
        <v>1845295</v>
      </c>
      <c r="F36" s="1361">
        <v>0</v>
      </c>
      <c r="G36" s="1365"/>
      <c r="H36" s="1365"/>
      <c r="I36" s="1365"/>
      <c r="J36" s="1331"/>
      <c r="K36" s="1363">
        <f>G36+H36+I36+J36</f>
        <v>0</v>
      </c>
      <c r="L36" s="1330">
        <f>D36+E36+F36</f>
        <v>158862000</v>
      </c>
    </row>
    <row r="37" spans="1:12" ht="45" x14ac:dyDescent="0.25">
      <c r="A37" s="1277">
        <v>29</v>
      </c>
      <c r="B37" s="1328" t="s">
        <v>1072</v>
      </c>
      <c r="C37" s="1356">
        <v>2011</v>
      </c>
      <c r="D37" s="1330">
        <v>9510000</v>
      </c>
      <c r="E37" s="1330">
        <v>254000</v>
      </c>
      <c r="F37" s="1309"/>
      <c r="G37" s="1331"/>
      <c r="H37" s="1331"/>
      <c r="I37" s="1331"/>
      <c r="J37" s="1331"/>
      <c r="K37" s="1363">
        <f t="shared" ref="K37:K43" si="8">G37+H37+I37+J37</f>
        <v>0</v>
      </c>
      <c r="L37" s="1330">
        <f>D37+E37+F37</f>
        <v>9764000</v>
      </c>
    </row>
    <row r="38" spans="1:12" ht="30" x14ac:dyDescent="0.25">
      <c r="A38" s="1277">
        <v>30</v>
      </c>
      <c r="B38" s="1366" t="s">
        <v>1073</v>
      </c>
      <c r="C38" s="1367">
        <v>2011</v>
      </c>
      <c r="D38" s="1368">
        <v>2400000</v>
      </c>
      <c r="E38" s="1369">
        <v>6000000</v>
      </c>
      <c r="F38" s="1370">
        <v>1200000</v>
      </c>
      <c r="G38" s="1369">
        <v>1200000</v>
      </c>
      <c r="H38" s="1369">
        <v>1200000</v>
      </c>
      <c r="I38" s="1369">
        <v>0</v>
      </c>
      <c r="J38" s="1331">
        <v>0</v>
      </c>
      <c r="K38" s="1363">
        <f t="shared" si="8"/>
        <v>2400000</v>
      </c>
      <c r="L38" s="1330">
        <f>D38+E38+F38+K38</f>
        <v>12000000</v>
      </c>
    </row>
    <row r="39" spans="1:12" ht="45" x14ac:dyDescent="0.25">
      <c r="A39" s="1277">
        <v>31</v>
      </c>
      <c r="B39" s="1371" t="s">
        <v>1074</v>
      </c>
      <c r="C39" s="1372">
        <v>2011</v>
      </c>
      <c r="D39" s="1373"/>
      <c r="E39" s="1374"/>
      <c r="F39" s="1375">
        <v>12000000</v>
      </c>
      <c r="G39" s="1374">
        <v>12000000</v>
      </c>
      <c r="H39" s="1374">
        <v>0</v>
      </c>
      <c r="I39" s="1374"/>
      <c r="J39" s="1376">
        <v>0</v>
      </c>
      <c r="K39" s="1363">
        <f t="shared" si="8"/>
        <v>12000000</v>
      </c>
      <c r="L39" s="1330">
        <f t="shared" ref="L39:L86" si="9">D39+E39+F39+K39</f>
        <v>24000000</v>
      </c>
    </row>
    <row r="40" spans="1:12" ht="60" x14ac:dyDescent="0.25">
      <c r="A40" s="1327">
        <v>32</v>
      </c>
      <c r="B40" s="1377" t="s">
        <v>1075</v>
      </c>
      <c r="C40" s="1356">
        <v>2012</v>
      </c>
      <c r="D40" s="1330"/>
      <c r="E40" s="1330"/>
      <c r="F40" s="1309">
        <v>33600000</v>
      </c>
      <c r="G40" s="1331"/>
      <c r="H40" s="1331"/>
      <c r="I40" s="1331"/>
      <c r="J40" s="1331"/>
      <c r="K40" s="1363">
        <f t="shared" si="8"/>
        <v>0</v>
      </c>
      <c r="L40" s="1330">
        <f t="shared" si="9"/>
        <v>33600000</v>
      </c>
    </row>
    <row r="41" spans="1:12" ht="90.6" thickBot="1" x14ac:dyDescent="0.3">
      <c r="A41" s="1277">
        <v>33</v>
      </c>
      <c r="B41" s="1349" t="s">
        <v>1076</v>
      </c>
      <c r="C41" s="1378">
        <v>2013</v>
      </c>
      <c r="D41" s="1308">
        <v>4800000</v>
      </c>
      <c r="E41" s="1308"/>
      <c r="F41" s="1309">
        <v>1200000</v>
      </c>
      <c r="G41" s="1310">
        <v>1200000</v>
      </c>
      <c r="H41" s="1310">
        <v>1200000</v>
      </c>
      <c r="I41" s="1310">
        <v>1200000</v>
      </c>
      <c r="J41" s="1310">
        <v>2400000</v>
      </c>
      <c r="K41" s="1363">
        <f t="shared" si="8"/>
        <v>6000000</v>
      </c>
      <c r="L41" s="1330">
        <f t="shared" si="9"/>
        <v>12000000</v>
      </c>
    </row>
    <row r="42" spans="1:12" ht="24" customHeight="1" thickBot="1" x14ac:dyDescent="0.35">
      <c r="A42" s="1284" t="s">
        <v>1032</v>
      </c>
      <c r="B42" s="1285" t="s">
        <v>840</v>
      </c>
      <c r="C42" s="1286" t="s">
        <v>1033</v>
      </c>
      <c r="D42" s="1287" t="s">
        <v>1034</v>
      </c>
      <c r="E42" s="1287" t="s">
        <v>1035</v>
      </c>
      <c r="F42" s="1288" t="s">
        <v>1036</v>
      </c>
      <c r="G42" s="1289" t="s">
        <v>1037</v>
      </c>
      <c r="H42" s="1289" t="s">
        <v>1038</v>
      </c>
      <c r="I42" s="1289" t="s">
        <v>1039</v>
      </c>
      <c r="J42" s="1289" t="s">
        <v>1040</v>
      </c>
      <c r="K42" s="1290" t="s">
        <v>1041</v>
      </c>
      <c r="L42" s="1291" t="s">
        <v>1042</v>
      </c>
    </row>
    <row r="43" spans="1:12" ht="75" x14ac:dyDescent="0.25">
      <c r="A43" s="1277">
        <v>34</v>
      </c>
      <c r="B43" s="1349" t="s">
        <v>1077</v>
      </c>
      <c r="C43" s="1378">
        <v>2014</v>
      </c>
      <c r="D43" s="1308">
        <v>36000000</v>
      </c>
      <c r="E43" s="1308">
        <v>0</v>
      </c>
      <c r="F43" s="1309">
        <v>10000000</v>
      </c>
      <c r="G43" s="1310">
        <v>10000000</v>
      </c>
      <c r="H43" s="1310">
        <v>4000000</v>
      </c>
      <c r="I43" s="1310">
        <v>0</v>
      </c>
      <c r="J43" s="1310">
        <v>0</v>
      </c>
      <c r="K43" s="1363">
        <f t="shared" si="8"/>
        <v>14000000</v>
      </c>
      <c r="L43" s="1330">
        <f t="shared" si="9"/>
        <v>60000000</v>
      </c>
    </row>
    <row r="44" spans="1:12" ht="75" x14ac:dyDescent="0.25">
      <c r="A44" s="1277">
        <v>35</v>
      </c>
      <c r="B44" s="1349" t="s">
        <v>1077</v>
      </c>
      <c r="C44" s="1378">
        <v>2015</v>
      </c>
      <c r="D44" s="1308">
        <v>18000000</v>
      </c>
      <c r="E44" s="1308"/>
      <c r="F44" s="1309">
        <v>6000000</v>
      </c>
      <c r="G44" s="1310">
        <v>6000000</v>
      </c>
      <c r="H44" s="1310">
        <v>6000000</v>
      </c>
      <c r="I44" s="1310">
        <v>8000000</v>
      </c>
      <c r="J44" s="1310">
        <v>42000000</v>
      </c>
      <c r="K44" s="1363">
        <f>G44+H44+I44+J44</f>
        <v>62000000</v>
      </c>
      <c r="L44" s="1330">
        <f t="shared" si="9"/>
        <v>86000000</v>
      </c>
    </row>
    <row r="45" spans="1:12" ht="60" x14ac:dyDescent="0.25">
      <c r="A45" s="1277">
        <v>36</v>
      </c>
      <c r="B45" s="1377" t="s">
        <v>1078</v>
      </c>
      <c r="C45" s="1356">
        <v>2014</v>
      </c>
      <c r="D45" s="1330">
        <v>79402661</v>
      </c>
      <c r="E45" s="1330">
        <v>26510205</v>
      </c>
      <c r="F45" s="1309">
        <v>0</v>
      </c>
      <c r="G45" s="1331">
        <v>0</v>
      </c>
      <c r="H45" s="1331"/>
      <c r="I45" s="1331"/>
      <c r="J45" s="1331"/>
      <c r="K45" s="1363">
        <f t="shared" ref="K45:K87" si="10">G45+H45+I45+J45</f>
        <v>0</v>
      </c>
      <c r="L45" s="1330">
        <f t="shared" si="9"/>
        <v>105912866</v>
      </c>
    </row>
    <row r="46" spans="1:12" ht="120" x14ac:dyDescent="0.25">
      <c r="A46" s="1327">
        <v>37</v>
      </c>
      <c r="B46" s="1377" t="s">
        <v>1079</v>
      </c>
      <c r="C46" s="1356">
        <v>2015</v>
      </c>
      <c r="D46" s="1330">
        <v>1016000</v>
      </c>
      <c r="E46" s="1330"/>
      <c r="F46" s="1309">
        <v>254000</v>
      </c>
      <c r="G46" s="1331">
        <v>0</v>
      </c>
      <c r="H46" s="1331">
        <v>0</v>
      </c>
      <c r="I46" s="1331"/>
      <c r="J46" s="1331"/>
      <c r="K46" s="1363">
        <f t="shared" si="10"/>
        <v>0</v>
      </c>
      <c r="L46" s="1330">
        <f t="shared" si="9"/>
        <v>1270000</v>
      </c>
    </row>
    <row r="47" spans="1:12" ht="45" x14ac:dyDescent="0.25">
      <c r="A47" s="1277">
        <v>38</v>
      </c>
      <c r="B47" s="1377" t="s">
        <v>1080</v>
      </c>
      <c r="C47" s="1356">
        <v>2015</v>
      </c>
      <c r="D47" s="1330">
        <v>257000000</v>
      </c>
      <c r="E47" s="1330"/>
      <c r="F47" s="1309">
        <v>69000000</v>
      </c>
      <c r="G47" s="1331">
        <v>0</v>
      </c>
      <c r="H47" s="1331">
        <v>0</v>
      </c>
      <c r="I47" s="1331"/>
      <c r="J47" s="1331"/>
      <c r="K47" s="1363">
        <f t="shared" si="10"/>
        <v>0</v>
      </c>
      <c r="L47" s="1330">
        <f t="shared" si="9"/>
        <v>326000000</v>
      </c>
    </row>
    <row r="48" spans="1:12" ht="60" x14ac:dyDescent="0.25">
      <c r="A48" s="1327">
        <v>39</v>
      </c>
      <c r="B48" s="1377" t="s">
        <v>1081</v>
      </c>
      <c r="C48" s="1356" t="s">
        <v>1082</v>
      </c>
      <c r="D48" s="1330">
        <v>28861781</v>
      </c>
      <c r="E48" s="1330">
        <v>-20000000</v>
      </c>
      <c r="F48" s="1309">
        <v>-10000000</v>
      </c>
      <c r="G48" s="1331">
        <v>0</v>
      </c>
      <c r="H48" s="1331"/>
      <c r="I48" s="1331"/>
      <c r="J48" s="1331"/>
      <c r="K48" s="1363">
        <f>G48+H48+I48+J48</f>
        <v>0</v>
      </c>
      <c r="L48" s="1330">
        <f>D48+E48+F48+K48</f>
        <v>-1138219</v>
      </c>
    </row>
    <row r="49" spans="1:12" ht="60" x14ac:dyDescent="0.25">
      <c r="A49" s="1277">
        <v>40</v>
      </c>
      <c r="B49" s="1377" t="s">
        <v>1083</v>
      </c>
      <c r="C49" s="1356" t="s">
        <v>1082</v>
      </c>
      <c r="D49" s="1330">
        <v>28861781</v>
      </c>
      <c r="E49" s="1330">
        <v>-20000000</v>
      </c>
      <c r="F49" s="1309">
        <v>-10000000</v>
      </c>
      <c r="G49" s="1331">
        <v>0</v>
      </c>
      <c r="H49" s="1331"/>
      <c r="I49" s="1331"/>
      <c r="J49" s="1331"/>
      <c r="K49" s="1363">
        <f>G49+H49+I49+J49</f>
        <v>0</v>
      </c>
      <c r="L49" s="1330">
        <f>D49+E49+F49+K49</f>
        <v>-1138219</v>
      </c>
    </row>
    <row r="50" spans="1:12" ht="45" x14ac:dyDescent="0.25">
      <c r="A50" s="1280">
        <v>41</v>
      </c>
      <c r="B50" s="1379" t="s">
        <v>1084</v>
      </c>
      <c r="C50" s="1380" t="s">
        <v>1085</v>
      </c>
      <c r="D50" s="1381">
        <v>10931166</v>
      </c>
      <c r="E50" s="1381">
        <v>0</v>
      </c>
      <c r="F50" s="1382">
        <v>4465584</v>
      </c>
      <c r="G50" s="1383">
        <v>0</v>
      </c>
      <c r="H50" s="1383"/>
      <c r="I50" s="1383"/>
      <c r="J50" s="1383"/>
      <c r="K50" s="1384">
        <f t="shared" si="10"/>
        <v>0</v>
      </c>
      <c r="L50" s="1385">
        <f t="shared" si="9"/>
        <v>15396750</v>
      </c>
    </row>
    <row r="51" spans="1:12" ht="45" x14ac:dyDescent="0.25">
      <c r="A51" s="1277">
        <v>42</v>
      </c>
      <c r="B51" s="1386" t="s">
        <v>1086</v>
      </c>
      <c r="C51" s="1387" t="s">
        <v>1082</v>
      </c>
      <c r="D51" s="1388">
        <v>0</v>
      </c>
      <c r="E51" s="1388">
        <v>2867000</v>
      </c>
      <c r="F51" s="1389">
        <v>0</v>
      </c>
      <c r="G51" s="1390"/>
      <c r="H51" s="1390"/>
      <c r="I51" s="1390"/>
      <c r="J51" s="1390"/>
      <c r="K51" s="1391">
        <f t="shared" si="10"/>
        <v>0</v>
      </c>
      <c r="L51" s="1392">
        <f t="shared" si="9"/>
        <v>2867000</v>
      </c>
    </row>
    <row r="52" spans="1:12" ht="45" x14ac:dyDescent="0.25">
      <c r="A52" s="1277">
        <v>43</v>
      </c>
      <c r="B52" s="1299" t="s">
        <v>1087</v>
      </c>
      <c r="C52" s="1277" t="s">
        <v>1082</v>
      </c>
      <c r="D52" s="1393">
        <v>0</v>
      </c>
      <c r="E52" s="1393">
        <v>21700000</v>
      </c>
      <c r="F52" s="1389">
        <v>0</v>
      </c>
      <c r="G52" s="1390"/>
      <c r="H52" s="1390"/>
      <c r="I52" s="1390"/>
      <c r="J52" s="1390"/>
      <c r="K52" s="1391">
        <f t="shared" si="10"/>
        <v>0</v>
      </c>
      <c r="L52" s="1393">
        <f t="shared" si="9"/>
        <v>21700000</v>
      </c>
    </row>
    <row r="53" spans="1:12" ht="90" x14ac:dyDescent="0.25">
      <c r="A53" s="1277">
        <v>44</v>
      </c>
      <c r="B53" s="1299" t="s">
        <v>1088</v>
      </c>
      <c r="C53" s="1387" t="s">
        <v>1082</v>
      </c>
      <c r="D53" s="1388">
        <v>3000000</v>
      </c>
      <c r="E53" s="1388">
        <v>0</v>
      </c>
      <c r="F53" s="1389">
        <v>3000000</v>
      </c>
      <c r="G53" s="1390">
        <v>3000000</v>
      </c>
      <c r="H53" s="1390">
        <v>3000000</v>
      </c>
      <c r="I53" s="1390">
        <v>3000000</v>
      </c>
      <c r="J53" s="1390">
        <v>60000000</v>
      </c>
      <c r="K53" s="1391">
        <f t="shared" si="10"/>
        <v>69000000</v>
      </c>
      <c r="L53" s="1392">
        <f t="shared" si="9"/>
        <v>75000000</v>
      </c>
    </row>
    <row r="54" spans="1:12" ht="60.6" thickBot="1" x14ac:dyDescent="0.3">
      <c r="A54" s="1280">
        <v>45</v>
      </c>
      <c r="B54" s="1394" t="s">
        <v>1089</v>
      </c>
      <c r="C54" s="1395" t="s">
        <v>1082</v>
      </c>
      <c r="D54" s="1396">
        <v>0</v>
      </c>
      <c r="E54" s="1396">
        <v>12000000</v>
      </c>
      <c r="F54" s="1397">
        <v>12000000</v>
      </c>
      <c r="G54" s="1398">
        <v>12000000</v>
      </c>
      <c r="H54" s="1398">
        <v>12000000</v>
      </c>
      <c r="I54" s="1398">
        <v>12000000</v>
      </c>
      <c r="J54" s="1398">
        <v>0</v>
      </c>
      <c r="K54" s="1399">
        <f t="shared" si="10"/>
        <v>36000000</v>
      </c>
      <c r="L54" s="1400">
        <f t="shared" si="9"/>
        <v>60000000</v>
      </c>
    </row>
    <row r="55" spans="1:12" ht="19.5" customHeight="1" thickBot="1" x14ac:dyDescent="0.35">
      <c r="A55" s="1284" t="s">
        <v>1032</v>
      </c>
      <c r="B55" s="1285" t="s">
        <v>840</v>
      </c>
      <c r="C55" s="1286" t="s">
        <v>1033</v>
      </c>
      <c r="D55" s="1287" t="s">
        <v>1034</v>
      </c>
      <c r="E55" s="1287" t="s">
        <v>1035</v>
      </c>
      <c r="F55" s="1288" t="s">
        <v>1036</v>
      </c>
      <c r="G55" s="1289" t="s">
        <v>1037</v>
      </c>
      <c r="H55" s="1289" t="s">
        <v>1038</v>
      </c>
      <c r="I55" s="1289" t="s">
        <v>1039</v>
      </c>
      <c r="J55" s="1289" t="s">
        <v>1040</v>
      </c>
      <c r="K55" s="1290" t="s">
        <v>1041</v>
      </c>
      <c r="L55" s="1291" t="s">
        <v>1042</v>
      </c>
    </row>
    <row r="56" spans="1:12" ht="90" x14ac:dyDescent="0.25">
      <c r="A56" s="1292">
        <v>46</v>
      </c>
      <c r="B56" s="1401" t="s">
        <v>1090</v>
      </c>
      <c r="C56" s="1402" t="s">
        <v>1082</v>
      </c>
      <c r="D56" s="1403">
        <v>2666667</v>
      </c>
      <c r="E56" s="1403"/>
      <c r="F56" s="1404">
        <v>2000000</v>
      </c>
      <c r="G56" s="1405">
        <v>2000000</v>
      </c>
      <c r="H56" s="1405">
        <v>2000000</v>
      </c>
      <c r="I56" s="1405">
        <v>2000000</v>
      </c>
      <c r="J56" s="1405">
        <v>39333333</v>
      </c>
      <c r="K56" s="1406">
        <f t="shared" si="10"/>
        <v>45333333</v>
      </c>
      <c r="L56" s="1407">
        <f t="shared" si="9"/>
        <v>50000000</v>
      </c>
    </row>
    <row r="57" spans="1:12" ht="45" x14ac:dyDescent="0.25">
      <c r="A57" s="1277">
        <v>47</v>
      </c>
      <c r="B57" s="1377" t="s">
        <v>1091</v>
      </c>
      <c r="C57" s="1356" t="s">
        <v>1082</v>
      </c>
      <c r="D57" s="1330">
        <v>0</v>
      </c>
      <c r="E57" s="1330">
        <v>6000000</v>
      </c>
      <c r="F57" s="1309">
        <v>0</v>
      </c>
      <c r="G57" s="1331"/>
      <c r="H57" s="1331"/>
      <c r="I57" s="1331"/>
      <c r="J57" s="1331"/>
      <c r="K57" s="1311">
        <f t="shared" si="10"/>
        <v>0</v>
      </c>
      <c r="L57" s="1308">
        <f t="shared" si="9"/>
        <v>6000000</v>
      </c>
    </row>
    <row r="58" spans="1:12" ht="45" x14ac:dyDescent="0.25">
      <c r="A58" s="1277">
        <v>48</v>
      </c>
      <c r="B58" s="1377" t="s">
        <v>1092</v>
      </c>
      <c r="C58" s="1356" t="s">
        <v>1082</v>
      </c>
      <c r="D58" s="1359">
        <v>77100000</v>
      </c>
      <c r="E58" s="1359"/>
      <c r="F58" s="1309">
        <v>50750000</v>
      </c>
      <c r="G58" s="1309">
        <v>50750000</v>
      </c>
      <c r="H58" s="1309">
        <v>50750000</v>
      </c>
      <c r="I58" s="1309">
        <v>0</v>
      </c>
      <c r="J58" s="1309">
        <v>0</v>
      </c>
      <c r="K58" s="1358">
        <f>G58+H58+I58+J58</f>
        <v>101500000</v>
      </c>
      <c r="L58" s="1359">
        <f t="shared" si="9"/>
        <v>229350000</v>
      </c>
    </row>
    <row r="59" spans="1:12" ht="60" x14ac:dyDescent="0.25">
      <c r="A59" s="1327">
        <v>49</v>
      </c>
      <c r="B59" s="1401" t="s">
        <v>1093</v>
      </c>
      <c r="C59" s="1356" t="s">
        <v>1063</v>
      </c>
      <c r="D59" s="1408">
        <v>-5638885</v>
      </c>
      <c r="E59" s="1388"/>
      <c r="F59" s="1389">
        <v>-5638890</v>
      </c>
      <c r="G59" s="1390">
        <v>-5638890</v>
      </c>
      <c r="H59" s="1390">
        <v>-5638890</v>
      </c>
      <c r="I59" s="1390">
        <v>22555555</v>
      </c>
      <c r="J59" s="1390">
        <v>0</v>
      </c>
      <c r="K59" s="1390">
        <f t="shared" si="10"/>
        <v>11277775</v>
      </c>
      <c r="L59" s="1409">
        <f t="shared" si="9"/>
        <v>0</v>
      </c>
    </row>
    <row r="60" spans="1:12" ht="75" x14ac:dyDescent="0.25">
      <c r="A60" s="1327">
        <v>50</v>
      </c>
      <c r="B60" s="1410" t="s">
        <v>1094</v>
      </c>
      <c r="C60" s="1387" t="s">
        <v>1082</v>
      </c>
      <c r="D60" s="1388">
        <v>90000000</v>
      </c>
      <c r="E60" s="1388"/>
      <c r="F60" s="1411">
        <v>12140110</v>
      </c>
      <c r="G60" s="1376">
        <v>0</v>
      </c>
      <c r="H60" s="1376"/>
      <c r="I60" s="1376"/>
      <c r="J60" s="1376"/>
      <c r="K60" s="1412">
        <f t="shared" si="10"/>
        <v>0</v>
      </c>
      <c r="L60" s="1413">
        <f t="shared" si="9"/>
        <v>102140110</v>
      </c>
    </row>
    <row r="61" spans="1:12" ht="105" x14ac:dyDescent="0.25">
      <c r="A61" s="1327">
        <v>51</v>
      </c>
      <c r="B61" s="1414" t="s">
        <v>1095</v>
      </c>
      <c r="C61" s="1415" t="s">
        <v>1082</v>
      </c>
      <c r="D61" s="1416">
        <v>128400000</v>
      </c>
      <c r="E61" s="1416"/>
      <c r="F61" s="1417">
        <v>63000000</v>
      </c>
      <c r="G61" s="1416">
        <v>0</v>
      </c>
      <c r="H61" s="1416"/>
      <c r="I61" s="1416"/>
      <c r="J61" s="1416"/>
      <c r="K61" s="1390">
        <f t="shared" si="10"/>
        <v>0</v>
      </c>
      <c r="L61" s="1388">
        <f t="shared" si="9"/>
        <v>191400000</v>
      </c>
    </row>
    <row r="62" spans="1:12" ht="75" x14ac:dyDescent="0.25">
      <c r="A62" s="1327">
        <v>52</v>
      </c>
      <c r="B62" s="1377" t="s">
        <v>1096</v>
      </c>
      <c r="C62" s="1356" t="s">
        <v>1063</v>
      </c>
      <c r="D62" s="1408">
        <v>-21000000</v>
      </c>
      <c r="E62" s="1388"/>
      <c r="F62" s="1389">
        <v>-21000000</v>
      </c>
      <c r="G62" s="1390">
        <v>42000000</v>
      </c>
      <c r="H62" s="1390">
        <v>0</v>
      </c>
      <c r="I62" s="1390"/>
      <c r="J62" s="1390"/>
      <c r="K62" s="1390">
        <f t="shared" si="10"/>
        <v>42000000</v>
      </c>
      <c r="L62" s="1409">
        <f t="shared" si="9"/>
        <v>0</v>
      </c>
    </row>
    <row r="63" spans="1:12" ht="75" x14ac:dyDescent="0.25">
      <c r="A63" s="1327">
        <v>53</v>
      </c>
      <c r="B63" s="1418" t="s">
        <v>1097</v>
      </c>
      <c r="C63" s="1419"/>
      <c r="D63" s="1420"/>
      <c r="E63" s="1420"/>
      <c r="F63" s="1421">
        <v>6706000</v>
      </c>
      <c r="G63" s="1420"/>
      <c r="H63" s="1422"/>
      <c r="I63" s="1422"/>
      <c r="J63" s="1420"/>
      <c r="K63" s="1423">
        <f t="shared" si="10"/>
        <v>0</v>
      </c>
      <c r="L63" s="1403">
        <f t="shared" si="9"/>
        <v>6706000</v>
      </c>
    </row>
    <row r="64" spans="1:12" ht="90" x14ac:dyDescent="0.25">
      <c r="A64" s="1277">
        <v>54</v>
      </c>
      <c r="B64" s="1349" t="s">
        <v>1098</v>
      </c>
      <c r="C64" s="1378" t="s">
        <v>1082</v>
      </c>
      <c r="D64" s="1308">
        <v>0</v>
      </c>
      <c r="E64" s="1308">
        <v>15000000</v>
      </c>
      <c r="F64" s="1309">
        <v>0</v>
      </c>
      <c r="G64" s="1310"/>
      <c r="H64" s="1310"/>
      <c r="I64" s="1310"/>
      <c r="J64" s="1310"/>
      <c r="K64" s="1424">
        <f t="shared" si="10"/>
        <v>0</v>
      </c>
      <c r="L64" s="1308">
        <f t="shared" si="9"/>
        <v>15000000</v>
      </c>
    </row>
    <row r="65" spans="1:12" ht="60.6" thickBot="1" x14ac:dyDescent="0.3">
      <c r="A65" s="1277">
        <v>55</v>
      </c>
      <c r="B65" s="1349" t="s">
        <v>1099</v>
      </c>
      <c r="C65" s="1378" t="s">
        <v>1063</v>
      </c>
      <c r="D65" s="1308"/>
      <c r="E65" s="1308"/>
      <c r="F65" s="1309">
        <v>38100000</v>
      </c>
      <c r="G65" s="1310">
        <v>104140000</v>
      </c>
      <c r="H65" s="1310"/>
      <c r="I65" s="1310"/>
      <c r="J65" s="1310"/>
      <c r="K65" s="1424">
        <f t="shared" si="10"/>
        <v>104140000</v>
      </c>
      <c r="L65" s="1308">
        <f t="shared" si="9"/>
        <v>142240000</v>
      </c>
    </row>
    <row r="66" spans="1:12" ht="21" customHeight="1" thickBot="1" x14ac:dyDescent="0.35">
      <c r="A66" s="1284" t="s">
        <v>1032</v>
      </c>
      <c r="B66" s="1285" t="s">
        <v>840</v>
      </c>
      <c r="C66" s="1286" t="s">
        <v>1033</v>
      </c>
      <c r="D66" s="1287" t="s">
        <v>1034</v>
      </c>
      <c r="E66" s="1287" t="s">
        <v>1035</v>
      </c>
      <c r="F66" s="1288" t="s">
        <v>1036</v>
      </c>
      <c r="G66" s="1289" t="s">
        <v>1037</v>
      </c>
      <c r="H66" s="1289" t="s">
        <v>1038</v>
      </c>
      <c r="I66" s="1289" t="s">
        <v>1039</v>
      </c>
      <c r="J66" s="1289" t="s">
        <v>1040</v>
      </c>
      <c r="K66" s="1290" t="s">
        <v>1041</v>
      </c>
      <c r="L66" s="1291" t="s">
        <v>1042</v>
      </c>
    </row>
    <row r="67" spans="1:12" ht="45" x14ac:dyDescent="0.25">
      <c r="A67" s="1277">
        <v>56</v>
      </c>
      <c r="B67" s="1379" t="s">
        <v>1100</v>
      </c>
      <c r="C67" s="1378" t="s">
        <v>1063</v>
      </c>
      <c r="D67" s="1308">
        <v>1156200</v>
      </c>
      <c r="E67" s="1381"/>
      <c r="F67" s="1382">
        <v>1156200</v>
      </c>
      <c r="G67" s="1383">
        <v>1156200</v>
      </c>
      <c r="H67" s="1383">
        <v>1156200</v>
      </c>
      <c r="I67" s="1383">
        <v>1156200</v>
      </c>
      <c r="J67" s="1383">
        <v>0</v>
      </c>
      <c r="K67" s="1316">
        <f t="shared" si="10"/>
        <v>3468600</v>
      </c>
      <c r="L67" s="1381">
        <f t="shared" si="9"/>
        <v>5781000</v>
      </c>
    </row>
    <row r="68" spans="1:12" ht="75" x14ac:dyDescent="0.25">
      <c r="A68" s="1277">
        <v>57</v>
      </c>
      <c r="B68" s="1349" t="s">
        <v>1101</v>
      </c>
      <c r="C68" s="1378" t="s">
        <v>1063</v>
      </c>
      <c r="D68" s="1425"/>
      <c r="E68" s="1392"/>
      <c r="F68" s="1389">
        <v>3318860</v>
      </c>
      <c r="G68" s="1391">
        <v>0</v>
      </c>
      <c r="H68" s="1391"/>
      <c r="I68" s="1391"/>
      <c r="J68" s="1391"/>
      <c r="K68" s="1393">
        <f t="shared" si="10"/>
        <v>0</v>
      </c>
      <c r="L68" s="1426">
        <f t="shared" si="9"/>
        <v>3318860</v>
      </c>
    </row>
    <row r="69" spans="1:12" ht="75" x14ac:dyDescent="0.25">
      <c r="A69" s="1277">
        <v>58</v>
      </c>
      <c r="B69" s="1379" t="s">
        <v>1102</v>
      </c>
      <c r="C69" s="1378" t="s">
        <v>1063</v>
      </c>
      <c r="D69" s="1425"/>
      <c r="E69" s="1392"/>
      <c r="F69" s="1389">
        <v>135000</v>
      </c>
      <c r="G69" s="1391">
        <v>135000</v>
      </c>
      <c r="H69" s="1391">
        <v>135000</v>
      </c>
      <c r="I69" s="1391">
        <v>135000</v>
      </c>
      <c r="J69" s="1391">
        <v>270000</v>
      </c>
      <c r="K69" s="1391">
        <f t="shared" si="10"/>
        <v>675000</v>
      </c>
      <c r="L69" s="1313">
        <f t="shared" si="9"/>
        <v>810000</v>
      </c>
    </row>
    <row r="70" spans="1:12" ht="45" x14ac:dyDescent="0.25">
      <c r="A70" s="1327">
        <v>59</v>
      </c>
      <c r="B70" s="1427" t="s">
        <v>1103</v>
      </c>
      <c r="C70" s="1428" t="s">
        <v>1063</v>
      </c>
      <c r="D70" s="1408"/>
      <c r="E70" s="1388"/>
      <c r="F70" s="1389">
        <v>200000000</v>
      </c>
      <c r="G70" s="1354">
        <v>0</v>
      </c>
      <c r="H70" s="1390"/>
      <c r="I70" s="1390"/>
      <c r="J70" s="1390"/>
      <c r="K70" s="1354">
        <f t="shared" si="10"/>
        <v>0</v>
      </c>
      <c r="L70" s="1354">
        <f t="shared" si="9"/>
        <v>200000000</v>
      </c>
    </row>
    <row r="71" spans="1:12" ht="45" x14ac:dyDescent="0.25">
      <c r="A71" s="1277">
        <v>60</v>
      </c>
      <c r="B71" s="1349" t="s">
        <v>1104</v>
      </c>
      <c r="C71" s="1378" t="s">
        <v>1063</v>
      </c>
      <c r="D71" s="1425"/>
      <c r="E71" s="1392"/>
      <c r="F71" s="1389">
        <v>210000</v>
      </c>
      <c r="G71" s="1391">
        <v>210000</v>
      </c>
      <c r="H71" s="1391">
        <v>210000</v>
      </c>
      <c r="I71" s="1391">
        <v>210000</v>
      </c>
      <c r="J71" s="1391">
        <v>420000</v>
      </c>
      <c r="K71" s="1391">
        <f t="shared" si="10"/>
        <v>1050000</v>
      </c>
      <c r="L71" s="1307">
        <f t="shared" si="9"/>
        <v>1260000</v>
      </c>
    </row>
    <row r="72" spans="1:12" ht="45" x14ac:dyDescent="0.25">
      <c r="A72" s="1277">
        <v>61</v>
      </c>
      <c r="B72" s="1349" t="s">
        <v>1105</v>
      </c>
      <c r="C72" s="1378" t="s">
        <v>1063</v>
      </c>
      <c r="D72" s="1429"/>
      <c r="E72" s="1392"/>
      <c r="F72" s="1389">
        <v>210000</v>
      </c>
      <c r="G72" s="1391">
        <v>210000</v>
      </c>
      <c r="H72" s="1391">
        <v>210000</v>
      </c>
      <c r="I72" s="1391">
        <v>210000</v>
      </c>
      <c r="J72" s="1391">
        <v>420000</v>
      </c>
      <c r="K72" s="1393">
        <f t="shared" si="10"/>
        <v>1050000</v>
      </c>
      <c r="L72" s="1272">
        <f t="shared" si="9"/>
        <v>1260000</v>
      </c>
    </row>
    <row r="73" spans="1:12" ht="60" x14ac:dyDescent="0.25">
      <c r="A73" s="1277">
        <v>62</v>
      </c>
      <c r="B73" s="1379" t="s">
        <v>1106</v>
      </c>
      <c r="C73" s="1430" t="s">
        <v>1063</v>
      </c>
      <c r="D73" s="1431"/>
      <c r="E73" s="1396"/>
      <c r="F73" s="1432">
        <v>88077500</v>
      </c>
      <c r="G73" s="1396">
        <v>0</v>
      </c>
      <c r="H73" s="1396"/>
      <c r="I73" s="1396"/>
      <c r="J73" s="1396"/>
      <c r="K73" s="1393">
        <f t="shared" si="10"/>
        <v>0</v>
      </c>
      <c r="L73" s="1433">
        <f t="shared" si="9"/>
        <v>88077500</v>
      </c>
    </row>
    <row r="74" spans="1:12" ht="90" x14ac:dyDescent="0.25">
      <c r="A74" s="1280">
        <v>63</v>
      </c>
      <c r="B74" s="1299" t="s">
        <v>1107</v>
      </c>
      <c r="C74" s="1434" t="s">
        <v>1063</v>
      </c>
      <c r="D74" s="1396"/>
      <c r="E74" s="1396"/>
      <c r="F74" s="1432">
        <v>132770435</v>
      </c>
      <c r="G74" s="1396">
        <v>0</v>
      </c>
      <c r="H74" s="1396"/>
      <c r="I74" s="1396"/>
      <c r="J74" s="1396"/>
      <c r="K74" s="1396">
        <f t="shared" si="10"/>
        <v>0</v>
      </c>
      <c r="L74" s="1272">
        <f t="shared" si="9"/>
        <v>132770435</v>
      </c>
    </row>
    <row r="75" spans="1:12" ht="45" x14ac:dyDescent="0.25">
      <c r="A75" s="1277">
        <v>64</v>
      </c>
      <c r="B75" s="1299" t="s">
        <v>1108</v>
      </c>
      <c r="C75" s="1277" t="s">
        <v>1063</v>
      </c>
      <c r="D75" s="1393"/>
      <c r="E75" s="1393"/>
      <c r="F75" s="1435">
        <v>315000</v>
      </c>
      <c r="G75" s="1393">
        <v>315000</v>
      </c>
      <c r="H75" s="1393">
        <v>0</v>
      </c>
      <c r="I75" s="1393"/>
      <c r="J75" s="1393"/>
      <c r="K75" s="1393">
        <f t="shared" si="10"/>
        <v>315000</v>
      </c>
      <c r="L75" s="1393">
        <f t="shared" si="9"/>
        <v>630000</v>
      </c>
    </row>
    <row r="76" spans="1:12" ht="120" x14ac:dyDescent="0.25">
      <c r="A76" s="1277">
        <v>65</v>
      </c>
      <c r="B76" s="1299" t="s">
        <v>1109</v>
      </c>
      <c r="C76" s="1277" t="s">
        <v>1063</v>
      </c>
      <c r="D76" s="1393">
        <v>25000000</v>
      </c>
      <c r="E76" s="1393">
        <v>0</v>
      </c>
      <c r="F76" s="1435">
        <v>25000000</v>
      </c>
      <c r="G76" s="1393">
        <v>20000000</v>
      </c>
      <c r="H76" s="1393">
        <v>0</v>
      </c>
      <c r="I76" s="1393"/>
      <c r="J76" s="1393"/>
      <c r="K76" s="1393">
        <f t="shared" si="10"/>
        <v>20000000</v>
      </c>
      <c r="L76" s="1393">
        <f t="shared" si="9"/>
        <v>70000000</v>
      </c>
    </row>
    <row r="77" spans="1:12" ht="75.599999999999994" thickBot="1" x14ac:dyDescent="0.3">
      <c r="A77" s="1277">
        <v>66</v>
      </c>
      <c r="B77" s="1306" t="s">
        <v>1110</v>
      </c>
      <c r="C77" s="1350" t="s">
        <v>1063</v>
      </c>
      <c r="D77" s="1393"/>
      <c r="E77" s="1393"/>
      <c r="F77" s="1435">
        <v>15000000</v>
      </c>
      <c r="G77" s="1393">
        <v>0</v>
      </c>
      <c r="H77" s="1393"/>
      <c r="I77" s="1393"/>
      <c r="J77" s="1393"/>
      <c r="K77" s="1393">
        <f t="shared" si="10"/>
        <v>0</v>
      </c>
      <c r="L77" s="1393">
        <f t="shared" si="9"/>
        <v>15000000</v>
      </c>
    </row>
    <row r="78" spans="1:12" ht="24.75" customHeight="1" thickBot="1" x14ac:dyDescent="0.35">
      <c r="A78" s="1284" t="s">
        <v>1032</v>
      </c>
      <c r="B78" s="1285" t="s">
        <v>840</v>
      </c>
      <c r="C78" s="1286" t="s">
        <v>1033</v>
      </c>
      <c r="D78" s="1287" t="s">
        <v>1034</v>
      </c>
      <c r="E78" s="1287" t="s">
        <v>1035</v>
      </c>
      <c r="F78" s="1288" t="s">
        <v>1036</v>
      </c>
      <c r="G78" s="1289" t="s">
        <v>1037</v>
      </c>
      <c r="H78" s="1289" t="s">
        <v>1038</v>
      </c>
      <c r="I78" s="1289" t="s">
        <v>1039</v>
      </c>
      <c r="J78" s="1289" t="s">
        <v>1040</v>
      </c>
      <c r="K78" s="1290" t="s">
        <v>1041</v>
      </c>
      <c r="L78" s="1291" t="s">
        <v>1042</v>
      </c>
    </row>
    <row r="79" spans="1:12" ht="105" x14ac:dyDescent="0.25">
      <c r="A79" s="1292">
        <v>67</v>
      </c>
      <c r="B79" s="1306" t="s">
        <v>1111</v>
      </c>
      <c r="C79" s="1350" t="s">
        <v>1063</v>
      </c>
      <c r="D79" s="1351"/>
      <c r="E79" s="1352"/>
      <c r="F79" s="1353">
        <v>1175067</v>
      </c>
      <c r="G79" s="1352">
        <v>0</v>
      </c>
      <c r="H79" s="1352"/>
      <c r="I79" s="1352"/>
      <c r="J79" s="1352"/>
      <c r="K79" s="1352">
        <f t="shared" si="10"/>
        <v>0</v>
      </c>
      <c r="L79" s="1393">
        <f t="shared" si="9"/>
        <v>1175067</v>
      </c>
    </row>
    <row r="80" spans="1:12" ht="45" x14ac:dyDescent="0.25">
      <c r="A80" s="1292">
        <v>68</v>
      </c>
      <c r="B80" s="1306" t="s">
        <v>1112</v>
      </c>
      <c r="C80" s="1350" t="s">
        <v>1063</v>
      </c>
      <c r="D80" s="1351"/>
      <c r="E80" s="1352"/>
      <c r="F80" s="1353">
        <v>180000</v>
      </c>
      <c r="G80" s="1352">
        <v>180000</v>
      </c>
      <c r="H80" s="1352">
        <v>180000</v>
      </c>
      <c r="I80" s="1352">
        <v>180000</v>
      </c>
      <c r="J80" s="1352">
        <v>360000</v>
      </c>
      <c r="K80" s="1352">
        <f t="shared" si="10"/>
        <v>900000</v>
      </c>
      <c r="L80" s="1354">
        <f t="shared" si="9"/>
        <v>1080000</v>
      </c>
    </row>
    <row r="81" spans="1:12" ht="45" x14ac:dyDescent="0.25">
      <c r="A81" s="1292">
        <v>69</v>
      </c>
      <c r="B81" s="1306" t="s">
        <v>1113</v>
      </c>
      <c r="C81" s="1350" t="s">
        <v>1063</v>
      </c>
      <c r="D81" s="1351"/>
      <c r="E81" s="1352"/>
      <c r="F81" s="1353">
        <v>120000</v>
      </c>
      <c r="G81" s="1352">
        <v>120000</v>
      </c>
      <c r="H81" s="1352">
        <v>120000</v>
      </c>
      <c r="I81" s="1352">
        <v>120000</v>
      </c>
      <c r="J81" s="1352">
        <v>240000</v>
      </c>
      <c r="K81" s="1352">
        <f>G81+H81+I81+J81</f>
        <v>600000</v>
      </c>
      <c r="L81" s="1354">
        <f>D81+E81+F81+K81</f>
        <v>720000</v>
      </c>
    </row>
    <row r="82" spans="1:12" ht="90" x14ac:dyDescent="0.25">
      <c r="A82" s="1292">
        <v>70</v>
      </c>
      <c r="B82" s="1306" t="s">
        <v>1114</v>
      </c>
      <c r="C82" s="1350" t="s">
        <v>1063</v>
      </c>
      <c r="D82" s="1351"/>
      <c r="E82" s="1352">
        <v>750000</v>
      </c>
      <c r="F82" s="1353">
        <v>750000</v>
      </c>
      <c r="G82" s="1352">
        <v>0</v>
      </c>
      <c r="H82" s="1352"/>
      <c r="I82" s="1352"/>
      <c r="J82" s="1352"/>
      <c r="K82" s="1352">
        <f>G82+H82+I82+J82</f>
        <v>0</v>
      </c>
      <c r="L82" s="1354">
        <f>D82+E82+F82+K82</f>
        <v>1500000</v>
      </c>
    </row>
    <row r="83" spans="1:12" ht="90" x14ac:dyDescent="0.25">
      <c r="A83" s="1292">
        <v>71</v>
      </c>
      <c r="B83" s="1306" t="s">
        <v>1115</v>
      </c>
      <c r="C83" s="1350">
        <v>2017</v>
      </c>
      <c r="D83" s="1351"/>
      <c r="E83" s="1352"/>
      <c r="F83" s="1353">
        <v>32000000</v>
      </c>
      <c r="G83" s="1352">
        <v>0</v>
      </c>
      <c r="H83" s="1352"/>
      <c r="I83" s="1352"/>
      <c r="J83" s="1352"/>
      <c r="K83" s="1352">
        <f>G83+H83+I83+J83</f>
        <v>0</v>
      </c>
      <c r="L83" s="1354">
        <f>D83+E83+F83+K83</f>
        <v>32000000</v>
      </c>
    </row>
    <row r="84" spans="1:12" ht="30" x14ac:dyDescent="0.25">
      <c r="A84" s="1292">
        <v>72</v>
      </c>
      <c r="B84" s="1306" t="s">
        <v>1116</v>
      </c>
      <c r="C84" s="1350">
        <v>2017</v>
      </c>
      <c r="D84" s="1351"/>
      <c r="E84" s="1352"/>
      <c r="F84" s="1353">
        <v>2186838</v>
      </c>
      <c r="G84" s="1352">
        <v>1093419</v>
      </c>
      <c r="H84" s="1352">
        <v>1093419</v>
      </c>
      <c r="I84" s="1352">
        <v>1093419</v>
      </c>
      <c r="J84" s="1352">
        <v>5467095</v>
      </c>
      <c r="K84" s="1352">
        <f>G84+H84+I84+J84</f>
        <v>8747352</v>
      </c>
      <c r="L84" s="1354">
        <f>D84+E84+F84+K84</f>
        <v>10934190</v>
      </c>
    </row>
    <row r="85" spans="1:12" ht="60" x14ac:dyDescent="0.25">
      <c r="A85" s="1292">
        <v>73</v>
      </c>
      <c r="B85" s="1306" t="s">
        <v>1117</v>
      </c>
      <c r="C85" s="1350">
        <v>2018</v>
      </c>
      <c r="D85" s="1351"/>
      <c r="E85" s="1352"/>
      <c r="F85" s="1353">
        <v>82224420</v>
      </c>
      <c r="G85" s="1352">
        <v>51324420</v>
      </c>
      <c r="H85" s="1352"/>
      <c r="I85" s="1352"/>
      <c r="J85" s="1352"/>
      <c r="K85" s="1352">
        <f t="shared" si="10"/>
        <v>51324420</v>
      </c>
      <c r="L85" s="1393">
        <f t="shared" si="9"/>
        <v>133548840</v>
      </c>
    </row>
    <row r="86" spans="1:12" ht="15" x14ac:dyDescent="0.25">
      <c r="A86" s="1280">
        <v>74</v>
      </c>
      <c r="B86" s="1436"/>
      <c r="C86" s="516"/>
      <c r="D86" s="1431"/>
      <c r="E86" s="1396"/>
      <c r="F86" s="1432"/>
      <c r="G86" s="1396"/>
      <c r="H86" s="1396"/>
      <c r="I86" s="1396"/>
      <c r="J86" s="1396"/>
      <c r="K86" s="1396">
        <f t="shared" si="10"/>
        <v>0</v>
      </c>
      <c r="L86" s="1396">
        <f t="shared" si="9"/>
        <v>0</v>
      </c>
    </row>
    <row r="87" spans="1:12" ht="15" x14ac:dyDescent="0.25">
      <c r="A87" s="1277">
        <v>75</v>
      </c>
      <c r="B87" s="1306"/>
      <c r="C87" s="1350"/>
      <c r="D87" s="1393"/>
      <c r="E87" s="1393"/>
      <c r="F87" s="1435"/>
      <c r="G87" s="1393"/>
      <c r="H87" s="1393"/>
      <c r="I87" s="1393"/>
      <c r="J87" s="1393"/>
      <c r="K87" s="1393">
        <f t="shared" si="10"/>
        <v>0</v>
      </c>
      <c r="L87" s="1393">
        <f>D87+E87+F87+K87</f>
        <v>0</v>
      </c>
    </row>
    <row r="88" spans="1:12" ht="41.25" customHeight="1" x14ac:dyDescent="0.3">
      <c r="A88" s="1437"/>
      <c r="B88" s="1438" t="s">
        <v>1118</v>
      </c>
      <c r="C88" s="1439"/>
      <c r="D88" s="1440">
        <f t="shared" ref="D88:L88" si="11">D21+D12</f>
        <v>1493964044</v>
      </c>
      <c r="E88" s="1440">
        <f t="shared" si="11"/>
        <v>61690116</v>
      </c>
      <c r="F88" s="1441">
        <f t="shared" si="11"/>
        <v>1096004590</v>
      </c>
      <c r="G88" s="1440">
        <f t="shared" si="11"/>
        <v>415676502</v>
      </c>
      <c r="H88" s="1440">
        <f t="shared" si="11"/>
        <v>169683155</v>
      </c>
      <c r="I88" s="1440">
        <f t="shared" si="11"/>
        <v>139185673</v>
      </c>
      <c r="J88" s="1440">
        <f t="shared" si="11"/>
        <v>652649900</v>
      </c>
      <c r="K88" s="1440">
        <f t="shared" si="11"/>
        <v>1377195230</v>
      </c>
      <c r="L88" s="1440">
        <f t="shared" si="11"/>
        <v>4028853980</v>
      </c>
    </row>
    <row r="89" spans="1:12" ht="15" x14ac:dyDescent="0.25">
      <c r="C89" s="1444"/>
      <c r="D89" s="1445"/>
      <c r="E89" s="1445"/>
    </row>
    <row r="90" spans="1:12" x14ac:dyDescent="0.25">
      <c r="C90" s="1444"/>
      <c r="D90" s="1444"/>
      <c r="E90" s="1444"/>
    </row>
    <row r="91" spans="1:12" x14ac:dyDescent="0.25">
      <c r="C91" s="1444"/>
      <c r="D91" s="1444"/>
      <c r="E91" s="1444"/>
    </row>
    <row r="92" spans="1:12" x14ac:dyDescent="0.25">
      <c r="C92" s="1444"/>
      <c r="D92" s="1444"/>
      <c r="E92" s="1444"/>
    </row>
    <row r="93" spans="1:12" x14ac:dyDescent="0.25">
      <c r="A93" s="1447"/>
      <c r="D93" s="228"/>
      <c r="E93" s="228"/>
      <c r="F93" s="1448"/>
      <c r="G93" s="1449"/>
    </row>
    <row r="94" spans="1:12" x14ac:dyDescent="0.25">
      <c r="F94" s="1448"/>
      <c r="G94" s="1450"/>
    </row>
    <row r="95" spans="1:12" x14ac:dyDescent="0.25">
      <c r="G95" s="1450"/>
    </row>
    <row r="96" spans="1:12" x14ac:dyDescent="0.25">
      <c r="F96" s="1448"/>
    </row>
    <row r="97" spans="6:6" x14ac:dyDescent="0.25">
      <c r="F97" s="1448"/>
    </row>
  </sheetData>
  <mergeCells count="11">
    <mergeCell ref="L4:L6"/>
    <mergeCell ref="A2:L2"/>
    <mergeCell ref="B4:B5"/>
    <mergeCell ref="D4:D5"/>
    <mergeCell ref="E4:E6"/>
    <mergeCell ref="F4:F6"/>
    <mergeCell ref="G4:G6"/>
    <mergeCell ref="H4:H6"/>
    <mergeCell ref="I4:I6"/>
    <mergeCell ref="J4:J6"/>
    <mergeCell ref="K4:K6"/>
  </mergeCells>
  <pageMargins left="0.7" right="0.7" top="0.75" bottom="0.75" header="0.3" footer="0.3"/>
  <pageSetup paperSize="9" scale="61" orientation="landscape" r:id="rId1"/>
  <headerFooter>
    <oddHeader>&amp;C10. melléklet
az önkormányzat 2018. évi költségvetéséről szóló 11/2018. (III.01.) önkormányzati rendeletéhez &amp;R
&amp;P. oldal</oddHeader>
  </headerFooter>
  <rowBreaks count="5" manualBreakCount="5">
    <brk id="26" max="11" man="1"/>
    <brk id="41" max="11" man="1"/>
    <brk id="54" max="11" man="1"/>
    <brk id="65" max="11" man="1"/>
    <brk id="77" max="11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43"/>
  <sheetViews>
    <sheetView view="pageLayout" zoomScaleNormal="100" workbookViewId="0">
      <selection activeCell="J8" sqref="J8"/>
    </sheetView>
  </sheetViews>
  <sheetFormatPr defaultColWidth="9.109375" defaultRowHeight="14.4" x14ac:dyDescent="0.3"/>
  <cols>
    <col min="1" max="1" width="9.109375" style="1452"/>
    <col min="2" max="2" width="33.109375" style="1452" customWidth="1"/>
    <col min="3" max="4" width="9.33203125" style="1452" bestFit="1" customWidth="1"/>
    <col min="5" max="5" width="12.33203125" style="1452" bestFit="1" customWidth="1"/>
    <col min="6" max="6" width="13.6640625" style="1452" customWidth="1"/>
    <col min="7" max="7" width="12.109375" style="1452" customWidth="1"/>
    <col min="8" max="8" width="12" style="1452" customWidth="1"/>
    <col min="9" max="16384" width="9.109375" style="1452"/>
  </cols>
  <sheetData>
    <row r="3" spans="1:8" x14ac:dyDescent="0.3">
      <c r="A3" s="1451"/>
      <c r="B3" s="1451"/>
      <c r="C3" s="1451"/>
      <c r="D3" s="1451"/>
      <c r="E3" s="1451"/>
      <c r="F3" s="1451"/>
      <c r="G3" s="1451"/>
      <c r="H3" s="1451"/>
    </row>
    <row r="4" spans="1:8" x14ac:dyDescent="0.3">
      <c r="A4" s="1451"/>
      <c r="B4" s="1451"/>
      <c r="C4" s="1451"/>
      <c r="D4" s="1451"/>
      <c r="E4" s="1451"/>
      <c r="F4" s="1451"/>
      <c r="G4" s="1451"/>
      <c r="H4" s="1451"/>
    </row>
    <row r="5" spans="1:8" ht="15.6" x14ac:dyDescent="0.3">
      <c r="A5" s="1761" t="s">
        <v>1119</v>
      </c>
      <c r="B5" s="1761"/>
      <c r="C5" s="1761"/>
      <c r="D5" s="1761"/>
      <c r="E5" s="1761"/>
      <c r="F5" s="1761"/>
      <c r="G5" s="1761"/>
      <c r="H5" s="1761"/>
    </row>
    <row r="6" spans="1:8" ht="15.6" x14ac:dyDescent="0.3">
      <c r="A6" s="1761" t="s">
        <v>1120</v>
      </c>
      <c r="B6" s="1761"/>
      <c r="C6" s="1761"/>
      <c r="D6" s="1761"/>
      <c r="E6" s="1761"/>
      <c r="F6" s="1761"/>
      <c r="G6" s="1761"/>
      <c r="H6" s="1761"/>
    </row>
    <row r="7" spans="1:8" x14ac:dyDescent="0.3">
      <c r="A7" s="1453"/>
      <c r="B7" s="1453"/>
      <c r="C7" s="1453"/>
      <c r="D7" s="1453"/>
      <c r="E7" s="1453"/>
      <c r="F7" s="1453"/>
      <c r="G7" s="1453"/>
      <c r="H7" s="1453"/>
    </row>
    <row r="8" spans="1:8" x14ac:dyDescent="0.3">
      <c r="A8" s="1451"/>
      <c r="B8" s="1451"/>
      <c r="C8" s="1451"/>
      <c r="D8" s="1451"/>
      <c r="E8" s="1451"/>
      <c r="F8" s="1451"/>
      <c r="G8" s="1451"/>
      <c r="H8" s="1451"/>
    </row>
    <row r="9" spans="1:8" x14ac:dyDescent="0.3">
      <c r="A9" s="1454" t="s">
        <v>513</v>
      </c>
      <c r="B9" s="1454"/>
      <c r="C9" s="1455" t="s">
        <v>1121</v>
      </c>
      <c r="D9" s="1454" t="s">
        <v>1122</v>
      </c>
      <c r="E9" s="1762" t="s">
        <v>1123</v>
      </c>
      <c r="F9" s="1762"/>
      <c r="G9" s="1762"/>
      <c r="H9" s="1762"/>
    </row>
    <row r="10" spans="1:8" x14ac:dyDescent="0.3">
      <c r="A10" s="1456"/>
      <c r="B10" s="1457" t="s">
        <v>1124</v>
      </c>
      <c r="C10" s="1458" t="s">
        <v>1125</v>
      </c>
      <c r="D10" s="1459" t="s">
        <v>1125</v>
      </c>
      <c r="E10" s="1460">
        <v>2018</v>
      </c>
      <c r="F10" s="1460">
        <v>2019</v>
      </c>
      <c r="G10" s="1460">
        <v>2020</v>
      </c>
      <c r="H10" s="1461" t="s">
        <v>1126</v>
      </c>
    </row>
    <row r="11" spans="1:8" x14ac:dyDescent="0.3">
      <c r="A11" s="1462"/>
      <c r="B11" s="1462"/>
      <c r="C11" s="1463"/>
      <c r="D11" s="1462"/>
      <c r="E11" s="1462"/>
      <c r="F11" s="1464"/>
      <c r="G11" s="1464"/>
      <c r="H11" s="1462"/>
    </row>
    <row r="12" spans="1:8" x14ac:dyDescent="0.3">
      <c r="A12" s="1457" t="s">
        <v>1032</v>
      </c>
      <c r="B12" s="1457" t="s">
        <v>840</v>
      </c>
      <c r="C12" s="1458" t="s">
        <v>1033</v>
      </c>
      <c r="D12" s="1458" t="s">
        <v>1034</v>
      </c>
      <c r="E12" s="1458" t="s">
        <v>1035</v>
      </c>
      <c r="F12" s="1458" t="s">
        <v>1036</v>
      </c>
      <c r="G12" s="1458" t="s">
        <v>1037</v>
      </c>
      <c r="H12" s="1458" t="s">
        <v>1038</v>
      </c>
    </row>
    <row r="13" spans="1:8" x14ac:dyDescent="0.3">
      <c r="A13" s="1465"/>
      <c r="B13" s="1465" t="s">
        <v>1127</v>
      </c>
      <c r="C13" s="1465"/>
      <c r="D13" s="1465"/>
      <c r="E13" s="1465"/>
      <c r="F13" s="1465"/>
      <c r="G13" s="1465"/>
      <c r="H13" s="1465"/>
    </row>
    <row r="14" spans="1:8" ht="27" x14ac:dyDescent="0.3">
      <c r="A14" s="1465" t="s">
        <v>1032</v>
      </c>
      <c r="B14" s="1466" t="s">
        <v>1128</v>
      </c>
      <c r="C14" s="1467"/>
      <c r="D14" s="1467"/>
      <c r="E14" s="1468"/>
      <c r="F14" s="1468"/>
      <c r="G14" s="1468"/>
      <c r="H14" s="1468"/>
    </row>
    <row r="15" spans="1:8" x14ac:dyDescent="0.3">
      <c r="A15" s="1469" t="s">
        <v>840</v>
      </c>
      <c r="B15" s="1470"/>
      <c r="C15" s="1471"/>
      <c r="D15" s="1471"/>
      <c r="E15" s="1471"/>
      <c r="F15" s="1471"/>
      <c r="G15" s="1471"/>
      <c r="H15" s="1471"/>
    </row>
    <row r="16" spans="1:8" x14ac:dyDescent="0.3">
      <c r="A16" s="1465" t="s">
        <v>1033</v>
      </c>
      <c r="B16" s="1472" t="s">
        <v>1129</v>
      </c>
      <c r="C16" s="1468"/>
      <c r="D16" s="1468"/>
      <c r="E16" s="1468"/>
      <c r="F16" s="1468"/>
      <c r="G16" s="1468"/>
      <c r="H16" s="1468"/>
    </row>
    <row r="17" spans="1:8" x14ac:dyDescent="0.3">
      <c r="A17" s="1465" t="s">
        <v>1034</v>
      </c>
      <c r="B17" s="1473"/>
      <c r="C17" s="1468"/>
      <c r="D17" s="1468"/>
      <c r="E17" s="1468"/>
      <c r="F17" s="1468"/>
      <c r="G17" s="1468"/>
      <c r="H17" s="1468"/>
    </row>
    <row r="18" spans="1:8" x14ac:dyDescent="0.3">
      <c r="A18" s="1454" t="s">
        <v>1035</v>
      </c>
      <c r="B18" s="1472" t="s">
        <v>1130</v>
      </c>
      <c r="C18" s="1474"/>
      <c r="D18" s="1474"/>
      <c r="E18" s="1474"/>
      <c r="F18" s="1474"/>
      <c r="G18" s="1474"/>
      <c r="H18" s="1474"/>
    </row>
    <row r="19" spans="1:8" ht="27" x14ac:dyDescent="0.3">
      <c r="A19" s="1465" t="s">
        <v>1036</v>
      </c>
      <c r="B19" s="1466" t="s">
        <v>1131</v>
      </c>
      <c r="C19" s="1467"/>
      <c r="D19" s="1467"/>
      <c r="E19" s="1475">
        <f>E21+E23</f>
        <v>747450248</v>
      </c>
      <c r="F19" s="1475">
        <f>F21+F23</f>
        <v>656577728</v>
      </c>
      <c r="G19" s="1475">
        <f>G21+G23</f>
        <v>567662320</v>
      </c>
      <c r="H19" s="1475">
        <f>H21+H23</f>
        <v>480666491</v>
      </c>
    </row>
    <row r="20" spans="1:8" x14ac:dyDescent="0.3">
      <c r="A20" s="1469" t="s">
        <v>1037</v>
      </c>
      <c r="B20" s="1471" t="s">
        <v>1047</v>
      </c>
      <c r="C20" s="1471">
        <v>2014</v>
      </c>
      <c r="D20" s="1471">
        <v>2026</v>
      </c>
      <c r="E20" s="1476">
        <v>668181818</v>
      </c>
      <c r="F20" s="1476">
        <f>E20-74242424</f>
        <v>593939394</v>
      </c>
      <c r="G20" s="1476">
        <f>F20-74242424</f>
        <v>519696970</v>
      </c>
      <c r="H20" s="1476">
        <f>G20-74242424</f>
        <v>445454546</v>
      </c>
    </row>
    <row r="21" spans="1:8" x14ac:dyDescent="0.3">
      <c r="A21" s="1465" t="s">
        <v>1038</v>
      </c>
      <c r="B21" s="1472" t="s">
        <v>1132</v>
      </c>
      <c r="C21" s="1468"/>
      <c r="D21" s="1468"/>
      <c r="E21" s="1475">
        <f>SUM(E20:E20)</f>
        <v>668181818</v>
      </c>
      <c r="F21" s="1475">
        <f>SUM(F20:F20)</f>
        <v>593939394</v>
      </c>
      <c r="G21" s="1475">
        <f>SUM(G20:G20)</f>
        <v>519696970</v>
      </c>
      <c r="H21" s="1475">
        <f>SUM(H20:H20)</f>
        <v>445454546</v>
      </c>
    </row>
    <row r="22" spans="1:8" x14ac:dyDescent="0.3">
      <c r="A22" s="1465" t="s">
        <v>1039</v>
      </c>
      <c r="B22" s="1471" t="s">
        <v>1049</v>
      </c>
      <c r="C22" s="1471">
        <v>2014</v>
      </c>
      <c r="D22" s="1471">
        <v>2026</v>
      </c>
      <c r="E22" s="1477">
        <v>79268430</v>
      </c>
      <c r="F22" s="1477">
        <v>62638334</v>
      </c>
      <c r="G22" s="1477">
        <v>47965350</v>
      </c>
      <c r="H22" s="1477">
        <v>35211945</v>
      </c>
    </row>
    <row r="23" spans="1:8" x14ac:dyDescent="0.3">
      <c r="A23" s="1454" t="s">
        <v>1040</v>
      </c>
      <c r="B23" s="1478" t="s">
        <v>1133</v>
      </c>
      <c r="C23" s="1474"/>
      <c r="D23" s="1474"/>
      <c r="E23" s="1479">
        <f>SUM(E22:E22)</f>
        <v>79268430</v>
      </c>
      <c r="F23" s="1479">
        <f>SUM(F22:F22)</f>
        <v>62638334</v>
      </c>
      <c r="G23" s="1479">
        <f>SUM(G22:G22)</f>
        <v>47965350</v>
      </c>
      <c r="H23" s="1479">
        <f>SUM(H22:H22)</f>
        <v>35211945</v>
      </c>
    </row>
    <row r="24" spans="1:8" x14ac:dyDescent="0.3">
      <c r="A24" s="1465" t="s">
        <v>1041</v>
      </c>
      <c r="B24" s="1472" t="s">
        <v>1134</v>
      </c>
      <c r="C24" s="1467"/>
      <c r="D24" s="1467"/>
      <c r="E24" s="1475">
        <f>E19+E14</f>
        <v>747450248</v>
      </c>
      <c r="F24" s="1475">
        <f>F19+F14</f>
        <v>656577728</v>
      </c>
      <c r="G24" s="1475">
        <f>G19+G14</f>
        <v>567662320</v>
      </c>
      <c r="H24" s="1475">
        <f>H19+H14</f>
        <v>480666491</v>
      </c>
    </row>
    <row r="25" spans="1:8" ht="53.4" x14ac:dyDescent="0.3">
      <c r="A25" s="1465" t="s">
        <v>1042</v>
      </c>
      <c r="B25" s="1466" t="s">
        <v>1135</v>
      </c>
      <c r="C25" s="1467"/>
      <c r="D25" s="1467"/>
      <c r="E25" s="1475"/>
      <c r="F25" s="1475"/>
      <c r="G25" s="1475"/>
      <c r="H25" s="1475"/>
    </row>
    <row r="26" spans="1:8" ht="27" x14ac:dyDescent="0.3">
      <c r="A26" s="1465" t="s">
        <v>1136</v>
      </c>
      <c r="B26" s="1480" t="s">
        <v>1137</v>
      </c>
      <c r="C26" s="1481" t="s">
        <v>1138</v>
      </c>
      <c r="D26" s="1482" t="s">
        <v>1085</v>
      </c>
      <c r="E26" s="1475">
        <v>0</v>
      </c>
      <c r="F26" s="1475">
        <v>0</v>
      </c>
      <c r="G26" s="1475">
        <v>0</v>
      </c>
      <c r="H26" s="1476">
        <v>0</v>
      </c>
    </row>
    <row r="27" spans="1:8" ht="27" x14ac:dyDescent="0.3">
      <c r="A27" s="1465" t="s">
        <v>1139</v>
      </c>
      <c r="B27" s="1480" t="s">
        <v>1140</v>
      </c>
      <c r="C27" s="1481" t="s">
        <v>1060</v>
      </c>
      <c r="D27" s="1482" t="s">
        <v>1023</v>
      </c>
      <c r="E27" s="1483">
        <v>128160000</v>
      </c>
      <c r="F27" s="1483"/>
      <c r="G27" s="1483">
        <v>0</v>
      </c>
      <c r="H27" s="1483">
        <v>0</v>
      </c>
    </row>
    <row r="28" spans="1:8" ht="27" x14ac:dyDescent="0.3">
      <c r="A28" s="1465" t="s">
        <v>1141</v>
      </c>
      <c r="B28" s="1480" t="s">
        <v>1142</v>
      </c>
      <c r="C28" s="1481" t="s">
        <v>1143</v>
      </c>
      <c r="D28" s="1482" t="s">
        <v>1025</v>
      </c>
      <c r="E28" s="1483">
        <v>92000000</v>
      </c>
      <c r="F28" s="1483">
        <v>76000000</v>
      </c>
      <c r="G28" s="1483">
        <v>60000000</v>
      </c>
      <c r="H28" s="1483">
        <v>50000000</v>
      </c>
    </row>
    <row r="29" spans="1:8" x14ac:dyDescent="0.3">
      <c r="A29" s="1465" t="s">
        <v>1144</v>
      </c>
      <c r="B29" s="1480" t="s">
        <v>58</v>
      </c>
      <c r="C29" s="1481" t="s">
        <v>1145</v>
      </c>
      <c r="D29" s="1482" t="s">
        <v>1146</v>
      </c>
      <c r="E29" s="1483">
        <v>25352312</v>
      </c>
      <c r="F29" s="1483">
        <v>8294348</v>
      </c>
      <c r="G29" s="1483"/>
      <c r="H29" s="1483"/>
    </row>
    <row r="30" spans="1:8" x14ac:dyDescent="0.3">
      <c r="A30" s="1465" t="s">
        <v>1147</v>
      </c>
      <c r="B30" s="1472" t="s">
        <v>1148</v>
      </c>
      <c r="C30" s="1467"/>
      <c r="D30" s="1467"/>
      <c r="E30" s="1475">
        <f>SUM(E26:E29)</f>
        <v>245512312</v>
      </c>
      <c r="F30" s="1475">
        <f>SUM(F26:F29)</f>
        <v>84294348</v>
      </c>
      <c r="G30" s="1475">
        <f>SUM(G26:G29)</f>
        <v>60000000</v>
      </c>
      <c r="H30" s="1475">
        <f>SUM(H26:H29)</f>
        <v>50000000</v>
      </c>
    </row>
    <row r="31" spans="1:8" x14ac:dyDescent="0.3">
      <c r="A31" s="1465" t="s">
        <v>1149</v>
      </c>
      <c r="B31" s="1465" t="s">
        <v>1150</v>
      </c>
      <c r="C31" s="1465"/>
      <c r="D31" s="1465"/>
      <c r="E31" s="1465"/>
      <c r="F31" s="1465"/>
      <c r="G31" s="1465"/>
      <c r="H31" s="1465"/>
    </row>
    <row r="32" spans="1:8" ht="27" x14ac:dyDescent="0.3">
      <c r="A32" s="1465" t="s">
        <v>1151</v>
      </c>
      <c r="B32" s="1466" t="s">
        <v>1128</v>
      </c>
      <c r="C32" s="1467"/>
      <c r="D32" s="1467"/>
      <c r="E32" s="1468"/>
      <c r="F32" s="1468"/>
      <c r="G32" s="1468"/>
      <c r="H32" s="1468"/>
    </row>
    <row r="33" spans="1:8" x14ac:dyDescent="0.3">
      <c r="A33" s="1469" t="s">
        <v>1152</v>
      </c>
      <c r="B33" s="1470"/>
      <c r="C33" s="1471"/>
      <c r="D33" s="1471"/>
      <c r="E33" s="1471"/>
      <c r="F33" s="1471"/>
      <c r="G33" s="1471"/>
      <c r="H33" s="1471"/>
    </row>
    <row r="34" spans="1:8" x14ac:dyDescent="0.3">
      <c r="A34" s="1465" t="s">
        <v>1153</v>
      </c>
      <c r="B34" s="1472" t="s">
        <v>1129</v>
      </c>
      <c r="C34" s="1468"/>
      <c r="D34" s="1468"/>
      <c r="E34" s="1468"/>
      <c r="F34" s="1468"/>
      <c r="G34" s="1468"/>
      <c r="H34" s="1468"/>
    </row>
    <row r="35" spans="1:8" x14ac:dyDescent="0.3">
      <c r="A35" s="1465" t="s">
        <v>1154</v>
      </c>
      <c r="B35" s="1473"/>
      <c r="C35" s="1468"/>
      <c r="D35" s="1468"/>
      <c r="E35" s="1468"/>
      <c r="F35" s="1468"/>
      <c r="G35" s="1468"/>
      <c r="H35" s="1468"/>
    </row>
    <row r="36" spans="1:8" x14ac:dyDescent="0.3">
      <c r="A36" s="1454" t="s">
        <v>1155</v>
      </c>
      <c r="B36" s="1472" t="s">
        <v>1130</v>
      </c>
      <c r="C36" s="1474"/>
      <c r="D36" s="1474"/>
      <c r="E36" s="1474"/>
      <c r="F36" s="1474"/>
      <c r="G36" s="1474"/>
      <c r="H36" s="1474"/>
    </row>
    <row r="37" spans="1:8" ht="27" x14ac:dyDescent="0.3">
      <c r="A37" s="1465" t="s">
        <v>1156</v>
      </c>
      <c r="B37" s="1466" t="s">
        <v>1131</v>
      </c>
      <c r="C37" s="1467"/>
      <c r="D37" s="1467"/>
      <c r="E37" s="1475"/>
      <c r="F37" s="1475"/>
      <c r="G37" s="1475"/>
      <c r="H37" s="1475"/>
    </row>
    <row r="38" spans="1:8" x14ac:dyDescent="0.3">
      <c r="A38" s="1465" t="s">
        <v>1157</v>
      </c>
      <c r="B38" s="1468"/>
      <c r="C38" s="1468"/>
      <c r="D38" s="1468"/>
      <c r="E38" s="1477"/>
      <c r="F38" s="1477"/>
      <c r="G38" s="1477"/>
      <c r="H38" s="1477"/>
    </row>
    <row r="39" spans="1:8" x14ac:dyDescent="0.3">
      <c r="A39" s="1465" t="s">
        <v>1158</v>
      </c>
      <c r="B39" s="1472" t="s">
        <v>1129</v>
      </c>
      <c r="C39" s="1468"/>
      <c r="D39" s="1468"/>
      <c r="E39" s="1477"/>
      <c r="F39" s="1477"/>
      <c r="G39" s="1477"/>
      <c r="H39" s="1477"/>
    </row>
    <row r="40" spans="1:8" x14ac:dyDescent="0.3">
      <c r="A40" s="1465" t="s">
        <v>1159</v>
      </c>
      <c r="B40" s="1484"/>
      <c r="C40" s="1468"/>
      <c r="D40" s="1468"/>
      <c r="E40" s="1477"/>
      <c r="F40" s="1477"/>
      <c r="G40" s="1477"/>
      <c r="H40" s="1477"/>
    </row>
    <row r="41" spans="1:8" x14ac:dyDescent="0.3">
      <c r="A41" s="1454" t="s">
        <v>1160</v>
      </c>
      <c r="B41" s="1478" t="s">
        <v>1130</v>
      </c>
      <c r="C41" s="1474"/>
      <c r="D41" s="1474"/>
      <c r="E41" s="1485"/>
      <c r="F41" s="1485"/>
      <c r="G41" s="1485"/>
      <c r="H41" s="1485"/>
    </row>
    <row r="42" spans="1:8" x14ac:dyDescent="0.3">
      <c r="A42" s="1465" t="s">
        <v>1161</v>
      </c>
      <c r="B42" s="1472" t="s">
        <v>1162</v>
      </c>
      <c r="C42" s="1467"/>
      <c r="D42" s="1467"/>
      <c r="E42" s="1475"/>
      <c r="F42" s="1475"/>
      <c r="G42" s="1475"/>
      <c r="H42" s="1475"/>
    </row>
    <row r="43" spans="1:8" x14ac:dyDescent="0.3">
      <c r="A43" s="1486" t="s">
        <v>1163</v>
      </c>
      <c r="B43" s="1472" t="s">
        <v>1164</v>
      </c>
      <c r="C43" s="1473"/>
      <c r="D43" s="1473"/>
      <c r="E43" s="1487">
        <f>E24+E30</f>
        <v>992962560</v>
      </c>
      <c r="F43" s="1487">
        <f>F24+F30</f>
        <v>740872076</v>
      </c>
      <c r="G43" s="1487">
        <f>G24+G30</f>
        <v>627662320</v>
      </c>
      <c r="H43" s="1487">
        <f>H24+H30</f>
        <v>530666491</v>
      </c>
    </row>
  </sheetData>
  <mergeCells count="3">
    <mergeCell ref="A5:H5"/>
    <mergeCell ref="A6:H6"/>
    <mergeCell ref="E9:H9"/>
  </mergeCells>
  <pageMargins left="0.7" right="0.7" top="0.75" bottom="0.75" header="0.3" footer="0.3"/>
  <pageSetup paperSize="9" scale="80" orientation="portrait" r:id="rId1"/>
  <headerFooter>
    <oddHeader>&amp;C11. melléklet
az önkormányzat 2018. évi költségvetéséről szóló 11/2018. (III.01.) önkormányzati rendeletéhez &amp;R
&amp;P. oldal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4:F25"/>
  <sheetViews>
    <sheetView view="pageLayout" zoomScaleNormal="100" zoomScaleSheetLayoutView="100" workbookViewId="0">
      <selection activeCell="E41" sqref="E41:E42"/>
    </sheetView>
  </sheetViews>
  <sheetFormatPr defaultColWidth="9.109375" defaultRowHeight="13.2" x14ac:dyDescent="0.25"/>
  <cols>
    <col min="1" max="1" width="9.109375" style="1488" customWidth="1"/>
    <col min="2" max="2" width="25.44140625" style="1488" customWidth="1"/>
    <col min="3" max="3" width="22.109375" style="1488" customWidth="1"/>
    <col min="4" max="4" width="17.33203125" style="1488" bestFit="1" customWidth="1"/>
    <col min="5" max="5" width="13.88671875" style="1488" bestFit="1" customWidth="1"/>
    <col min="6" max="6" width="11.109375" style="1488" bestFit="1" customWidth="1"/>
    <col min="7" max="16384" width="9.109375" style="1488"/>
  </cols>
  <sheetData>
    <row r="4" spans="1:6" ht="15.6" x14ac:dyDescent="0.3">
      <c r="A4" s="1763" t="s">
        <v>1165</v>
      </c>
      <c r="B4" s="1763"/>
      <c r="C4" s="1763"/>
      <c r="D4" s="1763"/>
      <c r="E4" s="1763"/>
    </row>
    <row r="5" spans="1:6" ht="15.6" x14ac:dyDescent="0.3">
      <c r="A5" s="1763" t="s">
        <v>1166</v>
      </c>
      <c r="B5" s="1763"/>
      <c r="C5" s="1763"/>
      <c r="D5" s="1763"/>
      <c r="E5" s="1763"/>
    </row>
    <row r="6" spans="1:6" ht="13.8" thickBot="1" x14ac:dyDescent="0.3"/>
    <row r="7" spans="1:6" x14ac:dyDescent="0.25">
      <c r="A7" s="1489" t="s">
        <v>513</v>
      </c>
      <c r="B7" s="1490" t="s">
        <v>1167</v>
      </c>
      <c r="C7" s="1490" t="s">
        <v>1168</v>
      </c>
      <c r="D7" s="1490" t="s">
        <v>1169</v>
      </c>
      <c r="E7" s="1491" t="s">
        <v>1170</v>
      </c>
    </row>
    <row r="8" spans="1:6" x14ac:dyDescent="0.25">
      <c r="A8" s="1492"/>
      <c r="B8" s="1493"/>
      <c r="C8" s="1494" t="s">
        <v>1171</v>
      </c>
      <c r="D8" s="1495" t="s">
        <v>1172</v>
      </c>
      <c r="E8" s="1496" t="s">
        <v>1173</v>
      </c>
    </row>
    <row r="9" spans="1:6" x14ac:dyDescent="0.25">
      <c r="A9" s="1492"/>
      <c r="B9" s="1493"/>
      <c r="C9" s="1493"/>
      <c r="D9" s="1495" t="s">
        <v>1174</v>
      </c>
      <c r="E9" s="1496" t="s">
        <v>1175</v>
      </c>
    </row>
    <row r="10" spans="1:6" ht="13.8" thickBot="1" x14ac:dyDescent="0.3">
      <c r="A10" s="1497" t="s">
        <v>1032</v>
      </c>
      <c r="B10" s="1498" t="s">
        <v>840</v>
      </c>
      <c r="C10" s="1498" t="s">
        <v>1033</v>
      </c>
      <c r="D10" s="1498" t="s">
        <v>1034</v>
      </c>
      <c r="E10" s="1499" t="s">
        <v>1035</v>
      </c>
    </row>
    <row r="11" spans="1:6" ht="65.25" customHeight="1" x14ac:dyDescent="0.25">
      <c r="A11" s="1500" t="s">
        <v>840</v>
      </c>
      <c r="B11" s="1501" t="s">
        <v>1176</v>
      </c>
      <c r="C11" s="1502"/>
      <c r="D11" s="1503">
        <f>SUM(D12:D13)</f>
        <v>35789644</v>
      </c>
      <c r="E11" s="1504">
        <f>SUM(E12:E12)</f>
        <v>0</v>
      </c>
    </row>
    <row r="12" spans="1:6" x14ac:dyDescent="0.25">
      <c r="A12" s="1505"/>
      <c r="B12" s="1506"/>
      <c r="C12" s="1506" t="s">
        <v>1177</v>
      </c>
      <c r="D12" s="1507">
        <f>'[5]2.a tábla ÚJ '!J27</f>
        <v>601205</v>
      </c>
      <c r="E12" s="1508">
        <v>0</v>
      </c>
    </row>
    <row r="13" spans="1:6" x14ac:dyDescent="0.25">
      <c r="A13" s="1505"/>
      <c r="B13" s="1506"/>
      <c r="C13" s="1506" t="s">
        <v>1178</v>
      </c>
      <c r="D13" s="1507">
        <f>'[5]2.sz.tábla   (2)'!D51</f>
        <v>35188439</v>
      </c>
      <c r="E13" s="1508">
        <v>0</v>
      </c>
    </row>
    <row r="14" spans="1:6" ht="69" customHeight="1" x14ac:dyDescent="0.25">
      <c r="A14" s="1509" t="s">
        <v>1033</v>
      </c>
      <c r="B14" s="1510" t="s">
        <v>1179</v>
      </c>
      <c r="C14" s="1506"/>
      <c r="D14" s="1511"/>
      <c r="E14" s="1508">
        <v>0</v>
      </c>
    </row>
    <row r="15" spans="1:6" ht="55.5" customHeight="1" x14ac:dyDescent="0.25">
      <c r="A15" s="1509"/>
      <c r="B15" s="1512" t="s">
        <v>1180</v>
      </c>
      <c r="C15" s="1513"/>
      <c r="D15" s="1514">
        <f>SUM(D16:D21)</f>
        <v>2227962710</v>
      </c>
      <c r="E15" s="1515">
        <f>SUM(E16:E22)</f>
        <v>548999173</v>
      </c>
    </row>
    <row r="16" spans="1:6" x14ac:dyDescent="0.25">
      <c r="A16" s="1509"/>
      <c r="B16" s="1516"/>
      <c r="C16" s="1517" t="s">
        <v>1181</v>
      </c>
      <c r="D16" s="1507">
        <f t="shared" ref="D16:D24" si="0">F16+E16</f>
        <v>624660580</v>
      </c>
      <c r="E16" s="1518">
        <v>204660580</v>
      </c>
      <c r="F16" s="1519">
        <f>'[5]2.sz.tábla   (2)'!D32</f>
        <v>420000000</v>
      </c>
    </row>
    <row r="17" spans="1:6" x14ac:dyDescent="0.25">
      <c r="A17" s="1509"/>
      <c r="B17" s="1516"/>
      <c r="C17" s="1517" t="s">
        <v>1182</v>
      </c>
      <c r="D17" s="1507">
        <f t="shared" si="0"/>
        <v>878763568</v>
      </c>
      <c r="E17" s="1518">
        <v>38763568</v>
      </c>
      <c r="F17" s="1519">
        <f>'[5]2.sz.tábla   (2)'!D36</f>
        <v>840000000</v>
      </c>
    </row>
    <row r="18" spans="1:6" ht="16.5" customHeight="1" x14ac:dyDescent="0.25">
      <c r="A18" s="1509"/>
      <c r="B18" s="1516"/>
      <c r="C18" s="1520" t="s">
        <v>1183</v>
      </c>
      <c r="D18" s="1507">
        <f t="shared" si="0"/>
        <v>486672560</v>
      </c>
      <c r="E18" s="1518">
        <v>102672560</v>
      </c>
      <c r="F18" s="1519">
        <f>'[5]2.sz.tábla   (2)'!D39</f>
        <v>384000000</v>
      </c>
    </row>
    <row r="19" spans="1:6" ht="16.5" customHeight="1" x14ac:dyDescent="0.25">
      <c r="A19" s="1509"/>
      <c r="B19" s="1516"/>
      <c r="C19" s="1520" t="s">
        <v>1184</v>
      </c>
      <c r="D19" s="1507">
        <f t="shared" si="0"/>
        <v>29180640</v>
      </c>
      <c r="E19" s="1518">
        <v>2180640</v>
      </c>
      <c r="F19" s="1519">
        <f>'[5]2.sz.tábla   (2)'!D33</f>
        <v>27000000</v>
      </c>
    </row>
    <row r="20" spans="1:6" x14ac:dyDescent="0.25">
      <c r="A20" s="1509"/>
      <c r="B20" s="1516"/>
      <c r="C20" s="1517" t="s">
        <v>1185</v>
      </c>
      <c r="D20" s="1507">
        <f t="shared" si="0"/>
        <v>70308862</v>
      </c>
      <c r="E20" s="1518">
        <v>18308862</v>
      </c>
      <c r="F20" s="1519">
        <f>'[5]2.sz.tábla   (2)'!D37</f>
        <v>52000000</v>
      </c>
    </row>
    <row r="21" spans="1:6" x14ac:dyDescent="0.25">
      <c r="A21" s="1509"/>
      <c r="B21" s="1516"/>
      <c r="C21" s="1517" t="s">
        <v>1186</v>
      </c>
      <c r="D21" s="1507">
        <f t="shared" si="0"/>
        <v>138376500</v>
      </c>
      <c r="E21" s="1518">
        <v>138376500</v>
      </c>
      <c r="F21" s="1488">
        <v>0</v>
      </c>
    </row>
    <row r="22" spans="1:6" x14ac:dyDescent="0.25">
      <c r="A22" s="1509"/>
      <c r="B22" s="1516"/>
      <c r="C22" s="1517" t="s">
        <v>1187</v>
      </c>
      <c r="D22" s="1507">
        <f t="shared" si="0"/>
        <v>48036463</v>
      </c>
      <c r="E22" s="1518">
        <v>44036463</v>
      </c>
      <c r="F22" s="1488">
        <v>4000000</v>
      </c>
    </row>
    <row r="23" spans="1:6" ht="66" x14ac:dyDescent="0.25">
      <c r="A23" s="1509" t="s">
        <v>1034</v>
      </c>
      <c r="B23" s="1510" t="s">
        <v>1188</v>
      </c>
      <c r="C23" s="1506"/>
      <c r="D23" s="1507">
        <f t="shared" si="0"/>
        <v>460809584</v>
      </c>
      <c r="E23" s="1508">
        <f>7777541+5792288</f>
        <v>13569829</v>
      </c>
      <c r="F23" s="1519">
        <f>'[5]2.sz.tábla   (2)'!M46</f>
        <v>447239755</v>
      </c>
    </row>
    <row r="24" spans="1:6" ht="40.200000000000003" thickBot="1" x14ac:dyDescent="0.3">
      <c r="A24" s="1521" t="s">
        <v>1035</v>
      </c>
      <c r="B24" s="1522" t="s">
        <v>1189</v>
      </c>
      <c r="C24" s="1523"/>
      <c r="D24" s="1524">
        <f t="shared" si="0"/>
        <v>608906935</v>
      </c>
      <c r="E24" s="1525">
        <v>0</v>
      </c>
      <c r="F24" s="1519">
        <f>'[5]2.sz.tábla   (2)'!M72+'[5]2.sz.tábla   (2)'!M68</f>
        <v>608906935</v>
      </c>
    </row>
    <row r="25" spans="1:6" ht="13.8" thickBot="1" x14ac:dyDescent="0.3">
      <c r="A25" s="1526"/>
      <c r="B25" s="1527" t="s">
        <v>1190</v>
      </c>
      <c r="C25" s="1527"/>
      <c r="D25" s="1528">
        <f>D24+D23+D14+D15+D11</f>
        <v>3333468873</v>
      </c>
      <c r="E25" s="1529">
        <f>E24+E23+E14+E15+E11</f>
        <v>562569002</v>
      </c>
    </row>
  </sheetData>
  <mergeCells count="2">
    <mergeCell ref="A4:E4"/>
    <mergeCell ref="A5:E5"/>
  </mergeCells>
  <pageMargins left="0.75" right="0.75" top="1" bottom="1" header="0.5" footer="0.5"/>
  <pageSetup paperSize="9" scale="91" orientation="portrait" r:id="rId1"/>
  <headerFooter alignWithMargins="0">
    <oddHeader xml:space="preserve">&amp;C12. melléklet
az önkormányzat 2018. évi költségvetéséről szóló 11/2018. (III.01.) önkormányzati rendeletéhez &amp;R
&amp;P. oldal
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9"/>
  <sheetViews>
    <sheetView view="pageLayout" zoomScaleNormal="100" workbookViewId="0">
      <selection activeCell="J106" sqref="J106"/>
    </sheetView>
  </sheetViews>
  <sheetFormatPr defaultRowHeight="13.2" x14ac:dyDescent="0.25"/>
  <cols>
    <col min="1" max="1" width="17.5546875" style="520" customWidth="1"/>
    <col min="2" max="2" width="13.44140625" style="520" customWidth="1"/>
    <col min="3" max="3" width="12.44140625" style="520" customWidth="1"/>
    <col min="4" max="4" width="11.33203125" style="520" customWidth="1"/>
    <col min="5" max="5" width="12.5546875" style="520" customWidth="1"/>
    <col min="6" max="6" width="13.44140625" style="520" customWidth="1"/>
    <col min="7" max="7" width="10.6640625" style="520" customWidth="1"/>
    <col min="8" max="8" width="12.44140625" style="520" customWidth="1"/>
  </cols>
  <sheetData>
    <row r="2" spans="1:8" ht="13.8" x14ac:dyDescent="0.25">
      <c r="A2" s="1766" t="s">
        <v>390</v>
      </c>
      <c r="B2" s="1766"/>
      <c r="C2" s="1766"/>
      <c r="D2" s="1766"/>
      <c r="E2" s="1766"/>
      <c r="F2" s="1766"/>
      <c r="G2" s="1766"/>
      <c r="H2" s="1766"/>
    </row>
    <row r="3" spans="1:8" ht="13.8" x14ac:dyDescent="0.25">
      <c r="A3" s="772"/>
      <c r="B3" s="798"/>
      <c r="C3" s="798"/>
      <c r="D3" s="798"/>
      <c r="E3" s="798"/>
      <c r="F3" s="798"/>
      <c r="G3" s="798"/>
      <c r="H3" s="798"/>
    </row>
    <row r="4" spans="1:8" x14ac:dyDescent="0.25">
      <c r="A4" s="772"/>
      <c r="B4" s="773" t="s">
        <v>13</v>
      </c>
      <c r="C4" s="774"/>
      <c r="D4" s="775"/>
      <c r="E4" s="776"/>
      <c r="F4" s="775"/>
    </row>
    <row r="5" spans="1:8" ht="26.4" x14ac:dyDescent="0.25">
      <c r="A5" s="777" t="s">
        <v>14</v>
      </c>
      <c r="B5" s="1770" t="s">
        <v>15</v>
      </c>
      <c r="C5" s="1770"/>
      <c r="D5" s="1770"/>
      <c r="E5" s="1770"/>
      <c r="F5" s="1770"/>
    </row>
    <row r="6" spans="1:8" x14ac:dyDescent="0.25">
      <c r="A6" s="778"/>
      <c r="B6" s="779"/>
      <c r="C6" s="838"/>
      <c r="D6" s="838"/>
      <c r="E6" s="839"/>
      <c r="F6" s="838"/>
    </row>
    <row r="7" spans="1:8" x14ac:dyDescent="0.25">
      <c r="A7" s="778"/>
      <c r="B7" s="779"/>
      <c r="C7" s="780"/>
      <c r="D7" s="780"/>
      <c r="E7" s="781"/>
      <c r="F7" s="780"/>
    </row>
    <row r="8" spans="1:8" ht="26.4" x14ac:dyDescent="0.25">
      <c r="A8" s="782" t="s">
        <v>16</v>
      </c>
      <c r="B8" s="783" t="s">
        <v>17</v>
      </c>
      <c r="C8" s="784" t="s">
        <v>18</v>
      </c>
      <c r="D8" s="784" t="s">
        <v>19</v>
      </c>
      <c r="E8" s="785" t="s">
        <v>20</v>
      </c>
      <c r="F8" s="784" t="s">
        <v>511</v>
      </c>
    </row>
    <row r="9" spans="1:8" x14ac:dyDescent="0.25">
      <c r="A9" s="786" t="s">
        <v>21</v>
      </c>
      <c r="B9" s="787">
        <v>160500710</v>
      </c>
      <c r="C9" s="787">
        <v>112578757</v>
      </c>
      <c r="D9" s="787">
        <v>42609333</v>
      </c>
      <c r="E9" s="788"/>
      <c r="F9" s="789">
        <f>SUM(B9:E9)</f>
        <v>315688800</v>
      </c>
    </row>
    <row r="10" spans="1:8" x14ac:dyDescent="0.25">
      <c r="A10" s="786" t="s">
        <v>22</v>
      </c>
      <c r="B10" s="787"/>
      <c r="C10" s="787"/>
      <c r="D10" s="787"/>
      <c r="E10" s="788"/>
      <c r="F10" s="787">
        <v>0</v>
      </c>
    </row>
    <row r="11" spans="1:8" x14ac:dyDescent="0.25">
      <c r="A11" s="786" t="s">
        <v>23</v>
      </c>
      <c r="B11" s="787"/>
      <c r="C11" s="787"/>
      <c r="D11" s="787"/>
      <c r="E11" s="788"/>
      <c r="F11" s="787"/>
    </row>
    <row r="12" spans="1:8" x14ac:dyDescent="0.25">
      <c r="A12" s="790" t="s">
        <v>511</v>
      </c>
      <c r="B12" s="791">
        <f>SUM(B9:B11)</f>
        <v>160500710</v>
      </c>
      <c r="C12" s="791">
        <f>SUM(C9:C11)</f>
        <v>112578757</v>
      </c>
      <c r="D12" s="791">
        <f>SUM(D9:D11)</f>
        <v>42609333</v>
      </c>
      <c r="E12" s="791">
        <f>SUM(E9:E11)</f>
        <v>0</v>
      </c>
      <c r="F12" s="791">
        <f>SUM(F9:F11)</f>
        <v>315688800</v>
      </c>
    </row>
    <row r="13" spans="1:8" x14ac:dyDescent="0.25">
      <c r="A13" s="792"/>
      <c r="B13" s="793"/>
      <c r="C13" s="793"/>
      <c r="D13" s="793"/>
      <c r="E13" s="792"/>
      <c r="F13" s="793"/>
    </row>
    <row r="14" spans="1:8" ht="26.4" x14ac:dyDescent="0.25">
      <c r="A14" s="782" t="s">
        <v>24</v>
      </c>
      <c r="B14" s="783" t="s">
        <v>17</v>
      </c>
      <c r="C14" s="784" t="s">
        <v>18</v>
      </c>
      <c r="D14" s="784" t="s">
        <v>19</v>
      </c>
      <c r="E14" s="785" t="s">
        <v>20</v>
      </c>
      <c r="F14" s="784" t="s">
        <v>511</v>
      </c>
    </row>
    <row r="15" spans="1:8" ht="26.4" x14ac:dyDescent="0.25">
      <c r="A15" s="786" t="s">
        <v>25</v>
      </c>
      <c r="B15" s="787">
        <v>26480000</v>
      </c>
      <c r="C15" s="787">
        <v>26480000</v>
      </c>
      <c r="D15" s="787">
        <v>26480000</v>
      </c>
      <c r="E15" s="788"/>
      <c r="F15" s="787">
        <f t="shared" ref="F15:F21" si="0">SUM(B15:D15)</f>
        <v>79440000</v>
      </c>
    </row>
    <row r="16" spans="1:8" ht="26.4" x14ac:dyDescent="0.25">
      <c r="A16" s="786" t="s">
        <v>26</v>
      </c>
      <c r="B16" s="787">
        <v>6353334</v>
      </c>
      <c r="C16" s="787">
        <v>6353333</v>
      </c>
      <c r="D16" s="787">
        <v>6353333</v>
      </c>
      <c r="E16" s="788"/>
      <c r="F16" s="787">
        <f t="shared" si="0"/>
        <v>19060000</v>
      </c>
    </row>
    <row r="17" spans="1:6" ht="26.4" x14ac:dyDescent="0.25">
      <c r="A17" s="786" t="s">
        <v>27</v>
      </c>
      <c r="B17" s="787">
        <v>10857600</v>
      </c>
      <c r="C17" s="787">
        <v>5846400</v>
      </c>
      <c r="D17" s="787">
        <v>4176000</v>
      </c>
      <c r="E17" s="788"/>
      <c r="F17" s="787">
        <f t="shared" si="0"/>
        <v>20880000</v>
      </c>
    </row>
    <row r="18" spans="1:6" x14ac:dyDescent="0.25">
      <c r="A18" s="786" t="s">
        <v>28</v>
      </c>
      <c r="B18" s="787">
        <v>106773776</v>
      </c>
      <c r="C18" s="787">
        <v>64635024</v>
      </c>
      <c r="D18" s="787">
        <v>5600000</v>
      </c>
      <c r="E18" s="788"/>
      <c r="F18" s="787">
        <f t="shared" si="0"/>
        <v>177008800</v>
      </c>
    </row>
    <row r="19" spans="1:6" x14ac:dyDescent="0.25">
      <c r="A19" s="786" t="s">
        <v>29</v>
      </c>
      <c r="B19" s="787"/>
      <c r="C19" s="787"/>
      <c r="D19" s="787"/>
      <c r="E19" s="788"/>
      <c r="F19" s="787">
        <f t="shared" si="0"/>
        <v>0</v>
      </c>
    </row>
    <row r="20" spans="1:6" x14ac:dyDescent="0.25">
      <c r="A20" s="786" t="s">
        <v>30</v>
      </c>
      <c r="B20" s="787">
        <v>10036000</v>
      </c>
      <c r="C20" s="787">
        <v>9264000</v>
      </c>
      <c r="D20" s="787"/>
      <c r="E20" s="788"/>
      <c r="F20" s="787">
        <f t="shared" si="0"/>
        <v>19300000</v>
      </c>
    </row>
    <row r="21" spans="1:6" ht="26.4" x14ac:dyDescent="0.25">
      <c r="A21" s="786" t="s">
        <v>31</v>
      </c>
      <c r="B21" s="787"/>
      <c r="C21" s="787"/>
      <c r="D21" s="787"/>
      <c r="E21" s="788"/>
      <c r="F21" s="787">
        <f t="shared" si="0"/>
        <v>0</v>
      </c>
    </row>
    <row r="22" spans="1:6" x14ac:dyDescent="0.25">
      <c r="A22" s="790" t="s">
        <v>511</v>
      </c>
      <c r="B22" s="791">
        <f>SUM(B15:B21)</f>
        <v>160500710</v>
      </c>
      <c r="C22" s="791">
        <f>SUM(C15:C21)</f>
        <v>112578757</v>
      </c>
      <c r="D22" s="791">
        <f>SUM(D15:D21)</f>
        <v>42609333</v>
      </c>
      <c r="E22" s="791">
        <f>SUM(E15:E21)</f>
        <v>0</v>
      </c>
      <c r="F22" s="791">
        <f>SUM(F15:F21)</f>
        <v>315688800</v>
      </c>
    </row>
    <row r="23" spans="1:6" x14ac:dyDescent="0.25">
      <c r="A23" s="776"/>
      <c r="B23" s="794"/>
      <c r="C23" s="775"/>
      <c r="D23" s="775"/>
      <c r="E23" s="776"/>
      <c r="F23" s="775"/>
    </row>
    <row r="25" spans="1:6" x14ac:dyDescent="0.25">
      <c r="A25" s="772"/>
      <c r="B25" s="773" t="s">
        <v>32</v>
      </c>
      <c r="C25" s="774"/>
      <c r="D25" s="775"/>
      <c r="E25" s="776"/>
      <c r="F25" s="775"/>
    </row>
    <row r="26" spans="1:6" ht="26.4" x14ac:dyDescent="0.25">
      <c r="A26" s="777" t="s">
        <v>14</v>
      </c>
      <c r="B26" s="1765" t="s">
        <v>33</v>
      </c>
      <c r="C26" s="1765"/>
      <c r="D26" s="1765"/>
      <c r="E26" s="1765"/>
      <c r="F26" s="1765"/>
    </row>
    <row r="27" spans="1:6" x14ac:dyDescent="0.25">
      <c r="A27" s="778"/>
      <c r="B27" s="779"/>
      <c r="C27" s="838"/>
      <c r="D27" s="838"/>
      <c r="E27" s="839"/>
      <c r="F27" s="838"/>
    </row>
    <row r="28" spans="1:6" x14ac:dyDescent="0.25">
      <c r="A28" s="778"/>
      <c r="B28" s="779"/>
      <c r="C28" s="780"/>
      <c r="D28" s="780"/>
      <c r="E28" s="781"/>
      <c r="F28" s="780"/>
    </row>
    <row r="29" spans="1:6" ht="26.4" x14ac:dyDescent="0.25">
      <c r="A29" s="782" t="s">
        <v>16</v>
      </c>
      <c r="B29" s="783" t="s">
        <v>17</v>
      </c>
      <c r="C29" s="784" t="s">
        <v>18</v>
      </c>
      <c r="D29" s="784" t="s">
        <v>19</v>
      </c>
      <c r="E29" s="785" t="s">
        <v>20</v>
      </c>
      <c r="F29" s="784" t="s">
        <v>511</v>
      </c>
    </row>
    <row r="30" spans="1:6" x14ac:dyDescent="0.25">
      <c r="A30" s="786" t="s">
        <v>21</v>
      </c>
      <c r="B30" s="787">
        <v>375550000</v>
      </c>
      <c r="C30" s="787">
        <v>242500000</v>
      </c>
      <c r="D30" s="787"/>
      <c r="E30" s="788"/>
      <c r="F30" s="787">
        <f>SUM(B30:E30)</f>
        <v>618050000</v>
      </c>
    </row>
    <row r="31" spans="1:6" x14ac:dyDescent="0.25">
      <c r="A31" s="786" t="s">
        <v>22</v>
      </c>
      <c r="B31" s="787"/>
      <c r="C31" s="787"/>
      <c r="D31" s="787"/>
      <c r="E31" s="788"/>
      <c r="F31" s="787">
        <f>SUM(B31:E31)</f>
        <v>0</v>
      </c>
    </row>
    <row r="32" spans="1:6" x14ac:dyDescent="0.25">
      <c r="A32" s="786" t="s">
        <v>23</v>
      </c>
      <c r="B32" s="787">
        <v>0</v>
      </c>
      <c r="C32" s="787"/>
      <c r="D32" s="787"/>
      <c r="E32" s="788"/>
      <c r="F32" s="787">
        <f>SUM(B32:E32)</f>
        <v>0</v>
      </c>
    </row>
    <row r="33" spans="1:6" ht="26.4" x14ac:dyDescent="0.25">
      <c r="A33" s="801" t="s">
        <v>419</v>
      </c>
      <c r="B33" s="787">
        <v>95998500</v>
      </c>
      <c r="C33" s="787">
        <v>65475000</v>
      </c>
      <c r="D33" s="787"/>
      <c r="E33" s="788"/>
      <c r="F33" s="787">
        <f>SUM(B33:E33)</f>
        <v>161473500</v>
      </c>
    </row>
    <row r="34" spans="1:6" x14ac:dyDescent="0.25">
      <c r="A34" s="790" t="s">
        <v>511</v>
      </c>
      <c r="B34" s="791">
        <f>SUM(B30:B33)</f>
        <v>471548500</v>
      </c>
      <c r="C34" s="791">
        <f>SUM(C30:C33)</f>
        <v>307975000</v>
      </c>
      <c r="D34" s="791">
        <f>SUM(D30:D33)</f>
        <v>0</v>
      </c>
      <c r="E34" s="791">
        <f>SUM(E30:E33)</f>
        <v>0</v>
      </c>
      <c r="F34" s="791">
        <f>SUM(F30:F33)</f>
        <v>779523500</v>
      </c>
    </row>
    <row r="35" spans="1:6" x14ac:dyDescent="0.25">
      <c r="A35" s="792"/>
      <c r="B35" s="793"/>
      <c r="C35" s="793"/>
      <c r="D35" s="793"/>
      <c r="E35" s="792"/>
      <c r="F35" s="793"/>
    </row>
    <row r="36" spans="1:6" ht="26.4" x14ac:dyDescent="0.25">
      <c r="A36" s="782" t="s">
        <v>24</v>
      </c>
      <c r="B36" s="783" t="s">
        <v>17</v>
      </c>
      <c r="C36" s="784" t="s">
        <v>18</v>
      </c>
      <c r="D36" s="784" t="s">
        <v>19</v>
      </c>
      <c r="E36" s="785" t="s">
        <v>20</v>
      </c>
      <c r="F36" s="784" t="s">
        <v>511</v>
      </c>
    </row>
    <row r="37" spans="1:6" x14ac:dyDescent="0.25">
      <c r="A37" s="786" t="s">
        <v>34</v>
      </c>
      <c r="B37" s="787"/>
      <c r="C37" s="787"/>
      <c r="D37" s="787"/>
      <c r="E37" s="788"/>
      <c r="F37" s="787"/>
    </row>
    <row r="38" spans="1:6" ht="26.4" x14ac:dyDescent="0.25">
      <c r="A38" s="786" t="s">
        <v>26</v>
      </c>
      <c r="B38" s="787"/>
      <c r="C38" s="787"/>
      <c r="D38" s="787"/>
      <c r="E38" s="788"/>
      <c r="F38" s="787"/>
    </row>
    <row r="39" spans="1:6" x14ac:dyDescent="0.25">
      <c r="A39" s="786" t="s">
        <v>28</v>
      </c>
      <c r="B39" s="787">
        <v>12000000</v>
      </c>
      <c r="C39" s="787">
        <v>8000000</v>
      </c>
      <c r="D39" s="787"/>
      <c r="E39" s="788"/>
      <c r="F39" s="787">
        <f>SUM(B39:E39)</f>
        <v>20000000</v>
      </c>
    </row>
    <row r="40" spans="1:6" x14ac:dyDescent="0.25">
      <c r="A40" s="786" t="s">
        <v>29</v>
      </c>
      <c r="B40" s="787"/>
      <c r="C40" s="787"/>
      <c r="D40" s="787"/>
      <c r="E40" s="788"/>
      <c r="F40" s="787">
        <f>SUM(B40:E40)</f>
        <v>0</v>
      </c>
    </row>
    <row r="41" spans="1:6" x14ac:dyDescent="0.25">
      <c r="A41" s="786" t="s">
        <v>30</v>
      </c>
      <c r="B41" s="787">
        <v>363550000</v>
      </c>
      <c r="C41" s="787">
        <v>234500000</v>
      </c>
      <c r="D41" s="787"/>
      <c r="E41" s="788"/>
      <c r="F41" s="787">
        <f>SUM(B41:E41)</f>
        <v>598050000</v>
      </c>
    </row>
    <row r="42" spans="1:6" ht="26.4" x14ac:dyDescent="0.25">
      <c r="A42" s="801" t="s">
        <v>419</v>
      </c>
      <c r="B42" s="787">
        <v>95998500</v>
      </c>
      <c r="C42" s="787">
        <v>65475000</v>
      </c>
      <c r="D42" s="787"/>
      <c r="E42" s="788"/>
      <c r="F42" s="787">
        <f>SUM(B42:E42)</f>
        <v>161473500</v>
      </c>
    </row>
    <row r="43" spans="1:6" x14ac:dyDescent="0.25">
      <c r="A43" s="790" t="s">
        <v>511</v>
      </c>
      <c r="B43" s="791">
        <f>SUM(B37:B42)</f>
        <v>471548500</v>
      </c>
      <c r="C43" s="791">
        <f>SUM(C37:C42)</f>
        <v>307975000</v>
      </c>
      <c r="D43" s="791">
        <f>SUM(D37:D42)</f>
        <v>0</v>
      </c>
      <c r="E43" s="791">
        <f>SUM(E37:E42)</f>
        <v>0</v>
      </c>
      <c r="F43" s="791">
        <f>SUM(F37:F42)</f>
        <v>779523500</v>
      </c>
    </row>
    <row r="44" spans="1:6" x14ac:dyDescent="0.25">
      <c r="A44" s="795"/>
      <c r="B44" s="775"/>
      <c r="C44" s="795"/>
      <c r="D44" s="795"/>
      <c r="E44" s="795"/>
      <c r="F44" s="795"/>
    </row>
    <row r="46" spans="1:6" ht="18.75" customHeight="1" x14ac:dyDescent="0.25">
      <c r="A46" s="772"/>
      <c r="B46" s="773" t="s">
        <v>35</v>
      </c>
      <c r="C46" s="774"/>
      <c r="D46" s="775"/>
      <c r="E46" s="776"/>
      <c r="F46" s="775"/>
    </row>
    <row r="47" spans="1:6" ht="26.4" x14ac:dyDescent="0.25">
      <c r="A47" s="777" t="s">
        <v>14</v>
      </c>
      <c r="B47" s="1765" t="s">
        <v>36</v>
      </c>
      <c r="C47" s="1765"/>
      <c r="D47" s="1765"/>
      <c r="E47" s="1765"/>
      <c r="F47" s="1765"/>
    </row>
    <row r="48" spans="1:6" x14ac:dyDescent="0.25">
      <c r="A48" s="778"/>
      <c r="B48" s="779"/>
      <c r="C48" s="838"/>
      <c r="D48" s="838"/>
      <c r="E48" s="839"/>
      <c r="F48" s="838"/>
    </row>
    <row r="49" spans="1:6" x14ac:dyDescent="0.25">
      <c r="A49" s="778"/>
      <c r="B49" s="779"/>
      <c r="C49" s="780"/>
      <c r="D49" s="780"/>
      <c r="E49" s="781"/>
      <c r="F49" s="780"/>
    </row>
    <row r="50" spans="1:6" ht="26.4" x14ac:dyDescent="0.25">
      <c r="A50" s="782" t="s">
        <v>16</v>
      </c>
      <c r="B50" s="783" t="s">
        <v>17</v>
      </c>
      <c r="C50" s="784" t="s">
        <v>18</v>
      </c>
      <c r="D50" s="784" t="s">
        <v>19</v>
      </c>
      <c r="E50" s="785" t="s">
        <v>20</v>
      </c>
      <c r="F50" s="784" t="s">
        <v>511</v>
      </c>
    </row>
    <row r="51" spans="1:6" x14ac:dyDescent="0.25">
      <c r="A51" s="786" t="s">
        <v>21</v>
      </c>
      <c r="B51" s="787">
        <v>16818398</v>
      </c>
      <c r="C51" s="787">
        <v>22981547</v>
      </c>
      <c r="D51" s="787"/>
      <c r="E51" s="788"/>
      <c r="F51" s="787">
        <f>SUM(B51:E51)</f>
        <v>39799945</v>
      </c>
    </row>
    <row r="52" spans="1:6" x14ac:dyDescent="0.25">
      <c r="A52" s="786" t="s">
        <v>22</v>
      </c>
      <c r="B52" s="787"/>
      <c r="C52" s="787"/>
      <c r="D52" s="787"/>
      <c r="E52" s="788"/>
      <c r="F52" s="787">
        <v>0</v>
      </c>
    </row>
    <row r="53" spans="1:6" x14ac:dyDescent="0.25">
      <c r="A53" s="786" t="s">
        <v>23</v>
      </c>
      <c r="B53" s="787">
        <v>0</v>
      </c>
      <c r="C53" s="787">
        <v>17642800</v>
      </c>
      <c r="D53" s="787"/>
      <c r="E53" s="788"/>
      <c r="F53" s="787">
        <v>17642800</v>
      </c>
    </row>
    <row r="54" spans="1:6" x14ac:dyDescent="0.25">
      <c r="A54" s="790" t="s">
        <v>511</v>
      </c>
      <c r="B54" s="791">
        <f>SUM(B51:B53)</f>
        <v>16818398</v>
      </c>
      <c r="C54" s="791">
        <f>SUM(C51:C53)</f>
        <v>40624347</v>
      </c>
      <c r="D54" s="791">
        <f>SUM(D51:D53)</f>
        <v>0</v>
      </c>
      <c r="E54" s="791">
        <f>SUM(E51:E53)</f>
        <v>0</v>
      </c>
      <c r="F54" s="791">
        <f>SUM(F51:F53)</f>
        <v>57442745</v>
      </c>
    </row>
    <row r="55" spans="1:6" x14ac:dyDescent="0.25">
      <c r="A55" s="792"/>
      <c r="B55" s="793"/>
      <c r="C55" s="793"/>
      <c r="D55" s="793"/>
      <c r="E55" s="792"/>
      <c r="F55" s="793"/>
    </row>
    <row r="56" spans="1:6" ht="26.4" x14ac:dyDescent="0.25">
      <c r="A56" s="782" t="s">
        <v>24</v>
      </c>
      <c r="B56" s="783" t="s">
        <v>17</v>
      </c>
      <c r="C56" s="784" t="s">
        <v>18</v>
      </c>
      <c r="D56" s="784" t="s">
        <v>19</v>
      </c>
      <c r="E56" s="785" t="s">
        <v>20</v>
      </c>
      <c r="F56" s="784" t="s">
        <v>511</v>
      </c>
    </row>
    <row r="57" spans="1:6" x14ac:dyDescent="0.25">
      <c r="A57" s="786" t="s">
        <v>34</v>
      </c>
      <c r="B57" s="787">
        <v>1676286</v>
      </c>
      <c r="C57" s="787">
        <v>936274</v>
      </c>
      <c r="D57" s="787"/>
      <c r="E57" s="788"/>
      <c r="F57" s="787">
        <f>SUM(B57:E57)</f>
        <v>2612560</v>
      </c>
    </row>
    <row r="58" spans="1:6" ht="26.4" x14ac:dyDescent="0.25">
      <c r="A58" s="786" t="s">
        <v>26</v>
      </c>
      <c r="B58" s="787">
        <v>368784</v>
      </c>
      <c r="C58" s="787">
        <v>205980</v>
      </c>
      <c r="D58" s="787">
        <v>0</v>
      </c>
      <c r="E58" s="788"/>
      <c r="F58" s="787">
        <f>SUM(B58:E58)</f>
        <v>574764</v>
      </c>
    </row>
    <row r="59" spans="1:6" x14ac:dyDescent="0.25">
      <c r="A59" s="786" t="s">
        <v>28</v>
      </c>
      <c r="B59" s="787">
        <v>298450</v>
      </c>
      <c r="C59" s="787">
        <v>127000</v>
      </c>
      <c r="D59" s="787"/>
      <c r="E59" s="788"/>
      <c r="F59" s="787">
        <f>SUM(B59:E59)</f>
        <v>425450</v>
      </c>
    </row>
    <row r="60" spans="1:6" x14ac:dyDescent="0.25">
      <c r="A60" s="786" t="s">
        <v>29</v>
      </c>
      <c r="B60" s="787"/>
      <c r="C60" s="787"/>
      <c r="D60" s="787"/>
      <c r="E60" s="788"/>
      <c r="F60" s="787">
        <f>SUM(B60:E60)</f>
        <v>0</v>
      </c>
    </row>
    <row r="61" spans="1:6" x14ac:dyDescent="0.25">
      <c r="A61" s="786" t="s">
        <v>30</v>
      </c>
      <c r="B61" s="787">
        <v>14474878</v>
      </c>
      <c r="C61" s="787">
        <v>39355093</v>
      </c>
      <c r="D61" s="787"/>
      <c r="E61" s="788"/>
      <c r="F61" s="787">
        <f>SUM(B61:E61)</f>
        <v>53829971</v>
      </c>
    </row>
    <row r="62" spans="1:6" ht="26.4" x14ac:dyDescent="0.25">
      <c r="A62" s="786" t="s">
        <v>31</v>
      </c>
      <c r="B62" s="787"/>
      <c r="C62" s="787"/>
      <c r="D62" s="787"/>
      <c r="E62" s="788"/>
      <c r="F62" s="787">
        <v>0</v>
      </c>
    </row>
    <row r="63" spans="1:6" x14ac:dyDescent="0.25">
      <c r="A63" s="790" t="s">
        <v>511</v>
      </c>
      <c r="B63" s="791">
        <f>SUM(B57:B62)</f>
        <v>16818398</v>
      </c>
      <c r="C63" s="791">
        <f>SUM(C57:C62)</f>
        <v>40624347</v>
      </c>
      <c r="D63" s="791">
        <f>SUM(D57:D62)</f>
        <v>0</v>
      </c>
      <c r="E63" s="791">
        <f>SUM(E57:E62)</f>
        <v>0</v>
      </c>
      <c r="F63" s="791">
        <f>SUM(F57:F62)</f>
        <v>57442745</v>
      </c>
    </row>
    <row r="66" spans="1:6" x14ac:dyDescent="0.25">
      <c r="A66" s="772"/>
      <c r="B66" s="773" t="s">
        <v>37</v>
      </c>
      <c r="C66" s="774"/>
      <c r="D66" s="775"/>
      <c r="E66" s="776"/>
      <c r="F66" s="775"/>
    </row>
    <row r="67" spans="1:6" ht="26.4" x14ac:dyDescent="0.25">
      <c r="A67" s="777" t="s">
        <v>14</v>
      </c>
      <c r="B67" s="1765" t="s">
        <v>38</v>
      </c>
      <c r="C67" s="1765"/>
      <c r="D67" s="1765"/>
      <c r="E67" s="1765"/>
      <c r="F67" s="1765"/>
    </row>
    <row r="68" spans="1:6" x14ac:dyDescent="0.25">
      <c r="A68" s="778"/>
      <c r="B68" s="779"/>
      <c r="C68" s="838"/>
      <c r="D68" s="838"/>
      <c r="E68" s="839"/>
      <c r="F68" s="838"/>
    </row>
    <row r="69" spans="1:6" x14ac:dyDescent="0.25">
      <c r="A69" s="778"/>
      <c r="B69" s="779"/>
      <c r="C69" s="780"/>
      <c r="D69" s="780"/>
      <c r="E69" s="781"/>
      <c r="F69" s="780"/>
    </row>
    <row r="70" spans="1:6" ht="26.4" x14ac:dyDescent="0.25">
      <c r="A70" s="782" t="s">
        <v>16</v>
      </c>
      <c r="B70" s="783" t="s">
        <v>17</v>
      </c>
      <c r="C70" s="784" t="s">
        <v>18</v>
      </c>
      <c r="D70" s="784" t="s">
        <v>19</v>
      </c>
      <c r="E70" s="785" t="s">
        <v>20</v>
      </c>
      <c r="F70" s="784" t="s">
        <v>511</v>
      </c>
    </row>
    <row r="71" spans="1:6" x14ac:dyDescent="0.25">
      <c r="A71" s="786" t="s">
        <v>21</v>
      </c>
      <c r="B71" s="787">
        <v>65849500</v>
      </c>
      <c r="C71" s="787">
        <v>61658500</v>
      </c>
      <c r="D71" s="787"/>
      <c r="E71" s="788"/>
      <c r="F71" s="787">
        <f>SUM(B71:E71)</f>
        <v>127508000</v>
      </c>
    </row>
    <row r="72" spans="1:6" x14ac:dyDescent="0.25">
      <c r="A72" s="786" t="s">
        <v>22</v>
      </c>
      <c r="B72" s="787"/>
      <c r="C72" s="787"/>
      <c r="D72" s="787"/>
      <c r="E72" s="788"/>
      <c r="F72" s="787">
        <v>0</v>
      </c>
    </row>
    <row r="73" spans="1:6" x14ac:dyDescent="0.25">
      <c r="A73" s="786" t="s">
        <v>23</v>
      </c>
      <c r="B73" s="787">
        <v>0</v>
      </c>
      <c r="C73" s="787"/>
      <c r="D73" s="787"/>
      <c r="E73" s="788"/>
      <c r="F73" s="787">
        <v>0</v>
      </c>
    </row>
    <row r="74" spans="1:6" x14ac:dyDescent="0.25">
      <c r="A74" s="790" t="s">
        <v>511</v>
      </c>
      <c r="B74" s="791">
        <f>SUM(B71:B73)</f>
        <v>65849500</v>
      </c>
      <c r="C74" s="791">
        <f>SUM(C71:C73)</f>
        <v>61658500</v>
      </c>
      <c r="D74" s="791">
        <f>SUM(D71:D73)</f>
        <v>0</v>
      </c>
      <c r="E74" s="791">
        <f>SUM(E71:E73)</f>
        <v>0</v>
      </c>
      <c r="F74" s="791">
        <f>SUM(F71:F73)</f>
        <v>127508000</v>
      </c>
    </row>
    <row r="75" spans="1:6" x14ac:dyDescent="0.25">
      <c r="A75" s="792"/>
      <c r="B75" s="793"/>
      <c r="C75" s="793"/>
      <c r="D75" s="793"/>
      <c r="E75" s="792"/>
      <c r="F75" s="793"/>
    </row>
    <row r="76" spans="1:6" ht="26.4" x14ac:dyDescent="0.25">
      <c r="A76" s="782" t="s">
        <v>24</v>
      </c>
      <c r="B76" s="783" t="s">
        <v>17</v>
      </c>
      <c r="C76" s="784" t="s">
        <v>18</v>
      </c>
      <c r="D76" s="784" t="s">
        <v>19</v>
      </c>
      <c r="E76" s="785" t="s">
        <v>20</v>
      </c>
      <c r="F76" s="784" t="s">
        <v>511</v>
      </c>
    </row>
    <row r="77" spans="1:6" x14ac:dyDescent="0.25">
      <c r="A77" s="786" t="s">
        <v>34</v>
      </c>
      <c r="B77" s="787"/>
      <c r="C77" s="787"/>
      <c r="D77" s="787"/>
      <c r="E77" s="788"/>
      <c r="F77" s="787"/>
    </row>
    <row r="78" spans="1:6" ht="26.4" x14ac:dyDescent="0.25">
      <c r="A78" s="786" t="s">
        <v>26</v>
      </c>
      <c r="B78" s="787"/>
      <c r="C78" s="787"/>
      <c r="D78" s="787"/>
      <c r="E78" s="787"/>
      <c r="F78" s="787">
        <f>SUM(B78:E78)</f>
        <v>0</v>
      </c>
    </row>
    <row r="79" spans="1:6" x14ac:dyDescent="0.25">
      <c r="A79" s="786" t="s">
        <v>28</v>
      </c>
      <c r="B79" s="787">
        <v>2984500</v>
      </c>
      <c r="C79" s="787">
        <v>2603500</v>
      </c>
      <c r="D79" s="787"/>
      <c r="E79" s="788"/>
      <c r="F79" s="787">
        <f>SUM(B79:E79)</f>
        <v>5588000</v>
      </c>
    </row>
    <row r="80" spans="1:6" x14ac:dyDescent="0.25">
      <c r="A80" s="786" t="s">
        <v>29</v>
      </c>
      <c r="B80" s="787"/>
      <c r="C80" s="787"/>
      <c r="D80" s="787"/>
      <c r="E80" s="788"/>
      <c r="F80" s="787">
        <f>SUM(B80:E80)</f>
        <v>0</v>
      </c>
    </row>
    <row r="81" spans="1:6" x14ac:dyDescent="0.25">
      <c r="A81" s="786" t="s">
        <v>30</v>
      </c>
      <c r="B81" s="787">
        <v>62865000</v>
      </c>
      <c r="C81" s="787">
        <v>59055000</v>
      </c>
      <c r="D81" s="787"/>
      <c r="E81" s="788"/>
      <c r="F81" s="787">
        <f>SUM(B81:E81)</f>
        <v>121920000</v>
      </c>
    </row>
    <row r="82" spans="1:6" ht="26.4" x14ac:dyDescent="0.25">
      <c r="A82" s="786" t="s">
        <v>31</v>
      </c>
      <c r="B82" s="787"/>
      <c r="C82" s="787"/>
      <c r="D82" s="787"/>
      <c r="E82" s="788"/>
      <c r="F82" s="787">
        <v>0</v>
      </c>
    </row>
    <row r="83" spans="1:6" x14ac:dyDescent="0.25">
      <c r="A83" s="790" t="s">
        <v>511</v>
      </c>
      <c r="B83" s="791">
        <f>SUM(B77:B82)</f>
        <v>65849500</v>
      </c>
      <c r="C83" s="791">
        <f>SUM(C77:C82)</f>
        <v>61658500</v>
      </c>
      <c r="D83" s="791">
        <f>SUM(D77:D82)</f>
        <v>0</v>
      </c>
      <c r="E83" s="791">
        <f>SUM(E77:E82)</f>
        <v>0</v>
      </c>
      <c r="F83" s="791">
        <f>SUM(F77:F82)</f>
        <v>127508000</v>
      </c>
    </row>
    <row r="87" spans="1:6" ht="17.25" customHeight="1" x14ac:dyDescent="0.25">
      <c r="A87" s="772"/>
      <c r="B87" s="773" t="s">
        <v>39</v>
      </c>
      <c r="C87" s="774"/>
      <c r="D87" s="775"/>
      <c r="E87" s="776"/>
      <c r="F87" s="775"/>
    </row>
    <row r="88" spans="1:6" ht="26.4" x14ac:dyDescent="0.25">
      <c r="A88" s="777" t="s">
        <v>14</v>
      </c>
      <c r="B88" s="1765" t="s">
        <v>40</v>
      </c>
      <c r="C88" s="1765"/>
      <c r="D88" s="1765"/>
      <c r="E88" s="1765"/>
      <c r="F88" s="1765"/>
    </row>
    <row r="89" spans="1:6" x14ac:dyDescent="0.25">
      <c r="A89" s="778"/>
      <c r="B89" s="779"/>
      <c r="C89" s="838"/>
      <c r="D89" s="838"/>
      <c r="E89" s="839"/>
      <c r="F89" s="838"/>
    </row>
    <row r="90" spans="1:6" x14ac:dyDescent="0.25">
      <c r="A90" s="778"/>
      <c r="B90" s="779"/>
      <c r="C90" s="780"/>
      <c r="D90" s="780"/>
      <c r="E90" s="781"/>
      <c r="F90" s="780"/>
    </row>
    <row r="91" spans="1:6" ht="26.4" x14ac:dyDescent="0.25">
      <c r="A91" s="782" t="s">
        <v>16</v>
      </c>
      <c r="B91" s="783" t="s">
        <v>17</v>
      </c>
      <c r="C91" s="784" t="s">
        <v>18</v>
      </c>
      <c r="D91" s="784" t="s">
        <v>19</v>
      </c>
      <c r="E91" s="785" t="s">
        <v>20</v>
      </c>
      <c r="F91" s="784" t="s">
        <v>511</v>
      </c>
    </row>
    <row r="92" spans="1:6" x14ac:dyDescent="0.25">
      <c r="A92" s="786" t="s">
        <v>21</v>
      </c>
      <c r="B92" s="787">
        <v>615398805</v>
      </c>
      <c r="C92" s="787">
        <v>374781136</v>
      </c>
      <c r="D92" s="787"/>
      <c r="E92" s="788"/>
      <c r="F92" s="787">
        <f>SUM(B92:E92)</f>
        <v>990179941</v>
      </c>
    </row>
    <row r="93" spans="1:6" x14ac:dyDescent="0.25">
      <c r="A93" s="786" t="s">
        <v>22</v>
      </c>
      <c r="B93" s="787"/>
      <c r="C93" s="787"/>
      <c r="D93" s="787"/>
      <c r="E93" s="788"/>
      <c r="F93" s="787">
        <f>SUM(B93:E93)</f>
        <v>0</v>
      </c>
    </row>
    <row r="94" spans="1:6" x14ac:dyDescent="0.25">
      <c r="A94" s="786" t="s">
        <v>23</v>
      </c>
      <c r="B94" s="787">
        <f>294994855+480852070</f>
        <v>775846925</v>
      </c>
      <c r="C94" s="787">
        <v>51324420</v>
      </c>
      <c r="D94" s="787"/>
      <c r="E94" s="788"/>
      <c r="F94" s="787">
        <f>SUM(B94:E94)</f>
        <v>827171345</v>
      </c>
    </row>
    <row r="95" spans="1:6" ht="26.4" x14ac:dyDescent="0.25">
      <c r="A95" s="801" t="s">
        <v>419</v>
      </c>
      <c r="B95" s="787">
        <f>107759778-5514593</f>
        <v>102245185</v>
      </c>
      <c r="C95" s="787">
        <v>35128375</v>
      </c>
      <c r="D95" s="787"/>
      <c r="E95" s="788"/>
      <c r="F95" s="787">
        <f>SUM(B95:E95)</f>
        <v>137373560</v>
      </c>
    </row>
    <row r="96" spans="1:6" x14ac:dyDescent="0.25">
      <c r="A96" s="790" t="s">
        <v>511</v>
      </c>
      <c r="B96" s="791">
        <f>SUM(B92:B95)</f>
        <v>1493490915</v>
      </c>
      <c r="C96" s="791">
        <f>SUM(C92:C95)</f>
        <v>461233931</v>
      </c>
      <c r="D96" s="791">
        <f>SUM(D92:D95)</f>
        <v>0</v>
      </c>
      <c r="E96" s="791">
        <f>SUM(E92:E95)</f>
        <v>0</v>
      </c>
      <c r="F96" s="791">
        <f>SUM(F92:F95)</f>
        <v>1954724846</v>
      </c>
    </row>
    <row r="97" spans="1:6" x14ac:dyDescent="0.25">
      <c r="A97" s="792"/>
      <c r="B97" s="793"/>
      <c r="C97" s="793"/>
      <c r="D97" s="793"/>
      <c r="E97" s="792"/>
      <c r="F97" s="793"/>
    </row>
    <row r="98" spans="1:6" ht="26.4" x14ac:dyDescent="0.25">
      <c r="A98" s="782" t="s">
        <v>24</v>
      </c>
      <c r="B98" s="783" t="s">
        <v>17</v>
      </c>
      <c r="C98" s="784" t="s">
        <v>18</v>
      </c>
      <c r="D98" s="784" t="s">
        <v>19</v>
      </c>
      <c r="E98" s="785" t="s">
        <v>20</v>
      </c>
      <c r="F98" s="784" t="s">
        <v>511</v>
      </c>
    </row>
    <row r="99" spans="1:6" x14ac:dyDescent="0.25">
      <c r="A99" s="786" t="s">
        <v>34</v>
      </c>
      <c r="B99" s="787">
        <v>2880000</v>
      </c>
      <c r="C99" s="787">
        <v>1440000</v>
      </c>
      <c r="D99" s="787"/>
      <c r="E99" s="788"/>
      <c r="F99" s="787">
        <f t="shared" ref="F99:F104" si="1">SUM(B99:E99)</f>
        <v>4320000</v>
      </c>
    </row>
    <row r="100" spans="1:6" ht="26.4" x14ac:dyDescent="0.25">
      <c r="A100" s="786" t="s">
        <v>26</v>
      </c>
      <c r="B100" s="787">
        <v>633600</v>
      </c>
      <c r="C100" s="787">
        <v>316800</v>
      </c>
      <c r="D100" s="787"/>
      <c r="E100" s="788"/>
      <c r="F100" s="787">
        <f t="shared" si="1"/>
        <v>950400</v>
      </c>
    </row>
    <row r="101" spans="1:6" x14ac:dyDescent="0.25">
      <c r="A101" s="786" t="s">
        <v>28</v>
      </c>
      <c r="B101" s="787">
        <v>20500000</v>
      </c>
      <c r="C101" s="787">
        <v>8000000</v>
      </c>
      <c r="D101" s="787"/>
      <c r="E101" s="788"/>
      <c r="F101" s="787">
        <f t="shared" si="1"/>
        <v>28500000</v>
      </c>
    </row>
    <row r="102" spans="1:6" x14ac:dyDescent="0.25">
      <c r="A102" s="786" t="s">
        <v>29</v>
      </c>
      <c r="B102" s="787"/>
      <c r="C102" s="787"/>
      <c r="D102" s="787"/>
      <c r="E102" s="788"/>
      <c r="F102" s="787">
        <f t="shared" si="1"/>
        <v>0</v>
      </c>
    </row>
    <row r="103" spans="1:6" x14ac:dyDescent="0.25">
      <c r="A103" s="786" t="s">
        <v>30</v>
      </c>
      <c r="B103" s="787">
        <f>886380060+480852070</f>
        <v>1367232130</v>
      </c>
      <c r="C103" s="787">
        <v>416348756</v>
      </c>
      <c r="D103" s="787"/>
      <c r="E103" s="788"/>
      <c r="F103" s="787">
        <f t="shared" si="1"/>
        <v>1783580886</v>
      </c>
    </row>
    <row r="104" spans="1:6" ht="26.4" x14ac:dyDescent="0.25">
      <c r="A104" s="801" t="s">
        <v>419</v>
      </c>
      <c r="B104" s="787">
        <f>107759778-5514593</f>
        <v>102245185</v>
      </c>
      <c r="C104" s="787">
        <v>35128375</v>
      </c>
      <c r="D104" s="787"/>
      <c r="E104" s="788"/>
      <c r="F104" s="787">
        <f t="shared" si="1"/>
        <v>137373560</v>
      </c>
    </row>
    <row r="105" spans="1:6" x14ac:dyDescent="0.25">
      <c r="A105" s="790" t="s">
        <v>511</v>
      </c>
      <c r="B105" s="791">
        <f>SUM(B99:B104)</f>
        <v>1493490915</v>
      </c>
      <c r="C105" s="791">
        <f>SUM(C99:C104)</f>
        <v>461233931</v>
      </c>
      <c r="D105" s="791">
        <f>SUM(D99:D104)</f>
        <v>0</v>
      </c>
      <c r="E105" s="791">
        <f>SUM(E99:E104)</f>
        <v>0</v>
      </c>
      <c r="F105" s="791">
        <f>SUM(F99:F104)</f>
        <v>1954724846</v>
      </c>
    </row>
    <row r="108" spans="1:6" x14ac:dyDescent="0.25">
      <c r="A108" s="772"/>
      <c r="B108" s="773" t="s">
        <v>41</v>
      </c>
      <c r="C108" s="774"/>
      <c r="D108" s="775"/>
      <c r="E108" s="776"/>
      <c r="F108" s="775"/>
    </row>
    <row r="109" spans="1:6" ht="26.4" x14ac:dyDescent="0.25">
      <c r="A109" s="777" t="s">
        <v>14</v>
      </c>
      <c r="B109" s="1765" t="s">
        <v>42</v>
      </c>
      <c r="C109" s="1765"/>
      <c r="D109" s="1765"/>
      <c r="E109" s="1765"/>
      <c r="F109" s="1765"/>
    </row>
    <row r="110" spans="1:6" x14ac:dyDescent="0.25">
      <c r="A110" s="778"/>
      <c r="B110" s="779"/>
      <c r="C110" s="838"/>
      <c r="D110" s="838"/>
      <c r="E110" s="839"/>
      <c r="F110" s="838"/>
    </row>
    <row r="111" spans="1:6" x14ac:dyDescent="0.25">
      <c r="A111" s="778"/>
      <c r="B111" s="779"/>
      <c r="C111" s="780"/>
      <c r="D111" s="780"/>
      <c r="E111" s="781"/>
      <c r="F111" s="780"/>
    </row>
    <row r="112" spans="1:6" ht="26.4" x14ac:dyDescent="0.25">
      <c r="A112" s="782" t="s">
        <v>16</v>
      </c>
      <c r="B112" s="783" t="s">
        <v>17</v>
      </c>
      <c r="C112" s="784" t="s">
        <v>18</v>
      </c>
      <c r="D112" s="784" t="s">
        <v>19</v>
      </c>
      <c r="E112" s="785" t="s">
        <v>20</v>
      </c>
      <c r="F112" s="784" t="s">
        <v>511</v>
      </c>
    </row>
    <row r="113" spans="1:6" x14ac:dyDescent="0.25">
      <c r="A113" s="786" t="s">
        <v>21</v>
      </c>
      <c r="B113" s="787">
        <v>735733678</v>
      </c>
      <c r="C113" s="787">
        <v>34529178</v>
      </c>
      <c r="D113" s="787"/>
      <c r="E113" s="788"/>
      <c r="F113" s="787">
        <f>SUM(B113:E113)</f>
        <v>770262856</v>
      </c>
    </row>
    <row r="114" spans="1:6" x14ac:dyDescent="0.25">
      <c r="A114" s="786" t="s">
        <v>22</v>
      </c>
      <c r="B114" s="787"/>
      <c r="C114" s="787"/>
      <c r="D114" s="787"/>
      <c r="E114" s="788"/>
      <c r="F114" s="787">
        <f>SUM(B114:E114)</f>
        <v>0</v>
      </c>
    </row>
    <row r="115" spans="1:6" x14ac:dyDescent="0.25">
      <c r="A115" s="786" t="s">
        <v>23</v>
      </c>
      <c r="B115" s="787"/>
      <c r="C115" s="787"/>
      <c r="D115" s="787"/>
      <c r="E115" s="788"/>
      <c r="F115" s="787">
        <f>SUM(B115:E115)</f>
        <v>0</v>
      </c>
    </row>
    <row r="116" spans="1:6" ht="26.4" x14ac:dyDescent="0.25">
      <c r="A116" s="801" t="s">
        <v>419</v>
      </c>
      <c r="B116" s="787">
        <v>42911467</v>
      </c>
      <c r="C116" s="787">
        <v>9322878</v>
      </c>
      <c r="D116" s="787"/>
      <c r="E116" s="788"/>
      <c r="F116" s="787">
        <f>SUM(B116:E116)</f>
        <v>52234345</v>
      </c>
    </row>
    <row r="117" spans="1:6" x14ac:dyDescent="0.25">
      <c r="A117" s="790" t="s">
        <v>511</v>
      </c>
      <c r="B117" s="791">
        <f>SUM(B113:B116)</f>
        <v>778645145</v>
      </c>
      <c r="C117" s="791">
        <f>SUM(C113:C116)</f>
        <v>43852056</v>
      </c>
      <c r="D117" s="791">
        <f>SUM(D113:D116)</f>
        <v>0</v>
      </c>
      <c r="E117" s="791">
        <f>SUM(E113:E116)</f>
        <v>0</v>
      </c>
      <c r="F117" s="791">
        <f>SUM(F113:F116)</f>
        <v>822497201</v>
      </c>
    </row>
    <row r="118" spans="1:6" x14ac:dyDescent="0.25">
      <c r="A118" s="792"/>
      <c r="B118" s="793"/>
      <c r="C118" s="793"/>
      <c r="D118" s="793"/>
      <c r="E118" s="792"/>
      <c r="F118" s="793"/>
    </row>
    <row r="119" spans="1:6" ht="26.4" x14ac:dyDescent="0.25">
      <c r="A119" s="782" t="s">
        <v>24</v>
      </c>
      <c r="B119" s="783" t="s">
        <v>17</v>
      </c>
      <c r="C119" s="784" t="s">
        <v>18</v>
      </c>
      <c r="D119" s="784" t="s">
        <v>19</v>
      </c>
      <c r="E119" s="785" t="s">
        <v>20</v>
      </c>
      <c r="F119" s="784" t="s">
        <v>511</v>
      </c>
    </row>
    <row r="120" spans="1:6" x14ac:dyDescent="0.25">
      <c r="A120" s="786" t="s">
        <v>34</v>
      </c>
      <c r="B120" s="787"/>
      <c r="C120" s="787"/>
      <c r="D120" s="787"/>
      <c r="E120" s="788"/>
      <c r="F120" s="787">
        <f t="shared" ref="F120:F125" si="2">SUM(B120:E120)</f>
        <v>0</v>
      </c>
    </row>
    <row r="121" spans="1:6" ht="26.4" x14ac:dyDescent="0.25">
      <c r="A121" s="786" t="s">
        <v>26</v>
      </c>
      <c r="B121" s="787"/>
      <c r="C121" s="787"/>
      <c r="D121" s="787"/>
      <c r="E121" s="788"/>
      <c r="F121" s="787">
        <f t="shared" si="2"/>
        <v>0</v>
      </c>
    </row>
    <row r="122" spans="1:6" x14ac:dyDescent="0.25">
      <c r="A122" s="786" t="s">
        <v>28</v>
      </c>
      <c r="B122" s="787">
        <v>5700000</v>
      </c>
      <c r="C122" s="787">
        <v>0</v>
      </c>
      <c r="D122" s="787"/>
      <c r="E122" s="788"/>
      <c r="F122" s="787">
        <f t="shared" si="2"/>
        <v>5700000</v>
      </c>
    </row>
    <row r="123" spans="1:6" x14ac:dyDescent="0.25">
      <c r="A123" s="786" t="s">
        <v>29</v>
      </c>
      <c r="B123" s="787"/>
      <c r="C123" s="787"/>
      <c r="D123" s="787"/>
      <c r="E123" s="788"/>
      <c r="F123" s="787">
        <f t="shared" si="2"/>
        <v>0</v>
      </c>
    </row>
    <row r="124" spans="1:6" x14ac:dyDescent="0.25">
      <c r="A124" s="786" t="s">
        <v>30</v>
      </c>
      <c r="B124" s="787">
        <v>730033678</v>
      </c>
      <c r="C124" s="787">
        <v>34529178</v>
      </c>
      <c r="D124" s="787"/>
      <c r="E124" s="788"/>
      <c r="F124" s="787">
        <f t="shared" si="2"/>
        <v>764562856</v>
      </c>
    </row>
    <row r="125" spans="1:6" ht="26.4" x14ac:dyDescent="0.25">
      <c r="A125" s="801" t="s">
        <v>419</v>
      </c>
      <c r="B125" s="787">
        <v>42911467</v>
      </c>
      <c r="C125" s="787">
        <v>9322878</v>
      </c>
      <c r="D125" s="787"/>
      <c r="E125" s="788"/>
      <c r="F125" s="787">
        <f t="shared" si="2"/>
        <v>52234345</v>
      </c>
    </row>
    <row r="126" spans="1:6" x14ac:dyDescent="0.25">
      <c r="A126" s="790" t="s">
        <v>511</v>
      </c>
      <c r="B126" s="791">
        <f>SUM(B120:B125)</f>
        <v>778645145</v>
      </c>
      <c r="C126" s="791">
        <f>SUM(C120:C125)</f>
        <v>43852056</v>
      </c>
      <c r="D126" s="791">
        <f>SUM(D120:D125)</f>
        <v>0</v>
      </c>
      <c r="E126" s="791">
        <f>SUM(E120:E125)</f>
        <v>0</v>
      </c>
      <c r="F126" s="791">
        <f>SUM(F120:F125)</f>
        <v>822497201</v>
      </c>
    </row>
    <row r="130" spans="1:6" x14ac:dyDescent="0.25">
      <c r="A130" s="772"/>
      <c r="B130" s="773" t="s">
        <v>43</v>
      </c>
      <c r="C130" s="774"/>
      <c r="D130" s="775"/>
      <c r="E130" s="776"/>
      <c r="F130" s="775"/>
    </row>
    <row r="131" spans="1:6" ht="26.4" x14ac:dyDescent="0.25">
      <c r="A131" s="777" t="s">
        <v>14</v>
      </c>
      <c r="B131" s="1765" t="s">
        <v>44</v>
      </c>
      <c r="C131" s="1765"/>
      <c r="D131" s="1765"/>
      <c r="E131" s="1765"/>
      <c r="F131" s="1765"/>
    </row>
    <row r="132" spans="1:6" x14ac:dyDescent="0.25">
      <c r="A132" s="778"/>
      <c r="B132" s="779"/>
      <c r="C132" s="838"/>
      <c r="D132" s="838"/>
      <c r="E132" s="839"/>
      <c r="F132" s="838"/>
    </row>
    <row r="133" spans="1:6" x14ac:dyDescent="0.25">
      <c r="A133" s="778"/>
      <c r="B133" s="779"/>
      <c r="C133" s="780"/>
      <c r="D133" s="780"/>
      <c r="E133" s="781"/>
      <c r="F133" s="780"/>
    </row>
    <row r="134" spans="1:6" ht="26.4" x14ac:dyDescent="0.25">
      <c r="A134" s="782" t="s">
        <v>16</v>
      </c>
      <c r="B134" s="783" t="s">
        <v>17</v>
      </c>
      <c r="C134" s="784" t="s">
        <v>18</v>
      </c>
      <c r="D134" s="784" t="s">
        <v>19</v>
      </c>
      <c r="E134" s="785" t="s">
        <v>20</v>
      </c>
      <c r="F134" s="784" t="s">
        <v>511</v>
      </c>
    </row>
    <row r="135" spans="1:6" x14ac:dyDescent="0.25">
      <c r="A135" s="786" t="s">
        <v>21</v>
      </c>
      <c r="B135" s="787">
        <v>5274000</v>
      </c>
      <c r="C135" s="787"/>
      <c r="D135" s="787"/>
      <c r="E135" s="788"/>
      <c r="F135" s="787">
        <f>SUM(B135:E135)</f>
        <v>5274000</v>
      </c>
    </row>
    <row r="136" spans="1:6" x14ac:dyDescent="0.25">
      <c r="A136" s="786" t="s">
        <v>22</v>
      </c>
      <c r="B136" s="787"/>
      <c r="C136" s="787"/>
      <c r="D136" s="787"/>
      <c r="E136" s="788"/>
      <c r="F136" s="787">
        <f>SUM(B136:E136)</f>
        <v>0</v>
      </c>
    </row>
    <row r="137" spans="1:6" x14ac:dyDescent="0.25">
      <c r="A137" s="786" t="s">
        <v>23</v>
      </c>
      <c r="B137" s="787"/>
      <c r="C137" s="787"/>
      <c r="D137" s="787"/>
      <c r="E137" s="788"/>
      <c r="F137" s="787">
        <f>SUM(B137:E137)</f>
        <v>0</v>
      </c>
    </row>
    <row r="138" spans="1:6" x14ac:dyDescent="0.25">
      <c r="A138" s="790" t="s">
        <v>511</v>
      </c>
      <c r="B138" s="791">
        <f>SUM(B135:B137)</f>
        <v>5274000</v>
      </c>
      <c r="C138" s="791">
        <f>SUM(C135:C137)</f>
        <v>0</v>
      </c>
      <c r="D138" s="791">
        <f>SUM(D135:D137)</f>
        <v>0</v>
      </c>
      <c r="E138" s="791">
        <f>SUM(E135:E137)</f>
        <v>0</v>
      </c>
      <c r="F138" s="791">
        <f>SUM(F135:F137)</f>
        <v>5274000</v>
      </c>
    </row>
    <row r="139" spans="1:6" x14ac:dyDescent="0.25">
      <c r="A139" s="792"/>
      <c r="B139" s="793"/>
      <c r="C139" s="793"/>
      <c r="D139" s="793"/>
      <c r="E139" s="792"/>
      <c r="F139" s="793"/>
    </row>
    <row r="140" spans="1:6" ht="26.4" x14ac:dyDescent="0.25">
      <c r="A140" s="782" t="s">
        <v>24</v>
      </c>
      <c r="B140" s="783" t="s">
        <v>17</v>
      </c>
      <c r="C140" s="784" t="s">
        <v>18</v>
      </c>
      <c r="D140" s="784" t="s">
        <v>19</v>
      </c>
      <c r="E140" s="785" t="s">
        <v>20</v>
      </c>
      <c r="F140" s="784" t="s">
        <v>511</v>
      </c>
    </row>
    <row r="141" spans="1:6" x14ac:dyDescent="0.25">
      <c r="A141" s="786" t="s">
        <v>34</v>
      </c>
      <c r="B141" s="787">
        <v>1200000</v>
      </c>
      <c r="C141" s="787"/>
      <c r="D141" s="787"/>
      <c r="E141" s="788"/>
      <c r="F141" s="787">
        <f>SUM(B141:E141)</f>
        <v>1200000</v>
      </c>
    </row>
    <row r="142" spans="1:6" ht="26.4" x14ac:dyDescent="0.25">
      <c r="A142" s="786" t="s">
        <v>26</v>
      </c>
      <c r="B142" s="787">
        <v>264000</v>
      </c>
      <c r="C142" s="787"/>
      <c r="D142" s="787"/>
      <c r="E142" s="788"/>
      <c r="F142" s="787">
        <f>SUM(B142:E142)</f>
        <v>264000</v>
      </c>
    </row>
    <row r="143" spans="1:6" x14ac:dyDescent="0.25">
      <c r="A143" s="786" t="s">
        <v>28</v>
      </c>
      <c r="B143" s="787">
        <v>3810000</v>
      </c>
      <c r="C143" s="787"/>
      <c r="D143" s="787"/>
      <c r="E143" s="788"/>
      <c r="F143" s="787">
        <f>SUM(B143:E143)</f>
        <v>3810000</v>
      </c>
    </row>
    <row r="144" spans="1:6" x14ac:dyDescent="0.25">
      <c r="A144" s="786" t="s">
        <v>29</v>
      </c>
      <c r="B144" s="787"/>
      <c r="C144" s="787"/>
      <c r="D144" s="787"/>
      <c r="E144" s="788"/>
      <c r="F144" s="787">
        <f>SUM(B144:E144)</f>
        <v>0</v>
      </c>
    </row>
    <row r="145" spans="1:8" x14ac:dyDescent="0.25">
      <c r="A145" s="786" t="s">
        <v>30</v>
      </c>
      <c r="B145" s="787"/>
      <c r="C145" s="787"/>
      <c r="D145" s="787"/>
      <c r="E145" s="788"/>
      <c r="F145" s="787">
        <f>SUM(B145:E145)</f>
        <v>0</v>
      </c>
    </row>
    <row r="146" spans="1:8" ht="26.4" x14ac:dyDescent="0.25">
      <c r="A146" s="786" t="s">
        <v>31</v>
      </c>
      <c r="B146" s="787"/>
      <c r="C146" s="787"/>
      <c r="D146" s="787"/>
      <c r="E146" s="788"/>
      <c r="F146" s="787">
        <v>0</v>
      </c>
    </row>
    <row r="147" spans="1:8" x14ac:dyDescent="0.25">
      <c r="A147" s="790" t="s">
        <v>511</v>
      </c>
      <c r="B147" s="791">
        <f>SUM(B141:B146)</f>
        <v>5274000</v>
      </c>
      <c r="C147" s="791">
        <f>SUM(C141:C146)</f>
        <v>0</v>
      </c>
      <c r="D147" s="791">
        <f>SUM(D141:D146)</f>
        <v>0</v>
      </c>
      <c r="E147" s="791">
        <f>SUM(E141:E146)</f>
        <v>0</v>
      </c>
      <c r="F147" s="791">
        <f>SUM(F141:F146)</f>
        <v>5274000</v>
      </c>
    </row>
    <row r="150" spans="1:8" x14ac:dyDescent="0.25">
      <c r="A150" s="772"/>
      <c r="B150" s="773" t="s">
        <v>45</v>
      </c>
      <c r="C150" s="773"/>
      <c r="D150" s="774"/>
      <c r="E150" s="774"/>
      <c r="F150" s="775"/>
      <c r="G150" s="776"/>
      <c r="H150" s="775"/>
    </row>
    <row r="151" spans="1:8" ht="27" x14ac:dyDescent="0.3">
      <c r="A151" s="777" t="s">
        <v>14</v>
      </c>
      <c r="B151" s="1767" t="s">
        <v>46</v>
      </c>
      <c r="C151" s="1767"/>
      <c r="D151" s="1768"/>
      <c r="E151" s="1768"/>
      <c r="F151" s="1768"/>
      <c r="G151" s="1768"/>
      <c r="H151" s="1768"/>
    </row>
    <row r="152" spans="1:8" x14ac:dyDescent="0.25">
      <c r="A152" s="778"/>
      <c r="B152" s="840"/>
      <c r="C152" s="840"/>
      <c r="D152" s="838"/>
      <c r="E152" s="838"/>
      <c r="F152" s="838"/>
      <c r="G152" s="839"/>
      <c r="H152" s="838"/>
    </row>
    <row r="153" spans="1:8" x14ac:dyDescent="0.25">
      <c r="A153" s="778"/>
      <c r="B153" s="779"/>
      <c r="C153" s="779"/>
      <c r="D153" s="780"/>
      <c r="E153" s="780"/>
      <c r="F153" s="780"/>
      <c r="G153" s="781"/>
      <c r="H153" s="780"/>
    </row>
    <row r="154" spans="1:8" ht="26.4" x14ac:dyDescent="0.25">
      <c r="A154" s="782" t="s">
        <v>16</v>
      </c>
      <c r="B154" s="796" t="s">
        <v>47</v>
      </c>
      <c r="C154" s="796"/>
      <c r="D154" s="785"/>
      <c r="E154" s="785" t="s">
        <v>48</v>
      </c>
      <c r="F154" s="784" t="s">
        <v>18</v>
      </c>
      <c r="G154" s="785" t="s">
        <v>20</v>
      </c>
      <c r="H154" s="784"/>
    </row>
    <row r="155" spans="1:8" x14ac:dyDescent="0.25">
      <c r="A155" s="786" t="s">
        <v>21</v>
      </c>
      <c r="B155" s="787">
        <v>144044004</v>
      </c>
      <c r="C155" s="787"/>
      <c r="D155" s="787"/>
      <c r="E155" s="787"/>
      <c r="F155" s="787"/>
      <c r="G155" s="788"/>
      <c r="H155" s="787">
        <f>SUM(B155:G155)</f>
        <v>144044004</v>
      </c>
    </row>
    <row r="156" spans="1:8" x14ac:dyDescent="0.25">
      <c r="A156" s="786" t="s">
        <v>22</v>
      </c>
      <c r="B156" s="787"/>
      <c r="C156" s="787"/>
      <c r="D156" s="787"/>
      <c r="E156" s="787"/>
      <c r="F156" s="787"/>
      <c r="G156" s="788"/>
      <c r="H156" s="787">
        <f>SUM(B156:G156)</f>
        <v>0</v>
      </c>
    </row>
    <row r="157" spans="1:8" x14ac:dyDescent="0.25">
      <c r="A157" s="786" t="s">
        <v>23</v>
      </c>
      <c r="B157" s="787">
        <v>49911667</v>
      </c>
      <c r="C157" s="787"/>
      <c r="D157" s="787"/>
      <c r="E157" s="787">
        <v>6017682</v>
      </c>
      <c r="F157" s="787"/>
      <c r="G157" s="788"/>
      <c r="H157" s="787">
        <f>SUM(B157:G157)</f>
        <v>55929349</v>
      </c>
    </row>
    <row r="158" spans="1:8" x14ac:dyDescent="0.25">
      <c r="A158" s="790" t="s">
        <v>511</v>
      </c>
      <c r="B158" s="791">
        <f>SUM(B155:B157)</f>
        <v>193955671</v>
      </c>
      <c r="C158" s="791">
        <f>SUM(C155:C157)</f>
        <v>0</v>
      </c>
      <c r="D158" s="791">
        <f>SUM(D155:D157)</f>
        <v>0</v>
      </c>
      <c r="E158" s="791">
        <f>SUM(E155:E157)</f>
        <v>6017682</v>
      </c>
      <c r="F158" s="791">
        <v>0</v>
      </c>
      <c r="G158" s="791">
        <v>0</v>
      </c>
      <c r="H158" s="787">
        <f>SUM(B158:G158)</f>
        <v>199973353</v>
      </c>
    </row>
    <row r="159" spans="1:8" x14ac:dyDescent="0.25">
      <c r="A159" s="792"/>
      <c r="B159" s="793"/>
      <c r="C159" s="793"/>
      <c r="D159" s="793"/>
      <c r="E159" s="793"/>
      <c r="F159" s="793"/>
      <c r="G159" s="792"/>
      <c r="H159" s="793"/>
    </row>
    <row r="160" spans="1:8" ht="39.6" x14ac:dyDescent="0.25">
      <c r="A160" s="782" t="s">
        <v>24</v>
      </c>
      <c r="B160" s="796" t="s">
        <v>49</v>
      </c>
      <c r="C160" s="796" t="s">
        <v>373</v>
      </c>
      <c r="D160" s="785" t="s">
        <v>374</v>
      </c>
      <c r="E160" s="785" t="s">
        <v>48</v>
      </c>
      <c r="F160" s="784" t="s">
        <v>18</v>
      </c>
      <c r="G160" s="785" t="s">
        <v>20</v>
      </c>
      <c r="H160" s="784" t="s">
        <v>511</v>
      </c>
    </row>
    <row r="161" spans="1:8" x14ac:dyDescent="0.25">
      <c r="A161" s="786" t="s">
        <v>34</v>
      </c>
      <c r="B161" s="787">
        <v>0</v>
      </c>
      <c r="C161" s="787"/>
      <c r="D161" s="787"/>
      <c r="E161" s="787"/>
      <c r="F161" s="787"/>
      <c r="G161" s="788"/>
      <c r="H161" s="787">
        <v>0</v>
      </c>
    </row>
    <row r="162" spans="1:8" ht="26.4" x14ac:dyDescent="0.25">
      <c r="A162" s="786" t="s">
        <v>26</v>
      </c>
      <c r="B162" s="787"/>
      <c r="C162" s="787"/>
      <c r="D162" s="787"/>
      <c r="E162" s="787"/>
      <c r="F162" s="787"/>
      <c r="G162" s="788"/>
      <c r="H162" s="787">
        <v>0</v>
      </c>
    </row>
    <row r="163" spans="1:8" x14ac:dyDescent="0.25">
      <c r="A163" s="786" t="s">
        <v>28</v>
      </c>
      <c r="B163" s="787">
        <v>17471695</v>
      </c>
      <c r="C163" s="787">
        <v>635000</v>
      </c>
      <c r="D163" s="787"/>
      <c r="E163" s="787"/>
      <c r="F163" s="787"/>
      <c r="G163" s="788"/>
      <c r="H163" s="787">
        <f>SUM(B163:G163)</f>
        <v>18106695</v>
      </c>
    </row>
    <row r="164" spans="1:8" x14ac:dyDescent="0.25">
      <c r="A164" s="786" t="s">
        <v>29</v>
      </c>
      <c r="B164" s="787"/>
      <c r="C164" s="787"/>
      <c r="D164" s="787"/>
      <c r="E164" s="787"/>
      <c r="F164" s="787"/>
      <c r="G164" s="788"/>
      <c r="H164" s="787">
        <f>SUM(B164:G164)</f>
        <v>0</v>
      </c>
    </row>
    <row r="165" spans="1:8" x14ac:dyDescent="0.25">
      <c r="A165" s="786" t="s">
        <v>30</v>
      </c>
      <c r="B165" s="787">
        <v>174846476</v>
      </c>
      <c r="C165" s="787">
        <v>7020182</v>
      </c>
      <c r="D165" s="787"/>
      <c r="E165" s="787"/>
      <c r="F165" s="787"/>
      <c r="G165" s="788"/>
      <c r="H165" s="787">
        <f>SUM(B165:G165)</f>
        <v>181866658</v>
      </c>
    </row>
    <row r="166" spans="1:8" ht="26.4" x14ac:dyDescent="0.25">
      <c r="A166" s="786" t="s">
        <v>31</v>
      </c>
      <c r="B166" s="787"/>
      <c r="C166" s="787"/>
      <c r="D166" s="787"/>
      <c r="E166" s="787"/>
      <c r="F166" s="787"/>
      <c r="G166" s="788"/>
      <c r="H166" s="787">
        <f>SUM(B166:G166)</f>
        <v>0</v>
      </c>
    </row>
    <row r="167" spans="1:8" x14ac:dyDescent="0.25">
      <c r="A167" s="790" t="s">
        <v>511</v>
      </c>
      <c r="B167" s="791">
        <f>SUM(B161:B166)</f>
        <v>192318171</v>
      </c>
      <c r="C167" s="791">
        <f>SUM(C161:C166)</f>
        <v>7655182</v>
      </c>
      <c r="D167" s="791">
        <v>0</v>
      </c>
      <c r="E167" s="791"/>
      <c r="F167" s="791">
        <v>0</v>
      </c>
      <c r="G167" s="791">
        <v>0</v>
      </c>
      <c r="H167" s="787">
        <f>SUM(B167:G167)</f>
        <v>199973353</v>
      </c>
    </row>
    <row r="168" spans="1:8" x14ac:dyDescent="0.25">
      <c r="A168" s="776"/>
      <c r="B168" s="794"/>
      <c r="C168" s="794"/>
      <c r="D168" s="775"/>
      <c r="E168" s="775"/>
      <c r="F168" s="775"/>
      <c r="G168" s="776"/>
      <c r="H168" s="775"/>
    </row>
    <row r="170" spans="1:8" x14ac:dyDescent="0.25">
      <c r="A170" s="772"/>
      <c r="B170" s="773" t="s">
        <v>375</v>
      </c>
      <c r="C170" s="773"/>
      <c r="D170" s="774"/>
      <c r="E170" s="774"/>
      <c r="F170" s="775"/>
      <c r="G170" s="776"/>
      <c r="H170" s="775"/>
    </row>
    <row r="171" spans="1:8" ht="26.4" x14ac:dyDescent="0.25">
      <c r="A171" s="777" t="s">
        <v>14</v>
      </c>
      <c r="B171" s="1765" t="s">
        <v>376</v>
      </c>
      <c r="C171" s="1765"/>
      <c r="D171" s="1765"/>
      <c r="E171" s="1765"/>
      <c r="F171" s="1765"/>
      <c r="G171" s="1765"/>
      <c r="H171" s="1765"/>
    </row>
    <row r="172" spans="1:8" x14ac:dyDescent="0.25">
      <c r="A172" s="778"/>
      <c r="B172" s="779"/>
      <c r="C172" s="779"/>
      <c r="D172" s="838"/>
      <c r="E172" s="838"/>
      <c r="F172" s="838"/>
      <c r="G172" s="839"/>
      <c r="H172" s="838"/>
    </row>
    <row r="173" spans="1:8" x14ac:dyDescent="0.25">
      <c r="A173" s="778"/>
      <c r="B173" s="779"/>
      <c r="C173" s="779"/>
      <c r="D173" s="780"/>
      <c r="E173" s="780"/>
      <c r="F173" s="780"/>
      <c r="G173" s="781"/>
      <c r="H173" s="780"/>
    </row>
    <row r="174" spans="1:8" ht="26.4" x14ac:dyDescent="0.25">
      <c r="A174" s="782" t="s">
        <v>16</v>
      </c>
      <c r="B174" s="796" t="s">
        <v>47</v>
      </c>
      <c r="C174" s="796"/>
      <c r="D174" s="785"/>
      <c r="E174" s="785" t="s">
        <v>48</v>
      </c>
      <c r="F174" s="784" t="s">
        <v>18</v>
      </c>
      <c r="G174" s="785" t="s">
        <v>20</v>
      </c>
      <c r="H174" s="784" t="s">
        <v>511</v>
      </c>
    </row>
    <row r="175" spans="1:8" x14ac:dyDescent="0.25">
      <c r="A175" s="786" t="s">
        <v>21</v>
      </c>
      <c r="B175" s="787">
        <v>165036339</v>
      </c>
      <c r="C175" s="787"/>
      <c r="D175" s="787"/>
      <c r="E175" s="787">
        <v>5000000</v>
      </c>
      <c r="F175" s="787"/>
      <c r="G175" s="788"/>
      <c r="H175" s="789">
        <f>SUM(B175:G175)</f>
        <v>170036339</v>
      </c>
    </row>
    <row r="176" spans="1:8" x14ac:dyDescent="0.25">
      <c r="A176" s="786" t="s">
        <v>22</v>
      </c>
      <c r="B176" s="787"/>
      <c r="C176" s="787"/>
      <c r="D176" s="787"/>
      <c r="E176" s="787"/>
      <c r="F176" s="787"/>
      <c r="G176" s="788"/>
      <c r="H176" s="789">
        <f>SUM(B176:G176)</f>
        <v>0</v>
      </c>
    </row>
    <row r="177" spans="1:8" x14ac:dyDescent="0.25">
      <c r="A177" s="786" t="s">
        <v>23</v>
      </c>
      <c r="B177" s="787">
        <v>0</v>
      </c>
      <c r="C177" s="787"/>
      <c r="D177" s="787"/>
      <c r="E177" s="787"/>
      <c r="F177" s="787"/>
      <c r="G177" s="788"/>
      <c r="H177" s="789">
        <f>SUM(B177:G177)</f>
        <v>0</v>
      </c>
    </row>
    <row r="178" spans="1:8" ht="26.4" x14ac:dyDescent="0.25">
      <c r="A178" s="801" t="s">
        <v>419</v>
      </c>
      <c r="B178" s="787">
        <v>135000</v>
      </c>
      <c r="C178" s="787">
        <v>1485000</v>
      </c>
      <c r="D178" s="787">
        <v>648425</v>
      </c>
      <c r="E178" s="787">
        <v>40016275</v>
      </c>
      <c r="F178" s="787">
        <v>3490112</v>
      </c>
      <c r="G178" s="788"/>
      <c r="H178" s="789">
        <f>SUM(B178:G178)</f>
        <v>45774812</v>
      </c>
    </row>
    <row r="179" spans="1:8" x14ac:dyDescent="0.25">
      <c r="A179" s="790" t="s">
        <v>511</v>
      </c>
      <c r="B179" s="791">
        <f>SUM(B175:B178)</f>
        <v>165171339</v>
      </c>
      <c r="C179" s="791">
        <f t="shared" ref="C179:H179" si="3">SUM(C175:C178)</f>
        <v>1485000</v>
      </c>
      <c r="D179" s="791">
        <f t="shared" si="3"/>
        <v>648425</v>
      </c>
      <c r="E179" s="791">
        <f t="shared" si="3"/>
        <v>45016275</v>
      </c>
      <c r="F179" s="791">
        <f t="shared" si="3"/>
        <v>3490112</v>
      </c>
      <c r="G179" s="791">
        <f t="shared" si="3"/>
        <v>0</v>
      </c>
      <c r="H179" s="791">
        <f t="shared" si="3"/>
        <v>215811151</v>
      </c>
    </row>
    <row r="180" spans="1:8" x14ac:dyDescent="0.25">
      <c r="A180" s="792"/>
      <c r="B180" s="793"/>
      <c r="C180" s="793"/>
      <c r="D180" s="793"/>
      <c r="E180" s="793"/>
      <c r="F180" s="793"/>
      <c r="G180" s="792"/>
      <c r="H180" s="793"/>
    </row>
    <row r="181" spans="1:8" ht="39.6" x14ac:dyDescent="0.25">
      <c r="A181" s="782" t="s">
        <v>24</v>
      </c>
      <c r="B181" s="796" t="s">
        <v>49</v>
      </c>
      <c r="C181" s="796" t="s">
        <v>373</v>
      </c>
      <c r="D181" s="785" t="s">
        <v>374</v>
      </c>
      <c r="E181" s="785" t="s">
        <v>48</v>
      </c>
      <c r="F181" s="784" t="s">
        <v>18</v>
      </c>
      <c r="G181" s="785" t="s">
        <v>20</v>
      </c>
      <c r="H181" s="784" t="s">
        <v>511</v>
      </c>
    </row>
    <row r="182" spans="1:8" x14ac:dyDescent="0.25">
      <c r="A182" s="786" t="s">
        <v>34</v>
      </c>
      <c r="B182" s="787">
        <v>85587</v>
      </c>
      <c r="C182" s="787"/>
      <c r="D182" s="787"/>
      <c r="E182" s="787">
        <v>205409</v>
      </c>
      <c r="F182" s="787">
        <v>102705</v>
      </c>
      <c r="G182" s="788"/>
      <c r="H182" s="787">
        <f t="shared" ref="H182:H187" si="4">SUM(B182:F182)</f>
        <v>393701</v>
      </c>
    </row>
    <row r="183" spans="1:8" ht="26.4" x14ac:dyDescent="0.25">
      <c r="A183" s="786" t="s">
        <v>26</v>
      </c>
      <c r="B183" s="787">
        <v>23108</v>
      </c>
      <c r="C183" s="787"/>
      <c r="D183" s="787"/>
      <c r="E183" s="787">
        <v>55460</v>
      </c>
      <c r="F183" s="787">
        <v>27731</v>
      </c>
      <c r="G183" s="788"/>
      <c r="H183" s="787">
        <f t="shared" si="4"/>
        <v>106299</v>
      </c>
    </row>
    <row r="184" spans="1:8" x14ac:dyDescent="0.25">
      <c r="A184" s="786" t="s">
        <v>28</v>
      </c>
      <c r="B184" s="787">
        <v>500000</v>
      </c>
      <c r="C184" s="787">
        <v>0</v>
      </c>
      <c r="D184" s="787">
        <v>2401575</v>
      </c>
      <c r="E184" s="787">
        <v>3348425</v>
      </c>
      <c r="F184" s="787">
        <v>3141339</v>
      </c>
      <c r="G184" s="788"/>
      <c r="H184" s="787">
        <f t="shared" si="4"/>
        <v>9391339</v>
      </c>
    </row>
    <row r="185" spans="1:8" x14ac:dyDescent="0.25">
      <c r="A185" s="786" t="s">
        <v>29</v>
      </c>
      <c r="B185" s="787"/>
      <c r="C185" s="787"/>
      <c r="D185" s="787"/>
      <c r="E185" s="787"/>
      <c r="F185" s="787"/>
      <c r="G185" s="788"/>
      <c r="H185" s="787">
        <f t="shared" si="4"/>
        <v>0</v>
      </c>
    </row>
    <row r="186" spans="1:8" x14ac:dyDescent="0.25">
      <c r="A186" s="786" t="s">
        <v>30</v>
      </c>
      <c r="B186" s="787">
        <v>0</v>
      </c>
      <c r="C186" s="787">
        <v>5500000</v>
      </c>
      <c r="D186" s="787">
        <v>0</v>
      </c>
      <c r="E186" s="787">
        <v>144860000</v>
      </c>
      <c r="F186" s="787">
        <v>9785000</v>
      </c>
      <c r="G186" s="788"/>
      <c r="H186" s="787">
        <f t="shared" si="4"/>
        <v>160145000</v>
      </c>
    </row>
    <row r="187" spans="1:8" ht="26.4" x14ac:dyDescent="0.25">
      <c r="A187" s="801" t="s">
        <v>419</v>
      </c>
      <c r="B187" s="787">
        <v>135000</v>
      </c>
      <c r="C187" s="787">
        <v>1485000</v>
      </c>
      <c r="D187" s="787">
        <v>648425</v>
      </c>
      <c r="E187" s="787">
        <v>40016275</v>
      </c>
      <c r="F187" s="787">
        <v>3490112</v>
      </c>
      <c r="G187" s="788"/>
      <c r="H187" s="787">
        <f t="shared" si="4"/>
        <v>45774812</v>
      </c>
    </row>
    <row r="188" spans="1:8" x14ac:dyDescent="0.25">
      <c r="A188" s="790" t="s">
        <v>511</v>
      </c>
      <c r="B188" s="791">
        <f t="shared" ref="B188:H188" si="5">SUM(B182:B187)</f>
        <v>743695</v>
      </c>
      <c r="C188" s="791">
        <f t="shared" si="5"/>
        <v>6985000</v>
      </c>
      <c r="D188" s="791">
        <f t="shared" si="5"/>
        <v>3050000</v>
      </c>
      <c r="E188" s="791">
        <f t="shared" si="5"/>
        <v>188485569</v>
      </c>
      <c r="F188" s="791">
        <f t="shared" si="5"/>
        <v>16546887</v>
      </c>
      <c r="G188" s="791">
        <f t="shared" si="5"/>
        <v>0</v>
      </c>
      <c r="H188" s="791">
        <f t="shared" si="5"/>
        <v>215811151</v>
      </c>
    </row>
    <row r="189" spans="1:8" x14ac:dyDescent="0.25">
      <c r="A189" s="795"/>
      <c r="B189" s="775"/>
      <c r="C189" s="775"/>
      <c r="D189" s="795"/>
      <c r="E189" s="795"/>
      <c r="F189" s="795"/>
      <c r="G189" s="795"/>
      <c r="H189" s="795"/>
    </row>
    <row r="191" spans="1:8" x14ac:dyDescent="0.25">
      <c r="A191" s="772"/>
      <c r="B191" s="773" t="s">
        <v>377</v>
      </c>
      <c r="C191" s="773"/>
      <c r="D191" s="774"/>
      <c r="E191" s="774"/>
      <c r="F191" s="775"/>
      <c r="G191" s="776"/>
      <c r="H191" s="775"/>
    </row>
    <row r="192" spans="1:8" ht="26.4" x14ac:dyDescent="0.25">
      <c r="A192" s="777" t="s">
        <v>14</v>
      </c>
      <c r="B192" s="1769" t="s">
        <v>378</v>
      </c>
      <c r="C192" s="1769"/>
      <c r="D192" s="1769"/>
      <c r="E192" s="1769"/>
      <c r="F192" s="1769"/>
      <c r="G192" s="1769"/>
      <c r="H192" s="1769"/>
    </row>
    <row r="193" spans="1:8" x14ac:dyDescent="0.25">
      <c r="A193" s="778"/>
      <c r="B193" s="840"/>
      <c r="C193" s="840"/>
      <c r="D193" s="838"/>
      <c r="E193" s="838"/>
      <c r="F193" s="838"/>
      <c r="G193" s="839"/>
      <c r="H193" s="838"/>
    </row>
    <row r="194" spans="1:8" x14ac:dyDescent="0.25">
      <c r="A194" s="778"/>
      <c r="B194" s="779"/>
      <c r="C194" s="779"/>
      <c r="D194" s="780"/>
      <c r="E194" s="780"/>
      <c r="F194" s="780"/>
      <c r="G194" s="781"/>
      <c r="H194" s="780"/>
    </row>
    <row r="195" spans="1:8" ht="26.4" x14ac:dyDescent="0.25">
      <c r="A195" s="782" t="s">
        <v>16</v>
      </c>
      <c r="B195" s="796" t="s">
        <v>47</v>
      </c>
      <c r="C195" s="796"/>
      <c r="D195" s="785"/>
      <c r="E195" s="785" t="s">
        <v>48</v>
      </c>
      <c r="F195" s="784" t="s">
        <v>18</v>
      </c>
      <c r="G195" s="785" t="s">
        <v>20</v>
      </c>
      <c r="H195" s="784" t="s">
        <v>511</v>
      </c>
    </row>
    <row r="196" spans="1:8" x14ac:dyDescent="0.25">
      <c r="A196" s="786" t="s">
        <v>21</v>
      </c>
      <c r="B196" s="787">
        <v>590000000</v>
      </c>
      <c r="C196" s="787"/>
      <c r="D196" s="787"/>
      <c r="E196" s="787"/>
      <c r="F196" s="787"/>
      <c r="G196" s="788"/>
      <c r="H196" s="787">
        <f>SUM(B196:G196)</f>
        <v>590000000</v>
      </c>
    </row>
    <row r="197" spans="1:8" x14ac:dyDescent="0.25">
      <c r="A197" s="786" t="s">
        <v>22</v>
      </c>
      <c r="B197" s="787"/>
      <c r="C197" s="787"/>
      <c r="D197" s="787"/>
      <c r="E197" s="787"/>
      <c r="F197" s="787"/>
      <c r="G197" s="788"/>
      <c r="H197" s="787">
        <f>SUM(B197:G197)</f>
        <v>0</v>
      </c>
    </row>
    <row r="198" spans="1:8" x14ac:dyDescent="0.25">
      <c r="A198" s="786" t="s">
        <v>23</v>
      </c>
      <c r="B198" s="787">
        <v>0</v>
      </c>
      <c r="C198" s="787"/>
      <c r="D198" s="787"/>
      <c r="E198" s="787"/>
      <c r="F198" s="787"/>
      <c r="G198" s="788"/>
      <c r="H198" s="787">
        <f>SUM(B198:G198)</f>
        <v>0</v>
      </c>
    </row>
    <row r="199" spans="1:8" ht="26.4" x14ac:dyDescent="0.25">
      <c r="A199" s="801" t="s">
        <v>419</v>
      </c>
      <c r="B199" s="787">
        <v>425553</v>
      </c>
      <c r="C199" s="787">
        <v>151231</v>
      </c>
      <c r="D199" s="787">
        <v>9611937</v>
      </c>
      <c r="E199" s="787">
        <v>56844695</v>
      </c>
      <c r="F199" s="787">
        <v>20262892</v>
      </c>
      <c r="G199" s="788">
        <v>453692</v>
      </c>
      <c r="H199" s="787">
        <f>SUM(B199:G199)</f>
        <v>87750000</v>
      </c>
    </row>
    <row r="200" spans="1:8" x14ac:dyDescent="0.25">
      <c r="A200" s="790" t="s">
        <v>511</v>
      </c>
      <c r="B200" s="791">
        <f>SUM(B196:B199)</f>
        <v>590425553</v>
      </c>
      <c r="C200" s="791">
        <f t="shared" ref="C200:H200" si="6">SUM(C196:C199)</f>
        <v>151231</v>
      </c>
      <c r="D200" s="791">
        <f t="shared" si="6"/>
        <v>9611937</v>
      </c>
      <c r="E200" s="791">
        <f t="shared" si="6"/>
        <v>56844695</v>
      </c>
      <c r="F200" s="791">
        <f t="shared" si="6"/>
        <v>20262892</v>
      </c>
      <c r="G200" s="791">
        <f t="shared" si="6"/>
        <v>453692</v>
      </c>
      <c r="H200" s="791">
        <f t="shared" si="6"/>
        <v>677750000</v>
      </c>
    </row>
    <row r="201" spans="1:8" x14ac:dyDescent="0.25">
      <c r="A201" s="795"/>
      <c r="B201" s="793"/>
      <c r="C201" s="793"/>
      <c r="D201" s="793"/>
      <c r="E201" s="793"/>
      <c r="F201" s="793"/>
      <c r="G201" s="792"/>
      <c r="H201" s="793"/>
    </row>
    <row r="202" spans="1:8" ht="39.6" x14ac:dyDescent="0.25">
      <c r="B202" s="796" t="s">
        <v>49</v>
      </c>
      <c r="C202" s="796" t="s">
        <v>373</v>
      </c>
      <c r="D202" s="785" t="s">
        <v>374</v>
      </c>
      <c r="E202" s="785" t="s">
        <v>48</v>
      </c>
      <c r="F202" s="784" t="s">
        <v>18</v>
      </c>
      <c r="G202" s="785" t="s">
        <v>20</v>
      </c>
      <c r="H202" s="784" t="s">
        <v>511</v>
      </c>
    </row>
    <row r="203" spans="1:8" x14ac:dyDescent="0.25">
      <c r="A203" s="786" t="s">
        <v>34</v>
      </c>
      <c r="B203" s="787"/>
      <c r="C203" s="787"/>
      <c r="D203" s="787"/>
      <c r="E203" s="787"/>
      <c r="F203" s="787"/>
      <c r="G203" s="788"/>
      <c r="H203" s="787"/>
    </row>
    <row r="204" spans="1:8" ht="26.4" x14ac:dyDescent="0.25">
      <c r="A204" s="786" t="s">
        <v>26</v>
      </c>
      <c r="B204" s="787"/>
      <c r="C204" s="787"/>
      <c r="D204" s="787"/>
      <c r="E204" s="787"/>
      <c r="F204" s="787"/>
      <c r="G204" s="788"/>
      <c r="H204" s="787"/>
    </row>
    <row r="205" spans="1:8" x14ac:dyDescent="0.25">
      <c r="A205" s="786" t="s">
        <v>28</v>
      </c>
      <c r="B205" s="787">
        <v>1576121</v>
      </c>
      <c r="C205" s="787">
        <v>560114</v>
      </c>
      <c r="D205" s="787">
        <v>6599765</v>
      </c>
      <c r="E205" s="787">
        <v>6079889</v>
      </c>
      <c r="F205" s="787">
        <v>4503768</v>
      </c>
      <c r="G205" s="788">
        <v>1680343</v>
      </c>
      <c r="H205" s="787">
        <f>SUM(B205:G205)</f>
        <v>21000000</v>
      </c>
    </row>
    <row r="206" spans="1:8" x14ac:dyDescent="0.25">
      <c r="A206" s="786" t="s">
        <v>29</v>
      </c>
      <c r="B206" s="787"/>
      <c r="C206" s="787"/>
      <c r="D206" s="787"/>
      <c r="E206" s="787"/>
      <c r="F206" s="787"/>
      <c r="G206" s="788"/>
      <c r="H206" s="787">
        <f>SUM(C206:G206)</f>
        <v>0</v>
      </c>
    </row>
    <row r="207" spans="1:8" x14ac:dyDescent="0.25">
      <c r="A207" s="786" t="s">
        <v>30</v>
      </c>
      <c r="B207" s="787">
        <v>0</v>
      </c>
      <c r="C207" s="787">
        <v>0</v>
      </c>
      <c r="D207" s="787">
        <v>29000000</v>
      </c>
      <c r="E207" s="787">
        <v>351250000</v>
      </c>
      <c r="F207" s="787">
        <v>188750000</v>
      </c>
      <c r="G207" s="788"/>
      <c r="H207" s="787">
        <f>SUM(C207:G207)</f>
        <v>569000000</v>
      </c>
    </row>
    <row r="208" spans="1:8" ht="26.4" x14ac:dyDescent="0.25">
      <c r="A208" s="801" t="s">
        <v>419</v>
      </c>
      <c r="B208" s="787">
        <v>425553</v>
      </c>
      <c r="C208" s="787">
        <v>151231</v>
      </c>
      <c r="D208" s="787">
        <v>9611937</v>
      </c>
      <c r="E208" s="787">
        <v>56844695</v>
      </c>
      <c r="F208" s="787">
        <v>20262892</v>
      </c>
      <c r="G208" s="788">
        <v>453692</v>
      </c>
      <c r="H208" s="787">
        <f>SUM(B208:G208)</f>
        <v>87750000</v>
      </c>
    </row>
    <row r="209" spans="1:8" x14ac:dyDescent="0.25">
      <c r="A209" s="790" t="s">
        <v>511</v>
      </c>
      <c r="B209" s="791">
        <f>SUM(B203:B208)</f>
        <v>2001674</v>
      </c>
      <c r="C209" s="791">
        <f t="shared" ref="C209:H209" si="7">SUM(C203:C208)</f>
        <v>711345</v>
      </c>
      <c r="D209" s="791">
        <f t="shared" si="7"/>
        <v>45211702</v>
      </c>
      <c r="E209" s="791">
        <f t="shared" si="7"/>
        <v>414174584</v>
      </c>
      <c r="F209" s="791">
        <f t="shared" si="7"/>
        <v>213516660</v>
      </c>
      <c r="G209" s="791">
        <f t="shared" si="7"/>
        <v>2134035</v>
      </c>
      <c r="H209" s="791">
        <f t="shared" si="7"/>
        <v>677750000</v>
      </c>
    </row>
    <row r="210" spans="1:8" x14ac:dyDescent="0.25">
      <c r="A210" s="795"/>
    </row>
    <row r="212" spans="1:8" x14ac:dyDescent="0.25">
      <c r="A212" s="772"/>
      <c r="B212" s="773" t="s">
        <v>379</v>
      </c>
      <c r="C212" s="773"/>
      <c r="D212" s="774"/>
      <c r="E212" s="774"/>
      <c r="F212" s="775"/>
      <c r="G212" s="776"/>
      <c r="H212" s="775"/>
    </row>
    <row r="213" spans="1:8" ht="26.4" x14ac:dyDescent="0.25">
      <c r="A213" s="777" t="s">
        <v>14</v>
      </c>
      <c r="B213" s="1765" t="s">
        <v>380</v>
      </c>
      <c r="C213" s="1765"/>
      <c r="D213" s="1765"/>
      <c r="E213" s="1765"/>
      <c r="F213" s="1765"/>
      <c r="G213" s="1765"/>
      <c r="H213" s="1765"/>
    </row>
    <row r="214" spans="1:8" x14ac:dyDescent="0.25">
      <c r="A214" s="778"/>
      <c r="B214" s="779"/>
      <c r="C214" s="779"/>
      <c r="D214" s="838"/>
      <c r="E214" s="838"/>
      <c r="F214" s="838"/>
      <c r="G214" s="839"/>
      <c r="H214" s="838"/>
    </row>
    <row r="215" spans="1:8" x14ac:dyDescent="0.25">
      <c r="A215" s="778"/>
      <c r="B215" s="779"/>
      <c r="C215" s="779"/>
      <c r="D215" s="780"/>
      <c r="E215" s="780"/>
      <c r="F215" s="780"/>
      <c r="G215" s="781"/>
      <c r="H215" s="780"/>
    </row>
    <row r="216" spans="1:8" ht="26.4" x14ac:dyDescent="0.25">
      <c r="A216" s="782" t="s">
        <v>16</v>
      </c>
      <c r="B216" s="796" t="s">
        <v>47</v>
      </c>
      <c r="C216" s="796"/>
      <c r="D216" s="785"/>
      <c r="E216" s="785" t="s">
        <v>48</v>
      </c>
      <c r="F216" s="784" t="s">
        <v>18</v>
      </c>
      <c r="G216" s="785" t="s">
        <v>20</v>
      </c>
      <c r="H216" s="784" t="s">
        <v>511</v>
      </c>
    </row>
    <row r="217" spans="1:8" x14ac:dyDescent="0.25">
      <c r="A217" s="786" t="s">
        <v>21</v>
      </c>
      <c r="B217" s="787">
        <v>59937000</v>
      </c>
      <c r="C217" s="787"/>
      <c r="D217" s="787"/>
      <c r="E217" s="787"/>
      <c r="F217" s="787"/>
      <c r="G217" s="788"/>
      <c r="H217" s="787">
        <f>SUM(B217:G217)</f>
        <v>59937000</v>
      </c>
    </row>
    <row r="218" spans="1:8" x14ac:dyDescent="0.25">
      <c r="A218" s="786" t="s">
        <v>22</v>
      </c>
      <c r="B218" s="787"/>
      <c r="C218" s="787"/>
      <c r="D218" s="787"/>
      <c r="E218" s="787"/>
      <c r="F218" s="787"/>
      <c r="G218" s="788"/>
      <c r="H218" s="787">
        <v>0</v>
      </c>
    </row>
    <row r="219" spans="1:8" x14ac:dyDescent="0.25">
      <c r="A219" s="786" t="s">
        <v>23</v>
      </c>
      <c r="B219" s="787">
        <v>0</v>
      </c>
      <c r="C219" s="787"/>
      <c r="D219" s="787"/>
      <c r="E219" s="787"/>
      <c r="F219" s="787"/>
      <c r="G219" s="788"/>
      <c r="H219" s="787">
        <v>0</v>
      </c>
    </row>
    <row r="220" spans="1:8" x14ac:dyDescent="0.25">
      <c r="A220" s="790" t="s">
        <v>511</v>
      </c>
      <c r="B220" s="791">
        <f>SUM(B217:B219)</f>
        <v>59937000</v>
      </c>
      <c r="C220" s="791">
        <f t="shared" ref="C220:H220" si="8">SUM(C217:C219)</f>
        <v>0</v>
      </c>
      <c r="D220" s="791">
        <f t="shared" si="8"/>
        <v>0</v>
      </c>
      <c r="E220" s="791">
        <f t="shared" si="8"/>
        <v>0</v>
      </c>
      <c r="F220" s="791">
        <f t="shared" si="8"/>
        <v>0</v>
      </c>
      <c r="G220" s="791">
        <f t="shared" si="8"/>
        <v>0</v>
      </c>
      <c r="H220" s="791">
        <f t="shared" si="8"/>
        <v>59937000</v>
      </c>
    </row>
    <row r="221" spans="1:8" x14ac:dyDescent="0.25">
      <c r="A221" s="792"/>
      <c r="B221" s="793"/>
      <c r="C221" s="793"/>
      <c r="D221" s="793"/>
      <c r="E221" s="793"/>
      <c r="F221" s="793"/>
      <c r="G221" s="792"/>
      <c r="H221" s="793"/>
    </row>
    <row r="222" spans="1:8" ht="39.6" x14ac:dyDescent="0.25">
      <c r="A222" s="782" t="s">
        <v>24</v>
      </c>
      <c r="B222" s="796" t="s">
        <v>49</v>
      </c>
      <c r="C222" s="796" t="s">
        <v>373</v>
      </c>
      <c r="D222" s="785" t="s">
        <v>374</v>
      </c>
      <c r="E222" s="785" t="s">
        <v>48</v>
      </c>
      <c r="F222" s="784" t="s">
        <v>18</v>
      </c>
      <c r="G222" s="785" t="s">
        <v>20</v>
      </c>
      <c r="H222" s="784" t="s">
        <v>511</v>
      </c>
    </row>
    <row r="223" spans="1:8" x14ac:dyDescent="0.25">
      <c r="A223" s="786" t="s">
        <v>34</v>
      </c>
      <c r="B223" s="787">
        <v>199038</v>
      </c>
      <c r="C223" s="787"/>
      <c r="D223" s="787"/>
      <c r="E223" s="787">
        <v>341207</v>
      </c>
      <c r="F223" s="787">
        <v>341207</v>
      </c>
      <c r="G223" s="788">
        <v>142170</v>
      </c>
      <c r="H223" s="787">
        <f>SUM(B223:G223)</f>
        <v>1023622</v>
      </c>
    </row>
    <row r="224" spans="1:8" ht="26.4" x14ac:dyDescent="0.25">
      <c r="A224" s="786" t="s">
        <v>26</v>
      </c>
      <c r="B224" s="787">
        <v>53740</v>
      </c>
      <c r="C224" s="787"/>
      <c r="D224" s="787"/>
      <c r="E224" s="787">
        <v>92126</v>
      </c>
      <c r="F224" s="787">
        <v>92126</v>
      </c>
      <c r="G224" s="787">
        <v>38386</v>
      </c>
      <c r="H224" s="787">
        <f>SUM(B224:G224)</f>
        <v>276378</v>
      </c>
    </row>
    <row r="225" spans="1:8" x14ac:dyDescent="0.25">
      <c r="A225" s="786" t="s">
        <v>28</v>
      </c>
      <c r="B225" s="787">
        <v>0</v>
      </c>
      <c r="C225" s="787">
        <v>0</v>
      </c>
      <c r="D225" s="787">
        <v>1397000</v>
      </c>
      <c r="E225" s="787">
        <v>500000</v>
      </c>
      <c r="F225" s="787">
        <v>230000</v>
      </c>
      <c r="G225" s="788"/>
      <c r="H225" s="787">
        <f>SUM(C225:G225)</f>
        <v>2127000</v>
      </c>
    </row>
    <row r="226" spans="1:8" x14ac:dyDescent="0.25">
      <c r="A226" s="786" t="s">
        <v>29</v>
      </c>
      <c r="B226" s="787">
        <v>0</v>
      </c>
      <c r="C226" s="787"/>
      <c r="D226" s="787"/>
      <c r="E226" s="787"/>
      <c r="F226" s="787"/>
      <c r="G226" s="788"/>
      <c r="H226" s="787">
        <f>SUM(C226:G226)</f>
        <v>0</v>
      </c>
    </row>
    <row r="227" spans="1:8" x14ac:dyDescent="0.25">
      <c r="A227" s="786" t="s">
        <v>30</v>
      </c>
      <c r="B227" s="787">
        <v>0</v>
      </c>
      <c r="C227" s="787"/>
      <c r="D227" s="787"/>
      <c r="E227" s="787">
        <v>56510000</v>
      </c>
      <c r="F227" s="787"/>
      <c r="G227" s="788"/>
      <c r="H227" s="787">
        <f>SUM(C227:G227)</f>
        <v>56510000</v>
      </c>
    </row>
    <row r="228" spans="1:8" ht="26.4" x14ac:dyDescent="0.25">
      <c r="A228" s="786" t="s">
        <v>31</v>
      </c>
      <c r="B228" s="787">
        <v>0</v>
      </c>
      <c r="C228" s="787"/>
      <c r="D228" s="787"/>
      <c r="E228" s="787"/>
      <c r="F228" s="787"/>
      <c r="G228" s="788"/>
      <c r="H228" s="787"/>
    </row>
    <row r="229" spans="1:8" x14ac:dyDescent="0.25">
      <c r="A229" s="790" t="s">
        <v>511</v>
      </c>
      <c r="B229" s="791">
        <f>SUM(B223:B228)</f>
        <v>252778</v>
      </c>
      <c r="C229" s="791">
        <f t="shared" ref="C229:H229" si="9">SUM(C223:C228)</f>
        <v>0</v>
      </c>
      <c r="D229" s="791">
        <f t="shared" si="9"/>
        <v>1397000</v>
      </c>
      <c r="E229" s="791">
        <f t="shared" si="9"/>
        <v>57443333</v>
      </c>
      <c r="F229" s="791">
        <f t="shared" si="9"/>
        <v>663333</v>
      </c>
      <c r="G229" s="791">
        <f t="shared" si="9"/>
        <v>180556</v>
      </c>
      <c r="H229" s="791">
        <f t="shared" si="9"/>
        <v>59937000</v>
      </c>
    </row>
    <row r="232" spans="1:8" x14ac:dyDescent="0.25">
      <c r="A232" s="772"/>
      <c r="B232" s="773" t="s">
        <v>381</v>
      </c>
      <c r="C232" s="773"/>
      <c r="D232" s="774"/>
      <c r="E232" s="774"/>
      <c r="F232" s="775"/>
      <c r="G232" s="776"/>
      <c r="H232" s="775"/>
    </row>
    <row r="233" spans="1:8" ht="26.4" x14ac:dyDescent="0.25">
      <c r="A233" s="777" t="s">
        <v>14</v>
      </c>
      <c r="B233" s="1765" t="s">
        <v>382</v>
      </c>
      <c r="C233" s="1765"/>
      <c r="D233" s="1765"/>
      <c r="E233" s="1765"/>
      <c r="F233" s="1765"/>
      <c r="G233" s="1765"/>
      <c r="H233" s="1765"/>
    </row>
    <row r="234" spans="1:8" x14ac:dyDescent="0.25">
      <c r="A234" s="778"/>
      <c r="B234" s="779"/>
      <c r="C234" s="779"/>
      <c r="D234" s="838"/>
      <c r="E234" s="838"/>
      <c r="F234" s="838"/>
      <c r="G234" s="839"/>
      <c r="H234" s="838"/>
    </row>
    <row r="235" spans="1:8" x14ac:dyDescent="0.25">
      <c r="A235" s="778"/>
      <c r="B235" s="779"/>
      <c r="C235" s="779"/>
      <c r="D235" s="780"/>
      <c r="E235" s="780"/>
      <c r="F235" s="780"/>
      <c r="G235" s="781"/>
      <c r="H235" s="780"/>
    </row>
    <row r="236" spans="1:8" ht="26.4" x14ac:dyDescent="0.25">
      <c r="A236" s="782" t="s">
        <v>16</v>
      </c>
      <c r="B236" s="796" t="s">
        <v>47</v>
      </c>
      <c r="C236" s="796"/>
      <c r="D236" s="785"/>
      <c r="E236" s="785" t="s">
        <v>48</v>
      </c>
      <c r="F236" s="784" t="s">
        <v>18</v>
      </c>
      <c r="G236" s="785" t="s">
        <v>20</v>
      </c>
      <c r="H236" s="784" t="s">
        <v>511</v>
      </c>
    </row>
    <row r="237" spans="1:8" x14ac:dyDescent="0.25">
      <c r="A237" s="786" t="s">
        <v>21</v>
      </c>
      <c r="B237" s="787">
        <v>9000000</v>
      </c>
      <c r="C237" s="787"/>
      <c r="D237" s="787"/>
      <c r="E237" s="787"/>
      <c r="F237" s="787"/>
      <c r="G237" s="788"/>
      <c r="H237" s="787">
        <f>SUM(B237:G237)</f>
        <v>9000000</v>
      </c>
    </row>
    <row r="238" spans="1:8" x14ac:dyDescent="0.25">
      <c r="A238" s="786" t="s">
        <v>22</v>
      </c>
      <c r="B238" s="787"/>
      <c r="C238" s="787"/>
      <c r="D238" s="787"/>
      <c r="E238" s="787"/>
      <c r="F238" s="787"/>
      <c r="G238" s="788"/>
      <c r="H238" s="787"/>
    </row>
    <row r="239" spans="1:8" x14ac:dyDescent="0.25">
      <c r="A239" s="786" t="s">
        <v>23</v>
      </c>
      <c r="B239" s="787"/>
      <c r="C239" s="787"/>
      <c r="D239" s="787"/>
      <c r="E239" s="787"/>
      <c r="F239" s="787"/>
      <c r="G239" s="788"/>
      <c r="H239" s="787"/>
    </row>
    <row r="240" spans="1:8" x14ac:dyDescent="0.25">
      <c r="A240" s="790" t="s">
        <v>511</v>
      </c>
      <c r="B240" s="791">
        <f>SUM(B237:B239)</f>
        <v>9000000</v>
      </c>
      <c r="C240" s="791">
        <f t="shared" ref="C240:H240" si="10">SUM(C237:C239)</f>
        <v>0</v>
      </c>
      <c r="D240" s="791">
        <f t="shared" si="10"/>
        <v>0</v>
      </c>
      <c r="E240" s="791">
        <f t="shared" si="10"/>
        <v>0</v>
      </c>
      <c r="F240" s="791">
        <f t="shared" si="10"/>
        <v>0</v>
      </c>
      <c r="G240" s="791">
        <f t="shared" si="10"/>
        <v>0</v>
      </c>
      <c r="H240" s="791">
        <f t="shared" si="10"/>
        <v>9000000</v>
      </c>
    </row>
    <row r="241" spans="1:8" x14ac:dyDescent="0.25">
      <c r="A241" s="792"/>
      <c r="B241" s="793"/>
      <c r="C241" s="793"/>
      <c r="D241" s="793"/>
      <c r="E241" s="793"/>
      <c r="F241" s="793"/>
      <c r="G241" s="792"/>
      <c r="H241" s="793"/>
    </row>
    <row r="242" spans="1:8" ht="39.6" x14ac:dyDescent="0.25">
      <c r="A242" s="782" t="s">
        <v>24</v>
      </c>
      <c r="B242" s="796" t="s">
        <v>49</v>
      </c>
      <c r="C242" s="796" t="s">
        <v>373</v>
      </c>
      <c r="D242" s="785" t="s">
        <v>374</v>
      </c>
      <c r="E242" s="785" t="s">
        <v>48</v>
      </c>
      <c r="F242" s="784" t="s">
        <v>18</v>
      </c>
      <c r="G242" s="785" t="s">
        <v>20</v>
      </c>
      <c r="H242" s="784" t="s">
        <v>511</v>
      </c>
    </row>
    <row r="243" spans="1:8" x14ac:dyDescent="0.25">
      <c r="A243" s="786" t="s">
        <v>34</v>
      </c>
      <c r="B243" s="787">
        <v>339106</v>
      </c>
      <c r="C243" s="787"/>
      <c r="D243" s="787"/>
      <c r="E243" s="787">
        <v>214172</v>
      </c>
      <c r="F243" s="787"/>
      <c r="G243" s="788"/>
      <c r="H243" s="787">
        <f>SUM(B243:E243)</f>
        <v>553278</v>
      </c>
    </row>
    <row r="244" spans="1:8" ht="26.4" x14ac:dyDescent="0.25">
      <c r="A244" s="786" t="s">
        <v>26</v>
      </c>
      <c r="B244" s="787">
        <v>74603</v>
      </c>
      <c r="C244" s="787"/>
      <c r="D244" s="787"/>
      <c r="E244" s="787">
        <v>47118</v>
      </c>
      <c r="F244" s="787"/>
      <c r="G244" s="788"/>
      <c r="H244" s="787">
        <f>SUM(B244:E244)</f>
        <v>121721</v>
      </c>
    </row>
    <row r="245" spans="1:8" x14ac:dyDescent="0.25">
      <c r="A245" s="786" t="s">
        <v>28</v>
      </c>
      <c r="B245" s="787">
        <v>0</v>
      </c>
      <c r="C245" s="787">
        <v>1440000</v>
      </c>
      <c r="D245" s="787">
        <v>2610001</v>
      </c>
      <c r="E245" s="787">
        <v>2115000</v>
      </c>
      <c r="F245" s="787"/>
      <c r="G245" s="788"/>
      <c r="H245" s="787">
        <f>SUM(C245:E245)</f>
        <v>6165001</v>
      </c>
    </row>
    <row r="246" spans="1:8" x14ac:dyDescent="0.25">
      <c r="A246" s="786" t="s">
        <v>29</v>
      </c>
      <c r="B246" s="787"/>
      <c r="C246" s="787"/>
      <c r="D246" s="787"/>
      <c r="E246" s="787"/>
      <c r="F246" s="787"/>
      <c r="G246" s="788"/>
      <c r="H246" s="787">
        <f>SUM(C246:E246)</f>
        <v>0</v>
      </c>
    </row>
    <row r="247" spans="1:8" x14ac:dyDescent="0.25">
      <c r="A247" s="786" t="s">
        <v>30</v>
      </c>
      <c r="B247" s="787">
        <v>0</v>
      </c>
      <c r="C247" s="787">
        <v>1080000</v>
      </c>
      <c r="D247" s="787">
        <v>0</v>
      </c>
      <c r="E247" s="787">
        <v>1080000</v>
      </c>
      <c r="F247" s="787"/>
      <c r="G247" s="788"/>
      <c r="H247" s="787">
        <f>SUM(C247:E247)</f>
        <v>2160000</v>
      </c>
    </row>
    <row r="248" spans="1:8" ht="26.4" x14ac:dyDescent="0.25">
      <c r="A248" s="786" t="s">
        <v>31</v>
      </c>
      <c r="B248" s="787"/>
      <c r="C248" s="787"/>
      <c r="D248" s="787"/>
      <c r="E248" s="787"/>
      <c r="F248" s="787"/>
      <c r="G248" s="788"/>
      <c r="H248" s="787"/>
    </row>
    <row r="249" spans="1:8" x14ac:dyDescent="0.25">
      <c r="A249" s="790" t="s">
        <v>511</v>
      </c>
      <c r="B249" s="791">
        <f>SUM(B243:B248)</f>
        <v>413709</v>
      </c>
      <c r="C249" s="791">
        <f t="shared" ref="C249:H249" si="11">SUM(C243:C248)</f>
        <v>2520000</v>
      </c>
      <c r="D249" s="791">
        <f t="shared" si="11"/>
        <v>2610001</v>
      </c>
      <c r="E249" s="791">
        <f t="shared" si="11"/>
        <v>3456290</v>
      </c>
      <c r="F249" s="791">
        <f t="shared" si="11"/>
        <v>0</v>
      </c>
      <c r="G249" s="791">
        <f t="shared" si="11"/>
        <v>0</v>
      </c>
      <c r="H249" s="791">
        <f t="shared" si="11"/>
        <v>9000000</v>
      </c>
    </row>
    <row r="251" spans="1:8" x14ac:dyDescent="0.25">
      <c r="A251" s="772"/>
      <c r="B251" s="773" t="s">
        <v>383</v>
      </c>
      <c r="C251" s="773"/>
      <c r="D251" s="774"/>
      <c r="E251" s="774"/>
      <c r="F251" s="775"/>
      <c r="G251" s="776"/>
      <c r="H251" s="775"/>
    </row>
    <row r="252" spans="1:8" ht="26.4" x14ac:dyDescent="0.25">
      <c r="A252" s="777" t="s">
        <v>14</v>
      </c>
      <c r="B252" s="1765" t="s">
        <v>384</v>
      </c>
      <c r="C252" s="1765"/>
      <c r="D252" s="1765"/>
      <c r="E252" s="1765"/>
      <c r="F252" s="1765"/>
      <c r="G252" s="1765"/>
      <c r="H252" s="1765"/>
    </row>
    <row r="253" spans="1:8" x14ac:dyDescent="0.25">
      <c r="A253" s="778"/>
      <c r="B253" s="779"/>
      <c r="C253" s="779"/>
      <c r="D253" s="838"/>
      <c r="E253" s="838"/>
      <c r="F253" s="838"/>
      <c r="G253" s="839"/>
      <c r="H253" s="838"/>
    </row>
    <row r="254" spans="1:8" x14ac:dyDescent="0.25">
      <c r="A254" s="778"/>
      <c r="B254" s="779"/>
      <c r="C254" s="779"/>
      <c r="D254" s="780"/>
      <c r="E254" s="780"/>
      <c r="F254" s="780"/>
      <c r="G254" s="781"/>
      <c r="H254" s="780"/>
    </row>
    <row r="255" spans="1:8" ht="26.4" x14ac:dyDescent="0.25">
      <c r="A255" s="782" t="s">
        <v>16</v>
      </c>
      <c r="B255" s="796" t="s">
        <v>47</v>
      </c>
      <c r="C255" s="796"/>
      <c r="D255" s="785"/>
      <c r="E255" s="785" t="s">
        <v>48</v>
      </c>
      <c r="F255" s="784" t="s">
        <v>18</v>
      </c>
      <c r="G255" s="785" t="s">
        <v>20</v>
      </c>
      <c r="H255" s="784" t="s">
        <v>511</v>
      </c>
    </row>
    <row r="256" spans="1:8" x14ac:dyDescent="0.25">
      <c r="A256" s="786" t="s">
        <v>21</v>
      </c>
      <c r="B256" s="787">
        <v>76775000</v>
      </c>
      <c r="C256" s="787"/>
      <c r="D256" s="787"/>
      <c r="E256" s="787"/>
      <c r="F256" s="787"/>
      <c r="G256" s="788"/>
      <c r="H256" s="787">
        <f>SUM(B256:G256)</f>
        <v>76775000</v>
      </c>
    </row>
    <row r="257" spans="1:8" x14ac:dyDescent="0.25">
      <c r="A257" s="786" t="s">
        <v>22</v>
      </c>
      <c r="B257" s="787"/>
      <c r="C257" s="787"/>
      <c r="D257" s="787"/>
      <c r="E257" s="787"/>
      <c r="F257" s="787"/>
      <c r="G257" s="788"/>
      <c r="H257" s="787">
        <v>0</v>
      </c>
    </row>
    <row r="258" spans="1:8" x14ac:dyDescent="0.25">
      <c r="A258" s="786" t="s">
        <v>23</v>
      </c>
      <c r="B258" s="787">
        <v>0</v>
      </c>
      <c r="C258" s="787"/>
      <c r="D258" s="787"/>
      <c r="E258" s="787"/>
      <c r="F258" s="787"/>
      <c r="G258" s="788"/>
      <c r="H258" s="787">
        <v>0</v>
      </c>
    </row>
    <row r="259" spans="1:8" x14ac:dyDescent="0.25">
      <c r="A259" s="790" t="s">
        <v>511</v>
      </c>
      <c r="B259" s="791">
        <f>SUM(B256:B258)</f>
        <v>76775000</v>
      </c>
      <c r="C259" s="791">
        <f t="shared" ref="C259:H259" si="12">SUM(C256:C258)</f>
        <v>0</v>
      </c>
      <c r="D259" s="791">
        <f t="shared" si="12"/>
        <v>0</v>
      </c>
      <c r="E259" s="791">
        <f t="shared" si="12"/>
        <v>0</v>
      </c>
      <c r="F259" s="791">
        <f t="shared" si="12"/>
        <v>0</v>
      </c>
      <c r="G259" s="791">
        <f t="shared" si="12"/>
        <v>0</v>
      </c>
      <c r="H259" s="791">
        <f t="shared" si="12"/>
        <v>76775000</v>
      </c>
    </row>
    <row r="260" spans="1:8" x14ac:dyDescent="0.25">
      <c r="A260" s="792"/>
      <c r="B260" s="793"/>
      <c r="C260" s="793"/>
      <c r="D260" s="793"/>
      <c r="E260" s="793"/>
      <c r="F260" s="793"/>
      <c r="G260" s="792"/>
      <c r="H260" s="793"/>
    </row>
    <row r="261" spans="1:8" ht="39.6" x14ac:dyDescent="0.25">
      <c r="A261" s="782" t="s">
        <v>24</v>
      </c>
      <c r="B261" s="796" t="s">
        <v>49</v>
      </c>
      <c r="C261" s="796" t="s">
        <v>373</v>
      </c>
      <c r="D261" s="785" t="s">
        <v>374</v>
      </c>
      <c r="E261" s="785" t="s">
        <v>48</v>
      </c>
      <c r="F261" s="784" t="s">
        <v>18</v>
      </c>
      <c r="G261" s="785" t="s">
        <v>20</v>
      </c>
      <c r="H261" s="784" t="s">
        <v>511</v>
      </c>
    </row>
    <row r="262" spans="1:8" x14ac:dyDescent="0.25">
      <c r="A262" s="786" t="s">
        <v>34</v>
      </c>
      <c r="B262" s="787">
        <v>3732108</v>
      </c>
      <c r="C262" s="787"/>
      <c r="D262" s="787"/>
      <c r="E262" s="787">
        <v>6397900</v>
      </c>
      <c r="F262" s="787">
        <v>6397900</v>
      </c>
      <c r="G262" s="788">
        <v>2665792</v>
      </c>
      <c r="H262" s="787">
        <f>SUM(B262:G262)</f>
        <v>19193700</v>
      </c>
    </row>
    <row r="263" spans="1:8" ht="26.4" x14ac:dyDescent="0.25">
      <c r="A263" s="786" t="s">
        <v>26</v>
      </c>
      <c r="B263" s="787">
        <v>1007669</v>
      </c>
      <c r="C263" s="787"/>
      <c r="D263" s="787"/>
      <c r="E263" s="787">
        <v>1727433</v>
      </c>
      <c r="F263" s="787">
        <v>1727433</v>
      </c>
      <c r="G263" s="787">
        <v>719764</v>
      </c>
      <c r="H263" s="787">
        <f>SUM(B263:G263)</f>
        <v>5182299</v>
      </c>
    </row>
    <row r="264" spans="1:8" x14ac:dyDescent="0.25">
      <c r="A264" s="786" t="s">
        <v>28</v>
      </c>
      <c r="B264" s="787">
        <v>22595500</v>
      </c>
      <c r="C264" s="787">
        <v>924265</v>
      </c>
      <c r="D264" s="787">
        <v>1380235</v>
      </c>
      <c r="E264" s="787">
        <v>15450000</v>
      </c>
      <c r="F264" s="787">
        <v>10941001</v>
      </c>
      <c r="G264" s="788">
        <v>1108000</v>
      </c>
      <c r="H264" s="787">
        <f>SUM(B264:G264)</f>
        <v>52399001</v>
      </c>
    </row>
    <row r="265" spans="1:8" x14ac:dyDescent="0.25">
      <c r="A265" s="786" t="s">
        <v>29</v>
      </c>
      <c r="B265" s="787"/>
      <c r="C265" s="787"/>
      <c r="D265" s="787"/>
      <c r="E265" s="787"/>
      <c r="F265" s="787"/>
      <c r="G265" s="788"/>
      <c r="H265" s="787"/>
    </row>
    <row r="266" spans="1:8" x14ac:dyDescent="0.25">
      <c r="A266" s="786" t="s">
        <v>30</v>
      </c>
      <c r="B266" s="787"/>
      <c r="C266" s="787"/>
      <c r="D266" s="787"/>
      <c r="E266" s="787"/>
      <c r="F266" s="787"/>
      <c r="G266" s="788"/>
      <c r="H266" s="787"/>
    </row>
    <row r="267" spans="1:8" ht="26.4" x14ac:dyDescent="0.25">
      <c r="A267" s="786" t="s">
        <v>31</v>
      </c>
      <c r="B267" s="787"/>
      <c r="C267" s="787"/>
      <c r="D267" s="787"/>
      <c r="E267" s="787"/>
      <c r="F267" s="787"/>
      <c r="G267" s="788"/>
      <c r="H267" s="787"/>
    </row>
    <row r="268" spans="1:8" x14ac:dyDescent="0.25">
      <c r="A268" s="790" t="s">
        <v>511</v>
      </c>
      <c r="B268" s="791">
        <f>SUM(B262:B267)</f>
        <v>27335277</v>
      </c>
      <c r="C268" s="791">
        <f t="shared" ref="C268:H268" si="13">SUM(C262:C267)</f>
        <v>924265</v>
      </c>
      <c r="D268" s="791">
        <f t="shared" si="13"/>
        <v>1380235</v>
      </c>
      <c r="E268" s="791">
        <f t="shared" si="13"/>
        <v>23575333</v>
      </c>
      <c r="F268" s="791">
        <f t="shared" si="13"/>
        <v>19066334</v>
      </c>
      <c r="G268" s="791">
        <f t="shared" si="13"/>
        <v>4493556</v>
      </c>
      <c r="H268" s="791">
        <f t="shared" si="13"/>
        <v>76775000</v>
      </c>
    </row>
    <row r="271" spans="1:8" x14ac:dyDescent="0.25">
      <c r="A271" s="772"/>
      <c r="B271" s="1764" t="s">
        <v>980</v>
      </c>
      <c r="C271" s="1764"/>
      <c r="D271" s="1764"/>
      <c r="E271" s="1764"/>
      <c r="F271" s="1764"/>
    </row>
    <row r="272" spans="1:8" ht="26.4" x14ac:dyDescent="0.25">
      <c r="A272" s="777" t="s">
        <v>14</v>
      </c>
      <c r="B272" s="1765" t="s">
        <v>981</v>
      </c>
      <c r="C272" s="1765"/>
      <c r="D272" s="1765"/>
      <c r="E272" s="1765"/>
      <c r="F272" s="1765"/>
    </row>
    <row r="273" spans="1:6" x14ac:dyDescent="0.25">
      <c r="A273" s="778"/>
      <c r="B273" s="779"/>
      <c r="C273" s="838"/>
      <c r="D273" s="838"/>
      <c r="E273" s="839"/>
      <c r="F273" s="838"/>
    </row>
    <row r="274" spans="1:6" x14ac:dyDescent="0.25">
      <c r="A274" s="778"/>
      <c r="B274" s="779"/>
      <c r="C274" s="780"/>
      <c r="D274" s="780"/>
      <c r="E274" s="781"/>
      <c r="F274" s="780"/>
    </row>
    <row r="275" spans="1:6" ht="26.4" x14ac:dyDescent="0.25">
      <c r="A275" s="782" t="s">
        <v>16</v>
      </c>
      <c r="B275" s="783" t="s">
        <v>17</v>
      </c>
      <c r="C275" s="784" t="s">
        <v>18</v>
      </c>
      <c r="D275" s="784" t="s">
        <v>19</v>
      </c>
      <c r="E275" s="785" t="s">
        <v>20</v>
      </c>
      <c r="F275" s="784" t="s">
        <v>511</v>
      </c>
    </row>
    <row r="276" spans="1:6" x14ac:dyDescent="0.25">
      <c r="A276" s="786" t="s">
        <v>21</v>
      </c>
      <c r="B276" s="787">
        <v>247456250</v>
      </c>
      <c r="C276" s="787">
        <v>629529250</v>
      </c>
      <c r="D276" s="787"/>
      <c r="E276" s="788"/>
      <c r="F276" s="787">
        <f>SUM(B276:E276)</f>
        <v>876985500</v>
      </c>
    </row>
    <row r="277" spans="1:6" x14ac:dyDescent="0.25">
      <c r="A277" s="786" t="s">
        <v>22</v>
      </c>
      <c r="B277" s="787"/>
      <c r="C277" s="787"/>
      <c r="D277" s="787"/>
      <c r="E277" s="788"/>
      <c r="F277" s="787">
        <f>SUM(B277:E277)</f>
        <v>0</v>
      </c>
    </row>
    <row r="278" spans="1:6" x14ac:dyDescent="0.25">
      <c r="A278" s="786" t="s">
        <v>23</v>
      </c>
      <c r="B278" s="787">
        <v>44038750</v>
      </c>
      <c r="C278" s="787">
        <v>44038750</v>
      </c>
      <c r="D278" s="787"/>
      <c r="E278" s="788"/>
      <c r="F278" s="787">
        <f>SUM(B278:E278)</f>
        <v>88077500</v>
      </c>
    </row>
    <row r="279" spans="1:6" ht="26.4" x14ac:dyDescent="0.25">
      <c r="A279" s="801" t="s">
        <v>419</v>
      </c>
      <c r="B279" s="787"/>
      <c r="C279" s="787">
        <v>11552625</v>
      </c>
      <c r="D279" s="787">
        <v>0</v>
      </c>
      <c r="E279" s="788"/>
      <c r="F279" s="787">
        <f>SUM(B279:E279)</f>
        <v>11552625</v>
      </c>
    </row>
    <row r="280" spans="1:6" x14ac:dyDescent="0.25">
      <c r="A280" s="790" t="s">
        <v>511</v>
      </c>
      <c r="B280" s="791">
        <f>SUM(B276:B279)</f>
        <v>291495000</v>
      </c>
      <c r="C280" s="791">
        <f>SUM(C276:C279)</f>
        <v>685120625</v>
      </c>
      <c r="D280" s="791">
        <f>SUM(D276:D279)</f>
        <v>0</v>
      </c>
      <c r="E280" s="791">
        <f>SUM(E276:E279)</f>
        <v>0</v>
      </c>
      <c r="F280" s="791">
        <f>SUM(F276:F279)</f>
        <v>976615625</v>
      </c>
    </row>
    <row r="281" spans="1:6" x14ac:dyDescent="0.25">
      <c r="A281" s="792"/>
      <c r="B281" s="793"/>
      <c r="C281" s="793"/>
      <c r="D281" s="793"/>
      <c r="E281" s="792"/>
      <c r="F281" s="793"/>
    </row>
    <row r="282" spans="1:6" ht="26.4" x14ac:dyDescent="0.25">
      <c r="A282" s="782" t="s">
        <v>24</v>
      </c>
      <c r="B282" s="783" t="s">
        <v>17</v>
      </c>
      <c r="C282" s="784" t="s">
        <v>18</v>
      </c>
      <c r="D282" s="784" t="s">
        <v>19</v>
      </c>
      <c r="E282" s="785" t="s">
        <v>20</v>
      </c>
      <c r="F282" s="784" t="s">
        <v>511</v>
      </c>
    </row>
    <row r="283" spans="1:6" x14ac:dyDescent="0.25">
      <c r="A283" s="786" t="s">
        <v>34</v>
      </c>
      <c r="B283" s="787"/>
      <c r="C283" s="787"/>
      <c r="D283" s="787"/>
      <c r="E283" s="788"/>
      <c r="F283" s="787"/>
    </row>
    <row r="284" spans="1:6" ht="26.4" x14ac:dyDescent="0.25">
      <c r="A284" s="786" t="s">
        <v>26</v>
      </c>
      <c r="B284" s="787"/>
      <c r="C284" s="787"/>
      <c r="D284" s="787"/>
      <c r="E284" s="788"/>
      <c r="F284" s="787"/>
    </row>
    <row r="285" spans="1:6" x14ac:dyDescent="0.25">
      <c r="A285" s="786" t="s">
        <v>28</v>
      </c>
      <c r="B285" s="787">
        <v>13970000</v>
      </c>
      <c r="C285" s="787">
        <v>36385500</v>
      </c>
      <c r="D285" s="787">
        <v>0</v>
      </c>
      <c r="E285" s="788"/>
      <c r="F285" s="787">
        <f>SUM(B285:E285)</f>
        <v>50355500</v>
      </c>
    </row>
    <row r="286" spans="1:6" x14ac:dyDescent="0.25">
      <c r="A286" s="786" t="s">
        <v>29</v>
      </c>
      <c r="B286" s="787"/>
      <c r="C286" s="787"/>
      <c r="D286" s="787"/>
      <c r="E286" s="788"/>
      <c r="F286" s="787">
        <f>SUM(B286:E286)</f>
        <v>0</v>
      </c>
    </row>
    <row r="287" spans="1:6" x14ac:dyDescent="0.25">
      <c r="A287" s="786" t="s">
        <v>30</v>
      </c>
      <c r="B287" s="787">
        <v>277525000</v>
      </c>
      <c r="C287" s="787">
        <v>637182500</v>
      </c>
      <c r="D287" s="787">
        <v>0</v>
      </c>
      <c r="E287" s="788"/>
      <c r="F287" s="787">
        <f>SUM(B287:E287)</f>
        <v>914707500</v>
      </c>
    </row>
    <row r="288" spans="1:6" ht="26.4" x14ac:dyDescent="0.25">
      <c r="A288" s="801" t="s">
        <v>419</v>
      </c>
      <c r="B288" s="787"/>
      <c r="C288" s="787">
        <v>11552625</v>
      </c>
      <c r="D288" s="787">
        <v>0</v>
      </c>
      <c r="E288" s="788"/>
      <c r="F288" s="787">
        <f>SUM(B288:E288)</f>
        <v>11552625</v>
      </c>
    </row>
    <row r="289" spans="1:6" x14ac:dyDescent="0.25">
      <c r="A289" s="790" t="s">
        <v>511</v>
      </c>
      <c r="B289" s="791">
        <f>SUM(B283:B288)</f>
        <v>291495000</v>
      </c>
      <c r="C289" s="791">
        <f>SUM(C283:C288)</f>
        <v>685120625</v>
      </c>
      <c r="D289" s="791">
        <f>SUM(D283:D288)</f>
        <v>0</v>
      </c>
      <c r="E289" s="791">
        <f>SUM(E283:E288)</f>
        <v>0</v>
      </c>
      <c r="F289" s="791">
        <f>SUM(F283:F288)</f>
        <v>976615625</v>
      </c>
    </row>
  </sheetData>
  <mergeCells count="16">
    <mergeCell ref="B271:F271"/>
    <mergeCell ref="B272:F272"/>
    <mergeCell ref="A2:H2"/>
    <mergeCell ref="B252:H252"/>
    <mergeCell ref="B131:F131"/>
    <mergeCell ref="B151:H151"/>
    <mergeCell ref="B171:H171"/>
    <mergeCell ref="B192:H192"/>
    <mergeCell ref="B213:H213"/>
    <mergeCell ref="B233:H233"/>
    <mergeCell ref="B109:F109"/>
    <mergeCell ref="B5:F5"/>
    <mergeCell ref="B26:F26"/>
    <mergeCell ref="B47:F47"/>
    <mergeCell ref="B67:F67"/>
    <mergeCell ref="B88:F88"/>
  </mergeCells>
  <phoneticPr fontId="27" type="noConversion"/>
  <pageMargins left="0" right="0" top="0.85416666666666663" bottom="0.74803149606299213" header="0.31496062992125984" footer="0.31496062992125984"/>
  <pageSetup paperSize="9" scale="98" orientation="portrait" r:id="rId1"/>
  <headerFooter>
    <oddHeader xml:space="preserve">&amp;C
13. melléklet 
az önkormányzat 2018. évi költségvetéséről szóló 11/2018. (III.01.) önkormányzati rendelethez
&amp;R&amp;P. oldal
</oddHeader>
  </headerFooter>
  <rowBreaks count="6" manualBreakCount="6">
    <brk id="45" max="16383" man="1"/>
    <brk id="86" max="16383" man="1"/>
    <brk id="128" max="16383" man="1"/>
    <brk id="169" max="16383" man="1"/>
    <brk id="210" max="16383" man="1"/>
    <brk id="250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G25"/>
  <sheetViews>
    <sheetView view="pageLayout" zoomScaleNormal="100" zoomScaleSheetLayoutView="68" workbookViewId="0">
      <selection activeCell="C40" sqref="C40"/>
    </sheetView>
  </sheetViews>
  <sheetFormatPr defaultColWidth="9.109375" defaultRowHeight="13.2" x14ac:dyDescent="0.25"/>
  <cols>
    <col min="1" max="1" width="60.88671875" style="1532" customWidth="1"/>
    <col min="2" max="2" width="13.33203125" style="1530" customWidth="1"/>
    <col min="3" max="3" width="16.5546875" style="1530" customWidth="1"/>
    <col min="4" max="4" width="14.6640625" style="1530" customWidth="1"/>
    <col min="5" max="6" width="14.44140625" style="1530" customWidth="1"/>
    <col min="7" max="7" width="18" style="1530" customWidth="1"/>
    <col min="8" max="16384" width="9.109375" style="1530"/>
  </cols>
  <sheetData>
    <row r="4" spans="1:7" ht="51.75" customHeight="1" x14ac:dyDescent="0.3">
      <c r="A4" s="1771" t="s">
        <v>1191</v>
      </c>
      <c r="B4" s="1771"/>
      <c r="C4" s="1771"/>
      <c r="D4" s="1771"/>
      <c r="E4" s="1771"/>
      <c r="F4" s="1771"/>
      <c r="G4" s="1771"/>
    </row>
    <row r="5" spans="1:7" ht="27.75" customHeight="1" x14ac:dyDescent="0.25">
      <c r="A5" s="1531"/>
      <c r="B5" s="1532"/>
      <c r="C5" s="1532"/>
      <c r="D5" s="1532"/>
      <c r="E5" s="1532"/>
      <c r="F5" s="1532"/>
    </row>
    <row r="6" spans="1:7" ht="13.8" thickBot="1" x14ac:dyDescent="0.3"/>
    <row r="7" spans="1:7" ht="25.5" customHeight="1" thickBot="1" x14ac:dyDescent="0.3">
      <c r="A7" s="1533" t="s">
        <v>1192</v>
      </c>
      <c r="B7" s="1534"/>
      <c r="C7" s="1535" t="s">
        <v>1023</v>
      </c>
      <c r="D7" s="1535" t="s">
        <v>1024</v>
      </c>
      <c r="E7" s="1536" t="s">
        <v>1025</v>
      </c>
      <c r="F7" s="1536" t="s">
        <v>1026</v>
      </c>
    </row>
    <row r="8" spans="1:7" ht="20.25" customHeight="1" x14ac:dyDescent="0.25">
      <c r="A8" s="1537" t="s">
        <v>1193</v>
      </c>
      <c r="B8" s="1538"/>
      <c r="C8" s="1539">
        <f>'[5]2.sz.tábla   (2)'!M31+'[5]2.sz.tábla   (2)'!M35+'[5]2.sz.tábla   (2)'!M38</f>
        <v>1671000000</v>
      </c>
      <c r="D8" s="1539">
        <v>1671000000</v>
      </c>
      <c r="E8" s="1539">
        <v>1671000000</v>
      </c>
      <c r="F8" s="1540">
        <v>1671000000</v>
      </c>
    </row>
    <row r="9" spans="1:7" ht="28.5" customHeight="1" x14ac:dyDescent="0.25">
      <c r="A9" s="1541" t="s">
        <v>1194</v>
      </c>
      <c r="B9" s="1542"/>
      <c r="C9" s="1543">
        <f>'[5]2.sz.tábla   (2)'!M60</f>
        <v>509250000</v>
      </c>
      <c r="D9" s="1543"/>
      <c r="E9" s="1543"/>
      <c r="F9" s="1544"/>
    </row>
    <row r="10" spans="1:7" ht="18.75" customHeight="1" x14ac:dyDescent="0.25">
      <c r="A10" s="1541" t="s">
        <v>1195</v>
      </c>
      <c r="B10" s="1542"/>
      <c r="C10" s="1543">
        <f>'[5]2.sz.tábla   (2)'!M50</f>
        <v>14000000</v>
      </c>
      <c r="D10" s="1543">
        <v>14000000</v>
      </c>
      <c r="E10" s="1543">
        <v>14000000</v>
      </c>
      <c r="F10" s="1544">
        <v>14000000</v>
      </c>
    </row>
    <row r="11" spans="1:7" ht="40.5" customHeight="1" x14ac:dyDescent="0.25">
      <c r="A11" s="1541" t="s">
        <v>1196</v>
      </c>
      <c r="B11" s="1542"/>
      <c r="C11" s="1543">
        <f>'[5]2.sz.tábla   (2)'!M61</f>
        <v>0</v>
      </c>
      <c r="D11" s="1543"/>
      <c r="E11" s="1543"/>
      <c r="F11" s="1544"/>
    </row>
    <row r="12" spans="1:7" ht="18.75" customHeight="1" x14ac:dyDescent="0.25">
      <c r="A12" s="1541" t="s">
        <v>1197</v>
      </c>
      <c r="B12" s="1542"/>
      <c r="C12" s="1543">
        <v>4300000</v>
      </c>
      <c r="D12" s="1543">
        <v>4300000</v>
      </c>
      <c r="E12" s="1543">
        <v>4300000</v>
      </c>
      <c r="F12" s="1544">
        <v>4300000</v>
      </c>
    </row>
    <row r="13" spans="1:7" ht="17.25" customHeight="1" x14ac:dyDescent="0.25">
      <c r="A13" s="1541" t="s">
        <v>1198</v>
      </c>
      <c r="B13" s="1542"/>
      <c r="C13" s="1545"/>
      <c r="D13" s="1543"/>
      <c r="E13" s="1543"/>
      <c r="F13" s="1544"/>
    </row>
    <row r="14" spans="1:7" ht="18.75" customHeight="1" x14ac:dyDescent="0.25">
      <c r="A14" s="1541" t="s">
        <v>561</v>
      </c>
      <c r="B14" s="1542"/>
      <c r="C14" s="1543">
        <f>SUM(C8:C13)</f>
        <v>2198550000</v>
      </c>
      <c r="D14" s="1543">
        <f>SUM(D8:D13)</f>
        <v>1689300000</v>
      </c>
      <c r="E14" s="1543">
        <f>SUM(E8:E13)</f>
        <v>1689300000</v>
      </c>
      <c r="F14" s="1544">
        <f>SUM(F8:F13)</f>
        <v>1689300000</v>
      </c>
    </row>
    <row r="15" spans="1:7" s="1550" customFormat="1" ht="27" customHeight="1" thickBot="1" x14ac:dyDescent="0.3">
      <c r="A15" s="1546" t="s">
        <v>1199</v>
      </c>
      <c r="B15" s="1547"/>
      <c r="C15" s="1548">
        <f>C14*0.5</f>
        <v>1099275000</v>
      </c>
      <c r="D15" s="1548">
        <f>D14*0.5</f>
        <v>844650000</v>
      </c>
      <c r="E15" s="1548">
        <f>E14*0.5</f>
        <v>844650000</v>
      </c>
      <c r="F15" s="1549">
        <f>F14*0.5</f>
        <v>844650000</v>
      </c>
    </row>
    <row r="16" spans="1:7" ht="13.8" x14ac:dyDescent="0.25">
      <c r="A16" s="1551"/>
      <c r="B16" s="1552"/>
      <c r="C16" s="1552"/>
      <c r="D16" s="1552"/>
      <c r="E16" s="1552"/>
      <c r="F16" s="1552"/>
    </row>
    <row r="17" spans="1:7" ht="16.5" customHeight="1" x14ac:dyDescent="0.25">
      <c r="G17" s="1553"/>
    </row>
    <row r="18" spans="1:7" ht="15" customHeight="1" thickBot="1" x14ac:dyDescent="0.3"/>
    <row r="19" spans="1:7" ht="33" customHeight="1" thickBot="1" x14ac:dyDescent="0.3">
      <c r="A19" s="1554" t="s">
        <v>1200</v>
      </c>
      <c r="B19" s="1555" t="s">
        <v>1201</v>
      </c>
      <c r="C19" s="1535" t="s">
        <v>1023</v>
      </c>
      <c r="D19" s="1535" t="s">
        <v>1024</v>
      </c>
      <c r="E19" s="1536" t="s">
        <v>1025</v>
      </c>
      <c r="F19" s="1536" t="s">
        <v>1026</v>
      </c>
    </row>
    <row r="20" spans="1:7" ht="13.8" x14ac:dyDescent="0.25">
      <c r="A20" s="1556" t="s">
        <v>1202</v>
      </c>
      <c r="B20" s="1557">
        <v>2014</v>
      </c>
      <c r="C20" s="1558">
        <v>74242424</v>
      </c>
      <c r="D20" s="1558">
        <v>74242424</v>
      </c>
      <c r="E20" s="1558">
        <v>74242424</v>
      </c>
      <c r="F20" s="1559">
        <v>74242424</v>
      </c>
      <c r="G20" s="1553"/>
    </row>
    <row r="21" spans="1:7" ht="13.8" x14ac:dyDescent="0.25">
      <c r="A21" s="1560" t="s">
        <v>1203</v>
      </c>
      <c r="B21" s="1561">
        <v>2014</v>
      </c>
      <c r="C21" s="1562">
        <v>16630097</v>
      </c>
      <c r="D21" s="1562">
        <v>14672984</v>
      </c>
      <c r="E21" s="1562">
        <v>12753405</v>
      </c>
      <c r="F21" s="1563">
        <v>10758758</v>
      </c>
    </row>
    <row r="22" spans="1:7" ht="24" customHeight="1" x14ac:dyDescent="0.25">
      <c r="A22" s="1560" t="s">
        <v>1140</v>
      </c>
      <c r="B22" s="1561" t="s">
        <v>1060</v>
      </c>
      <c r="C22" s="1562">
        <v>128160000</v>
      </c>
      <c r="D22" s="1562">
        <v>0</v>
      </c>
      <c r="E22" s="1562"/>
      <c r="F22" s="1564"/>
    </row>
    <row r="23" spans="1:7" ht="13.8" x14ac:dyDescent="0.25">
      <c r="A23" s="1560" t="s">
        <v>1142</v>
      </c>
      <c r="B23" s="1561" t="s">
        <v>1143</v>
      </c>
      <c r="C23" s="1562">
        <v>16000000</v>
      </c>
      <c r="D23" s="1562">
        <v>16000000</v>
      </c>
      <c r="E23" s="1562">
        <v>10000000</v>
      </c>
      <c r="F23" s="1563">
        <v>8000000</v>
      </c>
    </row>
    <row r="24" spans="1:7" ht="13.8" x14ac:dyDescent="0.25">
      <c r="A24" s="1560" t="s">
        <v>58</v>
      </c>
      <c r="B24" s="1561" t="s">
        <v>1145</v>
      </c>
      <c r="C24" s="1562">
        <v>17057964</v>
      </c>
      <c r="D24" s="1562">
        <v>8294348</v>
      </c>
      <c r="E24" s="1562"/>
      <c r="F24" s="1563"/>
      <c r="G24" s="1553"/>
    </row>
    <row r="25" spans="1:7" ht="14.4" thickBot="1" x14ac:dyDescent="0.3">
      <c r="A25" s="1565" t="s">
        <v>1204</v>
      </c>
      <c r="B25" s="1566"/>
      <c r="C25" s="1567">
        <f>SUM(C20:C24)</f>
        <v>252090485</v>
      </c>
      <c r="D25" s="1567">
        <f>SUM(D20:D24)</f>
        <v>113209756</v>
      </c>
      <c r="E25" s="1567">
        <f>SUM(E20:E24)</f>
        <v>96995829</v>
      </c>
      <c r="F25" s="1568">
        <f>SUM(F20:F24)</f>
        <v>93001182</v>
      </c>
    </row>
  </sheetData>
  <sheetProtection selectLockedCells="1" selectUnlockedCells="1"/>
  <mergeCells count="1">
    <mergeCell ref="A4:G4"/>
  </mergeCells>
  <pageMargins left="0.75" right="0.75" top="1" bottom="1" header="0.5" footer="0.51180555555555551"/>
  <pageSetup paperSize="9" scale="57" firstPageNumber="0" orientation="portrait" horizontalDpi="300" verticalDpi="300" r:id="rId1"/>
  <headerFooter scaleWithDoc="0" alignWithMargins="0">
    <oddHeader xml:space="preserve">&amp;C14. melléklet
az önkormányzat 2018. évi költségvetéséről szóló 11/2018. (III.01.) önkormányzati rendeletéhez &amp;R
&amp;P. oldal
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D22"/>
  <sheetViews>
    <sheetView view="pageLayout" zoomScaleNormal="100" workbookViewId="0">
      <selection activeCell="B27" sqref="B27"/>
    </sheetView>
  </sheetViews>
  <sheetFormatPr defaultColWidth="9.109375" defaultRowHeight="13.2" x14ac:dyDescent="0.25"/>
  <cols>
    <col min="1" max="1" width="65.88671875" style="1569" customWidth="1"/>
    <col min="2" max="2" width="15.44140625" style="1569" customWidth="1"/>
    <col min="3" max="3" width="10.5546875" style="1569" customWidth="1"/>
    <col min="4" max="4" width="12.6640625" style="1569" customWidth="1"/>
    <col min="5" max="16384" width="9.109375" style="1569"/>
  </cols>
  <sheetData>
    <row r="1" spans="1:2" ht="15" x14ac:dyDescent="0.25">
      <c r="A1" s="1772"/>
      <c r="B1" s="1772"/>
    </row>
    <row r="2" spans="1:2" ht="15" x14ac:dyDescent="0.25">
      <c r="A2" s="1570"/>
      <c r="B2" s="1571"/>
    </row>
    <row r="3" spans="1:2" ht="15.6" x14ac:dyDescent="0.3">
      <c r="A3" s="1773" t="s">
        <v>1205</v>
      </c>
      <c r="B3" s="1773"/>
    </row>
    <row r="4" spans="1:2" ht="15" x14ac:dyDescent="0.25">
      <c r="A4" s="1570"/>
      <c r="B4" s="1571"/>
    </row>
    <row r="5" spans="1:2" ht="15" x14ac:dyDescent="0.25">
      <c r="A5" s="1570"/>
      <c r="B5" s="1572"/>
    </row>
    <row r="6" spans="1:2" ht="15.6" x14ac:dyDescent="0.3">
      <c r="A6" s="1573" t="s">
        <v>514</v>
      </c>
      <c r="B6" s="1574" t="s">
        <v>1206</v>
      </c>
    </row>
    <row r="7" spans="1:2" ht="15" x14ac:dyDescent="0.25">
      <c r="A7" s="1575" t="s">
        <v>1207</v>
      </c>
      <c r="B7" s="1576">
        <v>36650000</v>
      </c>
    </row>
    <row r="8" spans="1:2" ht="15" x14ac:dyDescent="0.25">
      <c r="A8" s="1575" t="s">
        <v>1208</v>
      </c>
      <c r="B8" s="1577">
        <v>7600000</v>
      </c>
    </row>
    <row r="9" spans="1:2" ht="15" x14ac:dyDescent="0.25">
      <c r="A9" s="1575" t="s">
        <v>1209</v>
      </c>
      <c r="B9" s="1577">
        <v>5600000</v>
      </c>
    </row>
    <row r="10" spans="1:2" ht="15" x14ac:dyDescent="0.25">
      <c r="A10" s="1575" t="s">
        <v>1210</v>
      </c>
      <c r="B10" s="1577">
        <v>5600000</v>
      </c>
    </row>
    <row r="11" spans="1:2" ht="15.6" x14ac:dyDescent="0.3">
      <c r="A11" s="1578" t="s">
        <v>1211</v>
      </c>
      <c r="B11" s="1579">
        <f>SUM(B7:B10)</f>
        <v>55450000</v>
      </c>
    </row>
    <row r="12" spans="1:2" ht="15.6" x14ac:dyDescent="0.3">
      <c r="A12" s="1578"/>
      <c r="B12" s="1579"/>
    </row>
    <row r="13" spans="1:2" ht="15" x14ac:dyDescent="0.25">
      <c r="A13" s="1575" t="s">
        <v>1212</v>
      </c>
      <c r="B13" s="1576">
        <v>24450000</v>
      </c>
    </row>
    <row r="14" spans="1:2" ht="15" x14ac:dyDescent="0.25">
      <c r="A14" s="1575" t="s">
        <v>1213</v>
      </c>
      <c r="B14" s="1576">
        <v>1000000</v>
      </c>
    </row>
    <row r="15" spans="1:2" ht="15" x14ac:dyDescent="0.25">
      <c r="A15" s="1575" t="s">
        <v>1214</v>
      </c>
      <c r="B15" s="1576">
        <v>5600000</v>
      </c>
    </row>
    <row r="16" spans="1:2" ht="15" x14ac:dyDescent="0.25">
      <c r="A16" s="1575" t="s">
        <v>1215</v>
      </c>
      <c r="B16" s="1577">
        <v>5600000</v>
      </c>
    </row>
    <row r="17" spans="1:4" ht="15" x14ac:dyDescent="0.25">
      <c r="A17" s="1575" t="s">
        <v>1216</v>
      </c>
      <c r="B17" s="1576">
        <v>7600000</v>
      </c>
    </row>
    <row r="18" spans="1:4" ht="15" x14ac:dyDescent="0.25">
      <c r="A18" s="1575" t="s">
        <v>1217</v>
      </c>
      <c r="B18" s="1576">
        <v>5600000</v>
      </c>
    </row>
    <row r="19" spans="1:4" ht="15" x14ac:dyDescent="0.25">
      <c r="A19" s="1575" t="s">
        <v>1218</v>
      </c>
      <c r="B19" s="1576">
        <v>5600000</v>
      </c>
    </row>
    <row r="20" spans="1:4" ht="15.6" x14ac:dyDescent="0.3">
      <c r="A20" s="1578" t="s">
        <v>1219</v>
      </c>
      <c r="B20" s="1579">
        <f>SUM(B13:B19)</f>
        <v>55450000</v>
      </c>
      <c r="D20" s="1569">
        <f>24450+29000</f>
        <v>53450</v>
      </c>
    </row>
    <row r="21" spans="1:4" ht="15" x14ac:dyDescent="0.25">
      <c r="A21" s="1580"/>
      <c r="B21" s="1581"/>
    </row>
    <row r="22" spans="1:4" ht="15.6" x14ac:dyDescent="0.3">
      <c r="A22" s="1578" t="s">
        <v>1220</v>
      </c>
      <c r="B22" s="1579">
        <f>B11-B20</f>
        <v>0</v>
      </c>
    </row>
  </sheetData>
  <sheetProtection selectLockedCells="1" selectUnlockedCells="1"/>
  <mergeCells count="2">
    <mergeCell ref="A1:B1"/>
    <mergeCell ref="A3:B3"/>
  </mergeCells>
  <pageMargins left="0.74791666666666667" right="0.74791666666666667" top="0.98402777777777772" bottom="0.98402777777777772" header="0.5" footer="0.51180555555555551"/>
  <pageSetup paperSize="9" scale="86" firstPageNumber="0" orientation="portrait" horizontalDpi="300" verticalDpi="300" r:id="rId1"/>
  <headerFooter alignWithMargins="0">
    <oddHeader>&amp;C15. mellékelt
az önkormányzat 2018. évi költségvetéséről szóló 11/2018. (III.01.) önkormányzati rendeletéhez &amp;R
&amp;P. oldal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E21"/>
  <sheetViews>
    <sheetView view="pageLayout" topLeftCell="A10" zoomScaleNormal="100" workbookViewId="0">
      <selection activeCell="A24" sqref="A24"/>
    </sheetView>
  </sheetViews>
  <sheetFormatPr defaultColWidth="9.109375" defaultRowHeight="13.2" x14ac:dyDescent="0.25"/>
  <cols>
    <col min="1" max="1" width="65.88671875" style="1569" customWidth="1"/>
    <col min="2" max="2" width="15.44140625" style="1569" customWidth="1"/>
    <col min="3" max="3" width="10.5546875" style="1569" customWidth="1"/>
    <col min="4" max="4" width="12.6640625" style="1569" customWidth="1"/>
    <col min="5" max="16384" width="9.109375" style="1569"/>
  </cols>
  <sheetData>
    <row r="2" spans="1:5" ht="15" x14ac:dyDescent="0.25">
      <c r="A2" s="1570"/>
      <c r="B2" s="1571"/>
    </row>
    <row r="3" spans="1:5" ht="15.6" x14ac:dyDescent="0.3">
      <c r="A3" s="1773" t="s">
        <v>1221</v>
      </c>
      <c r="B3" s="1773"/>
    </row>
    <row r="4" spans="1:5" ht="15" x14ac:dyDescent="0.25">
      <c r="A4" s="1570"/>
      <c r="B4" s="1571"/>
    </row>
    <row r="5" spans="1:5" ht="15" x14ac:dyDescent="0.25">
      <c r="A5" s="1570"/>
      <c r="B5" s="1572"/>
    </row>
    <row r="6" spans="1:5" ht="15.6" x14ac:dyDescent="0.3">
      <c r="A6" s="1573" t="s">
        <v>514</v>
      </c>
      <c r="B6" s="1574" t="s">
        <v>1206</v>
      </c>
    </row>
    <row r="7" spans="1:5" ht="15.6" x14ac:dyDescent="0.3">
      <c r="A7" s="1582" t="s">
        <v>1222</v>
      </c>
      <c r="B7" s="1583">
        <v>5300669</v>
      </c>
    </row>
    <row r="8" spans="1:5" ht="15.6" x14ac:dyDescent="0.3">
      <c r="A8" s="1578" t="s">
        <v>1223</v>
      </c>
      <c r="B8" s="1584"/>
    </row>
    <row r="9" spans="1:5" ht="15" x14ac:dyDescent="0.25">
      <c r="A9" s="1575" t="s">
        <v>1224</v>
      </c>
      <c r="B9" s="1584">
        <v>0</v>
      </c>
    </row>
    <row r="10" spans="1:5" ht="15" x14ac:dyDescent="0.25">
      <c r="A10" s="1575" t="s">
        <v>1225</v>
      </c>
      <c r="B10" s="1584">
        <v>860806</v>
      </c>
    </row>
    <row r="11" spans="1:5" ht="15" x14ac:dyDescent="0.25">
      <c r="A11" s="1575" t="s">
        <v>1226</v>
      </c>
      <c r="B11" s="1584">
        <v>0</v>
      </c>
    </row>
    <row r="12" spans="1:5" ht="15.6" x14ac:dyDescent="0.3">
      <c r="A12" s="1578" t="s">
        <v>1227</v>
      </c>
      <c r="B12" s="1584">
        <f>B7+B9+B10-B11</f>
        <v>6161475</v>
      </c>
    </row>
    <row r="13" spans="1:5" ht="15" x14ac:dyDescent="0.25">
      <c r="A13" s="1575" t="s">
        <v>1228</v>
      </c>
      <c r="B13" s="1584">
        <v>0</v>
      </c>
    </row>
    <row r="14" spans="1:5" ht="15" x14ac:dyDescent="0.25">
      <c r="A14" s="1575" t="s">
        <v>1229</v>
      </c>
      <c r="B14" s="1585">
        <f>707280</f>
        <v>707280</v>
      </c>
      <c r="C14" s="1586"/>
      <c r="D14" s="1587"/>
    </row>
    <row r="15" spans="1:5" ht="15.6" x14ac:dyDescent="0.3">
      <c r="A15" s="1588" t="s">
        <v>1230</v>
      </c>
      <c r="B15" s="1585">
        <f>B12-B13+B14</f>
        <v>6868755</v>
      </c>
      <c r="C15" s="1586"/>
      <c r="D15" s="1587"/>
    </row>
    <row r="16" spans="1:5" ht="15" x14ac:dyDescent="0.25">
      <c r="A16" s="1589" t="s">
        <v>1231</v>
      </c>
      <c r="B16" s="1590"/>
      <c r="C16" s="1774"/>
      <c r="D16" s="1774"/>
      <c r="E16" s="1774"/>
    </row>
    <row r="17" spans="1:4" ht="15" x14ac:dyDescent="0.25">
      <c r="A17" s="1589" t="s">
        <v>1232</v>
      </c>
      <c r="B17" s="1590">
        <v>743732</v>
      </c>
    </row>
    <row r="18" spans="1:4" ht="15.6" x14ac:dyDescent="0.3">
      <c r="A18" s="1588" t="s">
        <v>1233</v>
      </c>
      <c r="B18" s="1591">
        <f>B15-B16+B17</f>
        <v>7612487</v>
      </c>
      <c r="C18" s="1571"/>
      <c r="D18" s="1571"/>
    </row>
    <row r="19" spans="1:4" ht="15.6" x14ac:dyDescent="0.3">
      <c r="A19" s="1589" t="s">
        <v>1234</v>
      </c>
      <c r="B19" s="1592"/>
      <c r="C19" s="1571"/>
      <c r="D19" s="1571"/>
    </row>
    <row r="20" spans="1:4" ht="15" x14ac:dyDescent="0.25">
      <c r="A20" s="1593" t="s">
        <v>1235</v>
      </c>
      <c r="B20" s="1594">
        <v>800000</v>
      </c>
      <c r="C20" s="1571"/>
      <c r="D20" s="1571"/>
    </row>
    <row r="21" spans="1:4" ht="15.6" x14ac:dyDescent="0.3">
      <c r="A21" s="1595" t="s">
        <v>1236</v>
      </c>
      <c r="B21" s="1592">
        <f>B18+B20-B19</f>
        <v>8412487</v>
      </c>
      <c r="C21" s="1571"/>
      <c r="D21" s="1571"/>
    </row>
  </sheetData>
  <sheetProtection selectLockedCells="1" selectUnlockedCells="1"/>
  <mergeCells count="2">
    <mergeCell ref="A3:B3"/>
    <mergeCell ref="C16:E16"/>
  </mergeCells>
  <pageMargins left="0.74791666666666667" right="0.74791666666666667" top="0.98402777777777772" bottom="0.98402777777777772" header="0.5" footer="0.51180555555555551"/>
  <pageSetup paperSize="9" scale="86" firstPageNumber="0" orientation="portrait" horizontalDpi="300" verticalDpi="300" r:id="rId1"/>
  <headerFooter alignWithMargins="0">
    <oddHeader>&amp;C16. mellékelt
az önkormányzat 2018. évi költségvetéséről szóló 11/2018. (III.01.) önkormányzati rendeletéhez &amp;R
&amp;P. oldal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  <pageSetUpPr fitToPage="1"/>
  </sheetPr>
  <dimension ref="A1:O56"/>
  <sheetViews>
    <sheetView view="pageLayout" topLeftCell="E1" zoomScale="91" zoomScaleNormal="100" zoomScaleSheetLayoutView="89" zoomScalePageLayoutView="91" workbookViewId="0">
      <selection activeCell="L19" sqref="L19"/>
    </sheetView>
  </sheetViews>
  <sheetFormatPr defaultColWidth="9.109375" defaultRowHeight="13.2" x14ac:dyDescent="0.25"/>
  <cols>
    <col min="1" max="1" width="51" style="551" customWidth="1"/>
    <col min="2" max="2" width="16.33203125" style="520" customWidth="1"/>
    <col min="3" max="3" width="15.88671875" style="520" customWidth="1"/>
    <col min="4" max="4" width="16" style="520" customWidth="1"/>
    <col min="5" max="5" width="15.6640625" style="520" customWidth="1"/>
    <col min="6" max="6" width="16.88671875" style="520" bestFit="1" customWidth="1"/>
    <col min="7" max="9" width="16.109375" style="520" bestFit="1" customWidth="1"/>
    <col min="10" max="10" width="16.109375" style="520" customWidth="1"/>
    <col min="11" max="13" width="16" style="520" bestFit="1" customWidth="1"/>
    <col min="14" max="14" width="16.5546875" style="520" customWidth="1"/>
    <col min="15" max="15" width="14.88671875" style="520" customWidth="1"/>
    <col min="16" max="16384" width="9.109375" style="520"/>
  </cols>
  <sheetData>
    <row r="1" spans="1:15" ht="15" x14ac:dyDescent="0.25">
      <c r="A1" s="518"/>
      <c r="B1" s="519"/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</row>
    <row r="2" spans="1:15" ht="15" x14ac:dyDescent="0.25">
      <c r="A2" s="521"/>
      <c r="B2" s="519"/>
      <c r="C2" s="519"/>
      <c r="D2" s="519"/>
      <c r="E2" s="519"/>
      <c r="F2" s="519"/>
      <c r="G2" s="519"/>
      <c r="H2" s="519"/>
      <c r="I2" s="519"/>
      <c r="J2" s="519"/>
      <c r="K2" s="519"/>
      <c r="L2" s="519"/>
      <c r="M2" s="1775"/>
      <c r="N2" s="1775"/>
    </row>
    <row r="3" spans="1:15" ht="15.75" customHeight="1" x14ac:dyDescent="0.3">
      <c r="A3" s="1776" t="s">
        <v>192</v>
      </c>
      <c r="B3" s="1776"/>
      <c r="C3" s="1776"/>
      <c r="D3" s="1776"/>
      <c r="E3" s="1776"/>
      <c r="F3" s="1776"/>
      <c r="G3" s="1776"/>
      <c r="H3" s="1776"/>
      <c r="I3" s="1776"/>
      <c r="J3" s="1776"/>
      <c r="K3" s="1776"/>
      <c r="L3" s="1776"/>
      <c r="M3" s="1776"/>
      <c r="N3" s="1776"/>
      <c r="O3" s="1776"/>
    </row>
    <row r="4" spans="1:15" ht="15" x14ac:dyDescent="0.25">
      <c r="A4" s="518"/>
      <c r="B4" s="519"/>
      <c r="C4" s="519"/>
      <c r="D4" s="519"/>
      <c r="E4" s="519"/>
      <c r="F4" s="519"/>
      <c r="G4" s="519"/>
      <c r="H4" s="519"/>
      <c r="I4" s="519"/>
      <c r="J4" s="519"/>
      <c r="K4" s="519"/>
      <c r="L4" s="519"/>
      <c r="M4" s="519"/>
      <c r="N4" s="522"/>
    </row>
    <row r="5" spans="1:15" ht="15" x14ac:dyDescent="0.25">
      <c r="A5" s="523" t="s">
        <v>514</v>
      </c>
      <c r="B5" s="523" t="s">
        <v>141</v>
      </c>
      <c r="C5" s="523" t="s">
        <v>142</v>
      </c>
      <c r="D5" s="523" t="s">
        <v>143</v>
      </c>
      <c r="E5" s="523" t="s">
        <v>144</v>
      </c>
      <c r="F5" s="523" t="s">
        <v>145</v>
      </c>
      <c r="G5" s="523" t="s">
        <v>146</v>
      </c>
      <c r="H5" s="523" t="s">
        <v>147</v>
      </c>
      <c r="I5" s="523" t="s">
        <v>148</v>
      </c>
      <c r="J5" s="523" t="s">
        <v>149</v>
      </c>
      <c r="K5" s="523" t="s">
        <v>150</v>
      </c>
      <c r="L5" s="523" t="s">
        <v>151</v>
      </c>
      <c r="M5" s="523" t="s">
        <v>152</v>
      </c>
      <c r="N5" s="523" t="s">
        <v>511</v>
      </c>
    </row>
    <row r="6" spans="1:15" ht="15.6" x14ac:dyDescent="0.3">
      <c r="A6" s="524" t="s">
        <v>153</v>
      </c>
      <c r="B6" s="525">
        <f>1976932412+36112765+9324480+5019025+2749084</f>
        <v>2030137766</v>
      </c>
      <c r="C6" s="525">
        <f t="shared" ref="C6:M6" si="0">B55</f>
        <v>1157019274</v>
      </c>
      <c r="D6" s="525">
        <f t="shared" si="0"/>
        <v>1117335357</v>
      </c>
      <c r="E6" s="525">
        <f t="shared" si="0"/>
        <v>1989225230</v>
      </c>
      <c r="F6" s="525">
        <f t="shared" si="0"/>
        <v>2440676200</v>
      </c>
      <c r="G6" s="525">
        <f t="shared" si="0"/>
        <v>2693218984</v>
      </c>
      <c r="H6" s="525">
        <f t="shared" si="0"/>
        <v>2483928027</v>
      </c>
      <c r="I6" s="525">
        <f t="shared" si="0"/>
        <v>2794290966</v>
      </c>
      <c r="J6" s="525">
        <f t="shared" si="0"/>
        <v>2734032940</v>
      </c>
      <c r="K6" s="525">
        <f t="shared" si="0"/>
        <v>2879719812</v>
      </c>
      <c r="L6" s="525">
        <f t="shared" si="0"/>
        <v>2631172983</v>
      </c>
      <c r="M6" s="525">
        <f t="shared" si="0"/>
        <v>2255696426</v>
      </c>
      <c r="N6" s="525">
        <f>B6</f>
        <v>2030137766</v>
      </c>
    </row>
    <row r="7" spans="1:15" ht="15.6" x14ac:dyDescent="0.3">
      <c r="A7" s="526" t="s">
        <v>899</v>
      </c>
      <c r="B7" s="527"/>
      <c r="C7" s="527"/>
      <c r="D7" s="527"/>
      <c r="E7" s="527"/>
      <c r="F7" s="527"/>
      <c r="G7" s="527"/>
      <c r="H7" s="527"/>
      <c r="I7" s="527"/>
      <c r="J7" s="527"/>
      <c r="K7" s="527"/>
      <c r="L7" s="527"/>
      <c r="M7" s="527"/>
      <c r="N7" s="527"/>
    </row>
    <row r="8" spans="1:15" ht="15" x14ac:dyDescent="0.25">
      <c r="A8" s="528" t="s">
        <v>154</v>
      </c>
      <c r="B8" s="529">
        <v>112231048</v>
      </c>
      <c r="C8" s="529">
        <v>75597982</v>
      </c>
      <c r="D8" s="529">
        <v>82504039</v>
      </c>
      <c r="E8" s="529">
        <v>100912838</v>
      </c>
      <c r="F8" s="529">
        <v>86192095</v>
      </c>
      <c r="G8" s="529">
        <v>77521024</v>
      </c>
      <c r="H8" s="529">
        <v>90504005</v>
      </c>
      <c r="I8" s="529">
        <v>78217702</v>
      </c>
      <c r="J8" s="529">
        <v>241902412</v>
      </c>
      <c r="K8" s="529">
        <v>77467702</v>
      </c>
      <c r="L8" s="529">
        <v>78217707</v>
      </c>
      <c r="M8" s="529">
        <v>80168763</v>
      </c>
      <c r="N8" s="530">
        <f t="shared" ref="N8:N16" si="1">SUM(B8:M8)</f>
        <v>1181437317</v>
      </c>
      <c r="O8" s="531">
        <f>'2.sz.tábla   (2)'!C7</f>
        <v>1181437317</v>
      </c>
    </row>
    <row r="9" spans="1:15" ht="15" x14ac:dyDescent="0.25">
      <c r="A9" s="532" t="s">
        <v>155</v>
      </c>
      <c r="B9" s="530">
        <v>44540000</v>
      </c>
      <c r="C9" s="530">
        <v>20000000</v>
      </c>
      <c r="D9" s="530">
        <v>468000000</v>
      </c>
      <c r="E9" s="530">
        <v>35600000</v>
      </c>
      <c r="F9" s="530">
        <v>84300000</v>
      </c>
      <c r="G9" s="530">
        <v>50000000</v>
      </c>
      <c r="H9" s="530">
        <v>70000000</v>
      </c>
      <c r="I9" s="530">
        <v>100000000</v>
      </c>
      <c r="J9" s="530">
        <v>610000000</v>
      </c>
      <c r="K9" s="530">
        <v>80000000</v>
      </c>
      <c r="L9" s="530">
        <v>53000000</v>
      </c>
      <c r="M9" s="530">
        <v>139085000</v>
      </c>
      <c r="N9" s="530">
        <f t="shared" si="1"/>
        <v>1754525000</v>
      </c>
      <c r="O9" s="531">
        <f>'2.sz.tábla   (2)'!C30</f>
        <v>1754525000</v>
      </c>
    </row>
    <row r="10" spans="1:15" ht="15" x14ac:dyDescent="0.25">
      <c r="A10" s="532" t="s">
        <v>156</v>
      </c>
      <c r="B10" s="530">
        <v>16870429</v>
      </c>
      <c r="C10" s="530">
        <v>35941319</v>
      </c>
      <c r="D10" s="530">
        <v>37375571</v>
      </c>
      <c r="E10" s="530">
        <v>33818197</v>
      </c>
      <c r="F10" s="530">
        <v>72374295</v>
      </c>
      <c r="G10" s="530">
        <v>48456887</v>
      </c>
      <c r="H10" s="530">
        <v>92957723</v>
      </c>
      <c r="I10" s="530">
        <v>194846176</v>
      </c>
      <c r="J10" s="530">
        <v>156543999</v>
      </c>
      <c r="K10" s="530">
        <v>51061823</v>
      </c>
      <c r="L10" s="530">
        <v>69306449</v>
      </c>
      <c r="M10" s="530">
        <v>242891971</v>
      </c>
      <c r="N10" s="530">
        <f t="shared" si="1"/>
        <v>1052444839</v>
      </c>
      <c r="O10" s="531">
        <f>'2.sz.tábla   (2)'!C43</f>
        <v>1052444839</v>
      </c>
    </row>
    <row r="11" spans="1:15" ht="15" x14ac:dyDescent="0.25">
      <c r="A11" s="517" t="s">
        <v>157</v>
      </c>
      <c r="B11" s="530"/>
      <c r="C11" s="530">
        <v>984312</v>
      </c>
      <c r="D11" s="530"/>
      <c r="E11" s="530">
        <v>594005</v>
      </c>
      <c r="F11" s="530">
        <v>15000000</v>
      </c>
      <c r="G11" s="530"/>
      <c r="H11" s="530"/>
      <c r="I11" s="530"/>
      <c r="J11" s="530"/>
      <c r="K11" s="530"/>
      <c r="L11" s="530"/>
      <c r="M11" s="530"/>
      <c r="N11" s="530">
        <f t="shared" si="1"/>
        <v>16578317</v>
      </c>
      <c r="O11" s="531">
        <f>'2.sz.tábla   (2)'!C66</f>
        <v>16578317</v>
      </c>
    </row>
    <row r="12" spans="1:15" ht="15" customHeight="1" x14ac:dyDescent="0.3">
      <c r="A12" s="533" t="s">
        <v>158</v>
      </c>
      <c r="B12" s="530"/>
      <c r="C12" s="530"/>
      <c r="D12" s="530"/>
      <c r="E12" s="530"/>
      <c r="F12" s="530"/>
      <c r="G12" s="530"/>
      <c r="H12" s="530"/>
      <c r="I12" s="530"/>
      <c r="J12" s="530"/>
      <c r="K12" s="530"/>
      <c r="L12" s="530"/>
      <c r="M12" s="530"/>
      <c r="N12" s="530">
        <f t="shared" si="1"/>
        <v>0</v>
      </c>
    </row>
    <row r="13" spans="1:15" s="516" customFormat="1" ht="15" customHeight="1" x14ac:dyDescent="0.25">
      <c r="A13" s="528" t="s">
        <v>154</v>
      </c>
      <c r="B13" s="530">
        <v>0</v>
      </c>
      <c r="C13" s="530">
        <v>0</v>
      </c>
      <c r="D13" s="534">
        <v>11114474</v>
      </c>
      <c r="E13" s="534">
        <v>1905958</v>
      </c>
      <c r="F13" s="534">
        <v>2089318</v>
      </c>
      <c r="G13" s="534">
        <v>1905958</v>
      </c>
      <c r="H13" s="534">
        <v>1929275</v>
      </c>
      <c r="I13" s="534">
        <v>1905958</v>
      </c>
      <c r="J13" s="534">
        <v>1905958</v>
      </c>
      <c r="K13" s="534">
        <v>1905958</v>
      </c>
      <c r="L13" s="534">
        <v>1905958</v>
      </c>
      <c r="M13" s="534">
        <v>1905958</v>
      </c>
      <c r="N13" s="530">
        <f t="shared" si="1"/>
        <v>28474773</v>
      </c>
      <c r="O13" s="535">
        <f>'2.sz.tábla   (2)'!F7</f>
        <v>28474773</v>
      </c>
    </row>
    <row r="14" spans="1:15" ht="15" customHeight="1" x14ac:dyDescent="0.25">
      <c r="A14" s="532" t="s">
        <v>155</v>
      </c>
      <c r="B14" s="530"/>
      <c r="C14" s="530">
        <v>50000</v>
      </c>
      <c r="D14" s="530"/>
      <c r="E14" s="530">
        <v>100000</v>
      </c>
      <c r="F14" s="530">
        <v>150000</v>
      </c>
      <c r="G14" s="530">
        <v>100000</v>
      </c>
      <c r="H14" s="530">
        <v>100000</v>
      </c>
      <c r="I14" s="530">
        <v>150000</v>
      </c>
      <c r="J14" s="530">
        <v>100000</v>
      </c>
      <c r="K14" s="530">
        <v>100000</v>
      </c>
      <c r="L14" s="530">
        <v>150000</v>
      </c>
      <c r="M14" s="530"/>
      <c r="N14" s="530">
        <f t="shared" si="1"/>
        <v>1000000</v>
      </c>
      <c r="O14" s="531">
        <f>'2.sz.tábla   (2)'!F30</f>
        <v>1000000</v>
      </c>
    </row>
    <row r="15" spans="1:15" ht="15" customHeight="1" x14ac:dyDescent="0.25">
      <c r="A15" s="532" t="s">
        <v>156</v>
      </c>
      <c r="B15" s="530">
        <v>1563370</v>
      </c>
      <c r="C15" s="530">
        <v>1531620</v>
      </c>
      <c r="D15" s="530">
        <v>2102947</v>
      </c>
      <c r="E15" s="530">
        <v>2584450</v>
      </c>
      <c r="F15" s="530">
        <v>4198620</v>
      </c>
      <c r="G15" s="530">
        <v>2954020</v>
      </c>
      <c r="H15" s="530">
        <v>1855470</v>
      </c>
      <c r="I15" s="530">
        <v>1854200</v>
      </c>
      <c r="J15" s="530">
        <v>2266633</v>
      </c>
      <c r="K15" s="530">
        <v>4414520</v>
      </c>
      <c r="L15" s="530">
        <v>1690370</v>
      </c>
      <c r="M15" s="530">
        <v>2460307</v>
      </c>
      <c r="N15" s="530">
        <f t="shared" si="1"/>
        <v>29476527</v>
      </c>
      <c r="O15" s="531">
        <f>'2.sz.tábla   (2)'!F43</f>
        <v>29476527</v>
      </c>
    </row>
    <row r="16" spans="1:15" ht="18" x14ac:dyDescent="0.35">
      <c r="A16" s="536" t="s">
        <v>901</v>
      </c>
      <c r="B16" s="530"/>
      <c r="C16" s="530"/>
      <c r="D16" s="530"/>
      <c r="E16" s="530"/>
      <c r="F16" s="530"/>
      <c r="G16" s="530"/>
      <c r="H16" s="530"/>
      <c r="I16" s="530"/>
      <c r="J16" s="530"/>
      <c r="K16" s="530"/>
      <c r="L16" s="530"/>
      <c r="M16" s="530"/>
      <c r="N16" s="530">
        <f t="shared" si="1"/>
        <v>0</v>
      </c>
    </row>
    <row r="17" spans="1:15" ht="15" x14ac:dyDescent="0.25">
      <c r="A17" s="537" t="s">
        <v>154</v>
      </c>
      <c r="B17" s="538">
        <v>10342307</v>
      </c>
      <c r="C17" s="538">
        <v>10154633</v>
      </c>
      <c r="D17" s="538">
        <v>10342307</v>
      </c>
      <c r="E17" s="538">
        <v>10342313</v>
      </c>
      <c r="F17" s="538">
        <v>10342306</v>
      </c>
      <c r="G17" s="538">
        <f>10342307+100000</f>
        <v>10442307</v>
      </c>
      <c r="H17" s="538">
        <f>10342306+100000</f>
        <v>10442306</v>
      </c>
      <c r="I17" s="538">
        <f>10342307+100000</f>
        <v>10442307</v>
      </c>
      <c r="J17" s="538">
        <f>10342306+100000</f>
        <v>10442306</v>
      </c>
      <c r="K17" s="538">
        <f>10342307+100000</f>
        <v>10442307</v>
      </c>
      <c r="L17" s="538">
        <f>10342307+100000</f>
        <v>10442307</v>
      </c>
      <c r="M17" s="538">
        <f>10342303+100000</f>
        <v>10442303</v>
      </c>
      <c r="N17" s="538">
        <f>SUM(B17:M17)</f>
        <v>124620009</v>
      </c>
      <c r="O17" s="531">
        <f>'2.a tábla ÚJ '!L12</f>
        <v>124620009</v>
      </c>
    </row>
    <row r="18" spans="1:15" ht="15" x14ac:dyDescent="0.25">
      <c r="A18" s="539" t="s">
        <v>156</v>
      </c>
      <c r="B18" s="538">
        <v>3120627</v>
      </c>
      <c r="C18" s="538">
        <v>3120627</v>
      </c>
      <c r="D18" s="538">
        <v>4056027</v>
      </c>
      <c r="E18" s="538">
        <v>4056027</v>
      </c>
      <c r="F18" s="538">
        <v>4056027</v>
      </c>
      <c r="G18" s="538">
        <v>4711027</v>
      </c>
      <c r="H18" s="538">
        <v>4056027</v>
      </c>
      <c r="I18" s="538">
        <v>4057034</v>
      </c>
      <c r="J18" s="538">
        <v>4056027</v>
      </c>
      <c r="K18" s="538">
        <v>4055027</v>
      </c>
      <c r="L18" s="538">
        <v>4056027</v>
      </c>
      <c r="M18" s="538">
        <v>4057027</v>
      </c>
      <c r="N18" s="538">
        <f>SUM(B18:M18)</f>
        <v>47457531</v>
      </c>
      <c r="O18" s="531">
        <f>'2.a tábla ÚJ '!L21</f>
        <v>47457531</v>
      </c>
    </row>
    <row r="19" spans="1:15" ht="15" x14ac:dyDescent="0.25">
      <c r="A19" s="539" t="s">
        <v>159</v>
      </c>
      <c r="B19" s="538"/>
      <c r="C19" s="538"/>
      <c r="D19" s="538"/>
      <c r="E19" s="538"/>
      <c r="F19" s="538"/>
      <c r="G19" s="538"/>
      <c r="H19" s="538"/>
      <c r="I19" s="538"/>
      <c r="J19" s="538"/>
      <c r="K19" s="538"/>
      <c r="L19" s="538"/>
      <c r="M19" s="538"/>
      <c r="N19" s="538">
        <f>SUM(B19:M19)</f>
        <v>0</v>
      </c>
      <c r="O19" s="531">
        <f>'2.a tábla ÚJ '!LK40</f>
        <v>0</v>
      </c>
    </row>
    <row r="20" spans="1:15" ht="15.6" x14ac:dyDescent="0.3">
      <c r="A20" s="540" t="s">
        <v>160</v>
      </c>
      <c r="B20" s="541">
        <f>SUM(B8:B19)</f>
        <v>188667781</v>
      </c>
      <c r="C20" s="541">
        <f t="shared" ref="C20:N20" si="2">SUM(C8:C19)</f>
        <v>147380493</v>
      </c>
      <c r="D20" s="541">
        <f t="shared" si="2"/>
        <v>615495365</v>
      </c>
      <c r="E20" s="541">
        <f t="shared" si="2"/>
        <v>189913788</v>
      </c>
      <c r="F20" s="541">
        <f t="shared" si="2"/>
        <v>278702661</v>
      </c>
      <c r="G20" s="541">
        <f t="shared" si="2"/>
        <v>196091223</v>
      </c>
      <c r="H20" s="541">
        <f t="shared" si="2"/>
        <v>271844806</v>
      </c>
      <c r="I20" s="541">
        <f t="shared" si="2"/>
        <v>391473377</v>
      </c>
      <c r="J20" s="541">
        <f t="shared" si="2"/>
        <v>1027217335</v>
      </c>
      <c r="K20" s="541">
        <f t="shared" si="2"/>
        <v>229447337</v>
      </c>
      <c r="L20" s="541">
        <f t="shared" si="2"/>
        <v>218768818</v>
      </c>
      <c r="M20" s="541">
        <f>SUM(M8:M19)</f>
        <v>481011329</v>
      </c>
      <c r="N20" s="541">
        <f t="shared" si="2"/>
        <v>4236014313</v>
      </c>
      <c r="O20" s="531">
        <f>SUM(O8:O19)</f>
        <v>4236014313</v>
      </c>
    </row>
    <row r="21" spans="1:15" ht="15" x14ac:dyDescent="0.25">
      <c r="A21" s="537" t="s">
        <v>161</v>
      </c>
      <c r="B21" s="538">
        <v>0</v>
      </c>
      <c r="C21" s="538">
        <v>6000000</v>
      </c>
      <c r="D21" s="538">
        <v>730033678</v>
      </c>
      <c r="E21" s="538">
        <v>591385205</v>
      </c>
      <c r="F21" s="538">
        <v>62865000</v>
      </c>
      <c r="G21" s="538">
        <v>14996000</v>
      </c>
      <c r="H21" s="538">
        <v>378024878</v>
      </c>
      <c r="I21" s="538">
        <v>15000000</v>
      </c>
      <c r="J21" s="538">
        <v>243522250</v>
      </c>
      <c r="K21" s="538"/>
      <c r="L21" s="538"/>
      <c r="M21" s="538"/>
      <c r="N21" s="538">
        <f>SUM(B21:M21)</f>
        <v>2041827011</v>
      </c>
      <c r="O21" s="531">
        <f>'2.sz.tábla   (2)'!C22</f>
        <v>2041827011</v>
      </c>
    </row>
    <row r="22" spans="1:15" ht="15" x14ac:dyDescent="0.25">
      <c r="A22" s="539" t="s">
        <v>162</v>
      </c>
      <c r="B22" s="538">
        <v>0</v>
      </c>
      <c r="C22" s="538">
        <v>10000000</v>
      </c>
      <c r="D22" s="538">
        <v>138500000</v>
      </c>
      <c r="E22" s="538">
        <v>70500000</v>
      </c>
      <c r="F22" s="538">
        <v>246000000</v>
      </c>
      <c r="G22" s="538">
        <v>38300000</v>
      </c>
      <c r="H22" s="538">
        <v>0</v>
      </c>
      <c r="I22" s="538"/>
      <c r="J22" s="538">
        <v>0</v>
      </c>
      <c r="K22" s="538">
        <v>2800000</v>
      </c>
      <c r="L22" s="538">
        <v>3150000</v>
      </c>
      <c r="M22" s="538"/>
      <c r="N22" s="538">
        <f>SUM(B22:M22)</f>
        <v>509250000</v>
      </c>
      <c r="O22" s="531">
        <f>'2.sz.tábla   (2)'!C58</f>
        <v>509250000</v>
      </c>
    </row>
    <row r="23" spans="1:15" ht="15" x14ac:dyDescent="0.25">
      <c r="A23" s="539" t="s">
        <v>163</v>
      </c>
      <c r="B23" s="538">
        <v>2425488</v>
      </c>
      <c r="C23" s="538">
        <v>11991840</v>
      </c>
      <c r="D23" s="538">
        <v>11991840</v>
      </c>
      <c r="E23" s="538">
        <v>12425488</v>
      </c>
      <c r="F23" s="538">
        <v>12644211</v>
      </c>
      <c r="G23" s="538">
        <v>99912840</v>
      </c>
      <c r="H23" s="538">
        <v>12425488</v>
      </c>
      <c r="I23" s="538">
        <v>11991840</v>
      </c>
      <c r="J23" s="538">
        <v>28991840</v>
      </c>
      <c r="K23" s="538">
        <v>12425488</v>
      </c>
      <c r="L23" s="538">
        <v>11991840</v>
      </c>
      <c r="M23" s="538">
        <v>396688732</v>
      </c>
      <c r="N23" s="538">
        <f>SUM(B23:M23)</f>
        <v>625906935</v>
      </c>
      <c r="O23" s="531">
        <f>'2.sz.tábla   (2)'!C70</f>
        <v>625906935</v>
      </c>
    </row>
    <row r="24" spans="1:15" s="542" customFormat="1" ht="15.6" x14ac:dyDescent="0.3">
      <c r="A24" s="540" t="s">
        <v>164</v>
      </c>
      <c r="B24" s="541"/>
      <c r="C24" s="541"/>
      <c r="D24" s="541">
        <v>211023</v>
      </c>
      <c r="E24" s="541"/>
      <c r="F24" s="541"/>
      <c r="G24" s="541"/>
      <c r="H24" s="541"/>
      <c r="I24" s="541"/>
      <c r="J24" s="541"/>
      <c r="K24" s="541"/>
      <c r="L24" s="541"/>
      <c r="M24" s="541"/>
      <c r="N24" s="541">
        <f>SUM(B24:M24)</f>
        <v>211023</v>
      </c>
      <c r="O24" s="809">
        <f>'2.sz.tábla   (2)'!F58</f>
        <v>211023</v>
      </c>
    </row>
    <row r="25" spans="1:15" s="542" customFormat="1" ht="15.6" x14ac:dyDescent="0.3">
      <c r="A25" s="540" t="s">
        <v>165</v>
      </c>
      <c r="B25" s="541"/>
      <c r="C25" s="541"/>
      <c r="D25" s="541"/>
      <c r="E25" s="541"/>
      <c r="F25" s="541"/>
      <c r="G25" s="541">
        <v>435539</v>
      </c>
      <c r="H25" s="541"/>
      <c r="I25" s="541"/>
      <c r="J25" s="541"/>
      <c r="K25" s="541"/>
      <c r="L25" s="541"/>
      <c r="M25" s="541"/>
      <c r="N25" s="541">
        <f>SUM(B25:M25)</f>
        <v>435539</v>
      </c>
      <c r="O25" s="809">
        <f>'2.a tábla ÚJ '!L15</f>
        <v>435539</v>
      </c>
    </row>
    <row r="26" spans="1:15" ht="15.6" x14ac:dyDescent="0.3">
      <c r="A26" s="540" t="s">
        <v>166</v>
      </c>
      <c r="B26" s="541">
        <f>SUM(B21:B25)</f>
        <v>2425488</v>
      </c>
      <c r="C26" s="541">
        <f t="shared" ref="C26:M26" si="3">SUM(C21:C25)</f>
        <v>27991840</v>
      </c>
      <c r="D26" s="541">
        <f t="shared" si="3"/>
        <v>880736541</v>
      </c>
      <c r="E26" s="541">
        <f t="shared" si="3"/>
        <v>674310693</v>
      </c>
      <c r="F26" s="541">
        <f t="shared" si="3"/>
        <v>321509211</v>
      </c>
      <c r="G26" s="541">
        <f t="shared" si="3"/>
        <v>153644379</v>
      </c>
      <c r="H26" s="541">
        <f t="shared" si="3"/>
        <v>390450366</v>
      </c>
      <c r="I26" s="541">
        <f t="shared" si="3"/>
        <v>26991840</v>
      </c>
      <c r="J26" s="541">
        <f t="shared" si="3"/>
        <v>272514090</v>
      </c>
      <c r="K26" s="541">
        <f t="shared" si="3"/>
        <v>15225488</v>
      </c>
      <c r="L26" s="541">
        <f t="shared" si="3"/>
        <v>15141840</v>
      </c>
      <c r="M26" s="541">
        <f t="shared" si="3"/>
        <v>396688732</v>
      </c>
      <c r="N26" s="541">
        <f>SUM(N21:N25)</f>
        <v>3177630508</v>
      </c>
      <c r="O26" s="531">
        <f>SUM(O21:O25)</f>
        <v>3177630508</v>
      </c>
    </row>
    <row r="27" spans="1:15" s="191" customFormat="1" ht="15.6" x14ac:dyDescent="0.3">
      <c r="A27" s="543" t="s">
        <v>893</v>
      </c>
      <c r="B27" s="544">
        <f>B20+B26</f>
        <v>191093269</v>
      </c>
      <c r="C27" s="544">
        <f t="shared" ref="C27:N27" si="4">C20+C26</f>
        <v>175372333</v>
      </c>
      <c r="D27" s="544">
        <f t="shared" si="4"/>
        <v>1496231906</v>
      </c>
      <c r="E27" s="544">
        <f t="shared" si="4"/>
        <v>864224481</v>
      </c>
      <c r="F27" s="544">
        <f t="shared" si="4"/>
        <v>600211872</v>
      </c>
      <c r="G27" s="544">
        <f t="shared" si="4"/>
        <v>349735602</v>
      </c>
      <c r="H27" s="544">
        <f t="shared" si="4"/>
        <v>662295172</v>
      </c>
      <c r="I27" s="544">
        <f t="shared" si="4"/>
        <v>418465217</v>
      </c>
      <c r="J27" s="544">
        <f t="shared" si="4"/>
        <v>1299731425</v>
      </c>
      <c r="K27" s="544">
        <f t="shared" si="4"/>
        <v>244672825</v>
      </c>
      <c r="L27" s="544">
        <f t="shared" si="4"/>
        <v>233910658</v>
      </c>
      <c r="M27" s="544">
        <f t="shared" si="4"/>
        <v>877700061</v>
      </c>
      <c r="N27" s="544">
        <f t="shared" si="4"/>
        <v>7413644821</v>
      </c>
      <c r="O27" s="373">
        <f>O26+O20</f>
        <v>7413644821</v>
      </c>
    </row>
    <row r="28" spans="1:15" s="814" customFormat="1" ht="45" x14ac:dyDescent="0.25">
      <c r="A28" s="810" t="s">
        <v>167</v>
      </c>
      <c r="B28" s="811">
        <v>651100000</v>
      </c>
      <c r="C28" s="811">
        <v>249548420</v>
      </c>
      <c r="D28" s="811">
        <v>1100000</v>
      </c>
      <c r="E28" s="811">
        <v>1100000</v>
      </c>
      <c r="F28" s="811">
        <v>1100000</v>
      </c>
      <c r="G28" s="811">
        <v>1100000</v>
      </c>
      <c r="H28" s="811">
        <v>340439945</v>
      </c>
      <c r="I28" s="811">
        <v>1100000</v>
      </c>
      <c r="J28" s="811">
        <v>40339945</v>
      </c>
      <c r="K28" s="811">
        <v>1000000</v>
      </c>
      <c r="L28" s="811">
        <v>340339944</v>
      </c>
      <c r="M28" s="812">
        <v>41231469</v>
      </c>
      <c r="N28" s="812">
        <f>SUM(B28:M28)</f>
        <v>1669499723</v>
      </c>
      <c r="O28" s="813">
        <f>'2.sz.tábla   (2)'!L79</f>
        <v>1669499723</v>
      </c>
    </row>
    <row r="29" spans="1:15" ht="15" x14ac:dyDescent="0.25">
      <c r="A29" s="532" t="s">
        <v>168</v>
      </c>
      <c r="B29" s="530">
        <v>252160160</v>
      </c>
      <c r="C29" s="530">
        <v>29565597</v>
      </c>
      <c r="D29" s="530">
        <v>106438299</v>
      </c>
      <c r="E29" s="530">
        <v>75876128</v>
      </c>
      <c r="F29" s="530">
        <v>44726877</v>
      </c>
      <c r="G29" s="530">
        <v>42960509</v>
      </c>
      <c r="H29" s="530">
        <v>178957134</v>
      </c>
      <c r="I29" s="530">
        <v>30886844</v>
      </c>
      <c r="J29" s="530">
        <v>178558445</v>
      </c>
      <c r="K29" s="530">
        <v>31144111</v>
      </c>
      <c r="L29" s="530">
        <v>181671727</v>
      </c>
      <c r="M29" s="530">
        <v>484877942</v>
      </c>
      <c r="N29" s="530">
        <f>SUM(B29:M29)</f>
        <v>1637823773</v>
      </c>
      <c r="O29" s="531">
        <f>'2.sz.tábla   (2)'!C76</f>
        <v>1637823773</v>
      </c>
    </row>
    <row r="30" spans="1:15" ht="15" x14ac:dyDescent="0.25">
      <c r="A30" s="532" t="s">
        <v>169</v>
      </c>
      <c r="B30" s="530">
        <v>5860490</v>
      </c>
      <c r="C30" s="530"/>
      <c r="D30" s="530"/>
      <c r="E30" s="530"/>
      <c r="F30" s="530">
        <v>4704100</v>
      </c>
      <c r="G30" s="530">
        <v>20433647</v>
      </c>
      <c r="H30" s="530">
        <v>298651</v>
      </c>
      <c r="I30" s="530">
        <v>0</v>
      </c>
      <c r="J30" s="530">
        <v>449263</v>
      </c>
      <c r="K30" s="530">
        <v>3197050</v>
      </c>
      <c r="L30" s="530"/>
      <c r="M30" s="530">
        <v>1347787</v>
      </c>
      <c r="N30" s="530">
        <f>SUM(B30:M30)</f>
        <v>36290988</v>
      </c>
      <c r="O30" s="531">
        <f>'2.sz.tábla   (2)'!F76</f>
        <v>36290988</v>
      </c>
    </row>
    <row r="31" spans="1:15" s="546" customFormat="1" ht="15" x14ac:dyDescent="0.25">
      <c r="A31" s="532" t="s">
        <v>170</v>
      </c>
      <c r="B31" s="530">
        <v>0</v>
      </c>
      <c r="C31" s="530">
        <v>452490</v>
      </c>
      <c r="D31" s="530">
        <v>0</v>
      </c>
      <c r="E31" s="530">
        <v>0</v>
      </c>
      <c r="F31" s="530">
        <v>0</v>
      </c>
      <c r="G31" s="530">
        <v>16811462</v>
      </c>
      <c r="H31" s="530">
        <v>0</v>
      </c>
      <c r="I31" s="530">
        <v>0</v>
      </c>
      <c r="J31" s="530">
        <v>0</v>
      </c>
      <c r="K31" s="530">
        <v>0</v>
      </c>
      <c r="L31" s="530">
        <v>0</v>
      </c>
      <c r="M31" s="530">
        <v>0</v>
      </c>
      <c r="N31" s="530">
        <f>SUM(B31:M31)</f>
        <v>17263952</v>
      </c>
      <c r="O31" s="545">
        <f>'2.sz.tábla   (2)'!I76</f>
        <v>17263952</v>
      </c>
    </row>
    <row r="32" spans="1:15" ht="15.6" x14ac:dyDescent="0.3">
      <c r="A32" s="543" t="s">
        <v>897</v>
      </c>
      <c r="B32" s="544">
        <f t="shared" ref="B32:N32" si="5">SUM(B27:B31)</f>
        <v>1100213919</v>
      </c>
      <c r="C32" s="544">
        <f t="shared" si="5"/>
        <v>454938840</v>
      </c>
      <c r="D32" s="544">
        <f t="shared" si="5"/>
        <v>1603770205</v>
      </c>
      <c r="E32" s="544">
        <f t="shared" si="5"/>
        <v>941200609</v>
      </c>
      <c r="F32" s="544">
        <f t="shared" si="5"/>
        <v>650742849</v>
      </c>
      <c r="G32" s="544">
        <f t="shared" si="5"/>
        <v>431041220</v>
      </c>
      <c r="H32" s="544">
        <f t="shared" si="5"/>
        <v>1181990902</v>
      </c>
      <c r="I32" s="544">
        <f t="shared" si="5"/>
        <v>450452061</v>
      </c>
      <c r="J32" s="544">
        <f t="shared" si="5"/>
        <v>1519079078</v>
      </c>
      <c r="K32" s="544">
        <f t="shared" si="5"/>
        <v>280013986</v>
      </c>
      <c r="L32" s="544">
        <f t="shared" si="5"/>
        <v>755922329</v>
      </c>
      <c r="M32" s="544">
        <f t="shared" si="5"/>
        <v>1405157259</v>
      </c>
      <c r="N32" s="544">
        <f t="shared" si="5"/>
        <v>10774523257</v>
      </c>
      <c r="O32" s="531">
        <f>SUM(O27:O31)</f>
        <v>10774523257</v>
      </c>
    </row>
    <row r="33" spans="1:15" ht="30" x14ac:dyDescent="0.25">
      <c r="A33" s="532" t="s">
        <v>171</v>
      </c>
      <c r="B33" s="530">
        <v>21895615</v>
      </c>
      <c r="C33" s="530">
        <v>20801161</v>
      </c>
      <c r="D33" s="530">
        <v>25770593</v>
      </c>
      <c r="E33" s="530">
        <v>26270813</v>
      </c>
      <c r="F33" s="530">
        <v>30280914</v>
      </c>
      <c r="G33" s="530">
        <v>23637748</v>
      </c>
      <c r="H33" s="530">
        <v>23599748</v>
      </c>
      <c r="I33" s="530">
        <v>24830748</v>
      </c>
      <c r="J33" s="530">
        <v>24810748</v>
      </c>
      <c r="K33" s="530">
        <v>23858750</v>
      </c>
      <c r="L33" s="530">
        <v>23958750</v>
      </c>
      <c r="M33" s="530">
        <v>29341090</v>
      </c>
      <c r="N33" s="530">
        <f t="shared" ref="N33:N44" si="6">SUM(B33:M33)</f>
        <v>299056678</v>
      </c>
      <c r="O33" s="531">
        <f>'5.tábla (2)'!C7</f>
        <v>299056678</v>
      </c>
    </row>
    <row r="34" spans="1:15" ht="15" x14ac:dyDescent="0.25">
      <c r="A34" s="532" t="s">
        <v>172</v>
      </c>
      <c r="B34" s="530">
        <v>13074065</v>
      </c>
      <c r="C34" s="530">
        <v>7826953</v>
      </c>
      <c r="D34" s="530">
        <v>7676953</v>
      </c>
      <c r="E34" s="530">
        <v>11331143</v>
      </c>
      <c r="F34" s="530">
        <v>7969561</v>
      </c>
      <c r="G34" s="530">
        <v>9996543</v>
      </c>
      <c r="H34" s="530">
        <v>12641143</v>
      </c>
      <c r="I34" s="530">
        <v>10511543</v>
      </c>
      <c r="J34" s="530">
        <v>8631543</v>
      </c>
      <c r="K34" s="530">
        <v>11011143</v>
      </c>
      <c r="L34" s="530">
        <v>8706543</v>
      </c>
      <c r="M34" s="530">
        <v>28641281</v>
      </c>
      <c r="N34" s="530">
        <f t="shared" si="6"/>
        <v>138018414</v>
      </c>
      <c r="O34" s="531">
        <f>'5.tábla (2)'!C30</f>
        <v>138018414</v>
      </c>
    </row>
    <row r="35" spans="1:15" ht="30" x14ac:dyDescent="0.25">
      <c r="A35" s="532" t="s">
        <v>173</v>
      </c>
      <c r="B35" s="530">
        <v>6759903</v>
      </c>
      <c r="C35" s="530">
        <v>4024691</v>
      </c>
      <c r="D35" s="530">
        <v>5087939</v>
      </c>
      <c r="E35" s="530">
        <v>6345902</v>
      </c>
      <c r="F35" s="530">
        <v>6628216</v>
      </c>
      <c r="G35" s="530">
        <v>4651753</v>
      </c>
      <c r="H35" s="530">
        <v>5844524</v>
      </c>
      <c r="I35" s="530">
        <v>4904668</v>
      </c>
      <c r="J35" s="530">
        <v>4900768</v>
      </c>
      <c r="K35" s="530">
        <v>5895028</v>
      </c>
      <c r="L35" s="530">
        <v>4734628</v>
      </c>
      <c r="M35" s="530">
        <v>5764124</v>
      </c>
      <c r="N35" s="530">
        <f t="shared" si="6"/>
        <v>65542144</v>
      </c>
      <c r="O35" s="531">
        <f>'5.tábla (2)'!C8</f>
        <v>65542144</v>
      </c>
    </row>
    <row r="36" spans="1:15" ht="15" x14ac:dyDescent="0.25">
      <c r="A36" s="532" t="s">
        <v>174</v>
      </c>
      <c r="B36" s="530">
        <v>2718894</v>
      </c>
      <c r="C36" s="530">
        <v>2116584</v>
      </c>
      <c r="D36" s="530">
        <v>1484657</v>
      </c>
      <c r="E36" s="530">
        <v>1486377</v>
      </c>
      <c r="F36" s="530">
        <v>2042865</v>
      </c>
      <c r="G36" s="530">
        <v>1816754</v>
      </c>
      <c r="H36" s="530">
        <v>2077667</v>
      </c>
      <c r="I36" s="530">
        <v>2388353</v>
      </c>
      <c r="J36" s="530">
        <v>1743254</v>
      </c>
      <c r="K36" s="530">
        <v>1388463</v>
      </c>
      <c r="L36" s="530">
        <v>2402525</v>
      </c>
      <c r="M36" s="530">
        <v>5665449</v>
      </c>
      <c r="N36" s="530">
        <f t="shared" si="6"/>
        <v>27331842</v>
      </c>
      <c r="O36" s="531">
        <f>'5.tábla (2)'!C45</f>
        <v>27331842</v>
      </c>
    </row>
    <row r="37" spans="1:15" ht="30" x14ac:dyDescent="0.25">
      <c r="A37" s="532" t="s">
        <v>175</v>
      </c>
      <c r="B37" s="530">
        <v>9752000</v>
      </c>
      <c r="C37" s="530">
        <v>6831370</v>
      </c>
      <c r="D37" s="530">
        <v>6411570</v>
      </c>
      <c r="E37" s="530">
        <v>5917947</v>
      </c>
      <c r="F37" s="530">
        <v>6783593</v>
      </c>
      <c r="G37" s="530">
        <v>6929969</v>
      </c>
      <c r="H37" s="530">
        <v>5934020</v>
      </c>
      <c r="I37" s="530">
        <v>5730470</v>
      </c>
      <c r="J37" s="530">
        <v>6598726</v>
      </c>
      <c r="K37" s="530">
        <v>11345920</v>
      </c>
      <c r="L37" s="530">
        <v>5738020</v>
      </c>
      <c r="M37" s="530">
        <v>9126464</v>
      </c>
      <c r="N37" s="530">
        <f t="shared" si="6"/>
        <v>87100069</v>
      </c>
      <c r="O37" s="531">
        <f>'5.tábla (2)'!C9</f>
        <v>87100069</v>
      </c>
    </row>
    <row r="38" spans="1:15" ht="15" x14ac:dyDescent="0.25">
      <c r="A38" s="532" t="s">
        <v>176</v>
      </c>
      <c r="B38" s="530">
        <v>60094930</v>
      </c>
      <c r="C38" s="530">
        <v>46581035</v>
      </c>
      <c r="D38" s="530">
        <v>86813187</v>
      </c>
      <c r="E38" s="530">
        <v>47103294</v>
      </c>
      <c r="F38" s="530">
        <v>37064996</v>
      </c>
      <c r="G38" s="530">
        <v>142205557</v>
      </c>
      <c r="H38" s="530">
        <v>41699284</v>
      </c>
      <c r="I38" s="530">
        <v>63217442</v>
      </c>
      <c r="J38" s="530">
        <v>85078547</v>
      </c>
      <c r="K38" s="530">
        <v>99407646</v>
      </c>
      <c r="L38" s="530">
        <v>28724497</v>
      </c>
      <c r="M38" s="530">
        <v>121766265</v>
      </c>
      <c r="N38" s="530">
        <f t="shared" si="6"/>
        <v>859756680</v>
      </c>
      <c r="O38" s="531">
        <f>'5.tábla (2)'!C60</f>
        <v>859756680</v>
      </c>
    </row>
    <row r="39" spans="1:15" ht="27.75" customHeight="1" x14ac:dyDescent="0.25">
      <c r="A39" s="532" t="s">
        <v>177</v>
      </c>
      <c r="B39" s="530"/>
      <c r="C39" s="530"/>
      <c r="D39" s="530"/>
      <c r="E39" s="530"/>
      <c r="F39" s="530"/>
      <c r="G39" s="530"/>
      <c r="H39" s="530"/>
      <c r="I39" s="530">
        <v>837000</v>
      </c>
      <c r="J39" s="530"/>
      <c r="K39" s="530"/>
      <c r="L39" s="530">
        <v>837000</v>
      </c>
      <c r="M39" s="530"/>
      <c r="N39" s="530">
        <f t="shared" si="6"/>
        <v>1674000</v>
      </c>
      <c r="O39" s="531">
        <f>'5.tábla (2)'!C15+'5.tábla (2)'!C17</f>
        <v>1674000</v>
      </c>
    </row>
    <row r="40" spans="1:15" ht="15" customHeight="1" x14ac:dyDescent="0.25">
      <c r="A40" s="532" t="s">
        <v>178</v>
      </c>
      <c r="B40" s="530">
        <v>1683000</v>
      </c>
      <c r="C40" s="530">
        <v>1683000</v>
      </c>
      <c r="D40" s="530">
        <v>1783000</v>
      </c>
      <c r="E40" s="530">
        <v>2783000</v>
      </c>
      <c r="F40" s="530">
        <v>1883000</v>
      </c>
      <c r="G40" s="530">
        <v>2733000</v>
      </c>
      <c r="H40" s="530">
        <v>1733000</v>
      </c>
      <c r="I40" s="530">
        <v>1783000</v>
      </c>
      <c r="J40" s="530">
        <v>3483000</v>
      </c>
      <c r="K40" s="530">
        <v>2783000</v>
      </c>
      <c r="L40" s="530">
        <v>2283000</v>
      </c>
      <c r="M40" s="530">
        <v>3487000</v>
      </c>
      <c r="N40" s="530">
        <f t="shared" si="6"/>
        <v>28100000</v>
      </c>
      <c r="O40" s="531">
        <f>'5.tábla (2)'!C101</f>
        <v>28100000</v>
      </c>
    </row>
    <row r="41" spans="1:15" ht="30" x14ac:dyDescent="0.25">
      <c r="A41" s="532" t="s">
        <v>1012</v>
      </c>
      <c r="B41" s="530"/>
      <c r="C41" s="530"/>
      <c r="D41" s="530"/>
      <c r="E41" s="530"/>
      <c r="F41" s="530"/>
      <c r="G41" s="530"/>
      <c r="H41" s="530">
        <v>321968</v>
      </c>
      <c r="I41" s="530"/>
      <c r="J41" s="530"/>
      <c r="K41" s="530"/>
      <c r="L41" s="530"/>
      <c r="M41" s="530"/>
      <c r="N41" s="530">
        <f t="shared" si="6"/>
        <v>321968</v>
      </c>
      <c r="O41" s="531">
        <f>'5.tábla (2)'!C19</f>
        <v>321968</v>
      </c>
    </row>
    <row r="42" spans="1:15" ht="15" x14ac:dyDescent="0.25">
      <c r="A42" s="532" t="s">
        <v>179</v>
      </c>
      <c r="B42" s="530">
        <v>44271805</v>
      </c>
      <c r="C42" s="530">
        <v>79698925</v>
      </c>
      <c r="D42" s="530">
        <v>104194058</v>
      </c>
      <c r="E42" s="530">
        <v>133744495</v>
      </c>
      <c r="F42" s="530">
        <v>114458801</v>
      </c>
      <c r="G42" s="530">
        <v>76538969</v>
      </c>
      <c r="H42" s="530">
        <v>125256838</v>
      </c>
      <c r="I42" s="530">
        <v>89790801</v>
      </c>
      <c r="J42" s="530">
        <v>91821966</v>
      </c>
      <c r="K42" s="530">
        <v>96732041</v>
      </c>
      <c r="L42" s="530">
        <v>82587862</v>
      </c>
      <c r="M42" s="530">
        <v>144543441</v>
      </c>
      <c r="N42" s="530">
        <f t="shared" si="6"/>
        <v>1183640002</v>
      </c>
      <c r="O42" s="531">
        <f>'5.tábla (2)'!C110</f>
        <v>1183640002</v>
      </c>
    </row>
    <row r="43" spans="1:15" s="842" customFormat="1" ht="30" x14ac:dyDescent="0.25">
      <c r="A43" s="810" t="s">
        <v>180</v>
      </c>
      <c r="B43" s="812">
        <v>26178493</v>
      </c>
      <c r="C43" s="812">
        <v>26123307</v>
      </c>
      <c r="D43" s="812">
        <v>31972137</v>
      </c>
      <c r="E43" s="812">
        <v>28521917</v>
      </c>
      <c r="F43" s="812">
        <v>29361914</v>
      </c>
      <c r="G43" s="812">
        <v>30971063</v>
      </c>
      <c r="H43" s="812">
        <v>29393412</v>
      </c>
      <c r="I43" s="812">
        <v>30139599</v>
      </c>
      <c r="J43" s="812">
        <v>30234608</v>
      </c>
      <c r="K43" s="812">
        <v>30548532</v>
      </c>
      <c r="L43" s="812">
        <v>31426736</v>
      </c>
      <c r="M43" s="812">
        <v>29406878</v>
      </c>
      <c r="N43" s="812">
        <f t="shared" si="6"/>
        <v>354278596</v>
      </c>
      <c r="O43" s="841">
        <f>'1.sz.tábla   (2)'!C23</f>
        <v>354278596</v>
      </c>
    </row>
    <row r="44" spans="1:15" ht="15" x14ac:dyDescent="0.25">
      <c r="A44" s="532" t="s">
        <v>181</v>
      </c>
      <c r="B44" s="530"/>
      <c r="C44" s="530"/>
      <c r="D44" s="530"/>
      <c r="E44" s="530"/>
      <c r="F44" s="530"/>
      <c r="G44" s="530"/>
      <c r="H44" s="530"/>
      <c r="I44" s="530"/>
      <c r="J44" s="530"/>
      <c r="K44" s="530"/>
      <c r="L44" s="530"/>
      <c r="M44" s="530">
        <f>O44</f>
        <v>280488291</v>
      </c>
      <c r="N44" s="530">
        <f t="shared" si="6"/>
        <v>280488291</v>
      </c>
      <c r="O44" s="531">
        <f>'1.sz.tábla   (2)'!C30</f>
        <v>280488291</v>
      </c>
    </row>
    <row r="45" spans="1:15" ht="15.6" x14ac:dyDescent="0.3">
      <c r="A45" s="533" t="s">
        <v>182</v>
      </c>
      <c r="B45" s="547">
        <f t="shared" ref="B45:M45" si="7">SUM(B33:B44)</f>
        <v>186428705</v>
      </c>
      <c r="C45" s="547">
        <f t="shared" si="7"/>
        <v>195687026</v>
      </c>
      <c r="D45" s="547">
        <f t="shared" si="7"/>
        <v>271194094</v>
      </c>
      <c r="E45" s="547">
        <f t="shared" si="7"/>
        <v>263504888</v>
      </c>
      <c r="F45" s="547">
        <f t="shared" si="7"/>
        <v>236473860</v>
      </c>
      <c r="G45" s="547">
        <f t="shared" si="7"/>
        <v>299481356</v>
      </c>
      <c r="H45" s="547">
        <f t="shared" si="7"/>
        <v>248501604</v>
      </c>
      <c r="I45" s="547">
        <f t="shared" si="7"/>
        <v>234133624</v>
      </c>
      <c r="J45" s="547">
        <f t="shared" si="7"/>
        <v>257303160</v>
      </c>
      <c r="K45" s="547">
        <f t="shared" si="7"/>
        <v>282970523</v>
      </c>
      <c r="L45" s="547">
        <f t="shared" si="7"/>
        <v>191399561</v>
      </c>
      <c r="M45" s="547">
        <f t="shared" si="7"/>
        <v>658230283</v>
      </c>
      <c r="N45" s="547">
        <f>SUM(N33:N44)</f>
        <v>3325308684</v>
      </c>
      <c r="O45" s="531">
        <f>SUM(O33:O44)</f>
        <v>3325308684</v>
      </c>
    </row>
    <row r="46" spans="1:15" ht="15" x14ac:dyDescent="0.25">
      <c r="A46" s="532" t="s">
        <v>183</v>
      </c>
      <c r="B46" s="530">
        <v>114811234</v>
      </c>
      <c r="C46" s="530">
        <v>15635273</v>
      </c>
      <c r="D46" s="530">
        <v>158289667</v>
      </c>
      <c r="E46" s="530">
        <v>63503885</v>
      </c>
      <c r="F46" s="530">
        <v>75952271</v>
      </c>
      <c r="G46" s="530">
        <v>251398203</v>
      </c>
      <c r="H46" s="530">
        <v>420665032</v>
      </c>
      <c r="I46" s="530">
        <v>221630813</v>
      </c>
      <c r="J46" s="530">
        <v>857157287</v>
      </c>
      <c r="K46" s="530">
        <v>208325864</v>
      </c>
      <c r="L46" s="530">
        <v>756730332</v>
      </c>
      <c r="M46" s="530">
        <v>2062334443</v>
      </c>
      <c r="N46" s="530">
        <f>SUM(B46:M46)</f>
        <v>5206434304</v>
      </c>
      <c r="O46" s="548">
        <f>'7. sz. tábla 1'!C108</f>
        <v>5206434304</v>
      </c>
    </row>
    <row r="47" spans="1:15" ht="15" x14ac:dyDescent="0.25">
      <c r="A47" s="532" t="s">
        <v>184</v>
      </c>
      <c r="B47" s="530">
        <v>33399430</v>
      </c>
      <c r="C47" s="530">
        <v>0</v>
      </c>
      <c r="D47" s="530">
        <v>3000000</v>
      </c>
      <c r="E47" s="530">
        <v>0</v>
      </c>
      <c r="F47" s="530">
        <v>2000000</v>
      </c>
      <c r="G47" s="530">
        <v>0</v>
      </c>
      <c r="H47" s="530">
        <v>5000000</v>
      </c>
      <c r="I47" s="530">
        <v>0</v>
      </c>
      <c r="J47" s="530">
        <v>5000000</v>
      </c>
      <c r="K47" s="530">
        <v>0</v>
      </c>
      <c r="L47" s="530">
        <v>0</v>
      </c>
      <c r="M47" s="530">
        <v>24750000</v>
      </c>
      <c r="N47" s="530">
        <f>SUM(B47:M47)</f>
        <v>73149430</v>
      </c>
      <c r="O47" s="531">
        <f>'7. sz. tábla 1'!C192</f>
        <v>73149430</v>
      </c>
    </row>
    <row r="48" spans="1:15" s="844" customFormat="1" ht="15" x14ac:dyDescent="0.25">
      <c r="A48" s="532" t="s">
        <v>185</v>
      </c>
      <c r="B48" s="529">
        <v>0</v>
      </c>
      <c r="C48" s="529">
        <v>0</v>
      </c>
      <c r="D48" s="529">
        <f>5857060+1200000</f>
        <v>7057060</v>
      </c>
      <c r="E48" s="529">
        <f>497000+5269738</f>
        <v>5766738</v>
      </c>
      <c r="F48" s="529">
        <f>797000+5025957</f>
        <v>5822957</v>
      </c>
      <c r="G48" s="529">
        <f>297000+1000000</f>
        <v>1297000</v>
      </c>
      <c r="H48" s="529">
        <f>844257+2041285</f>
        <v>2885542</v>
      </c>
      <c r="I48" s="529">
        <f>938806</f>
        <v>938806</v>
      </c>
      <c r="J48" s="529">
        <f>1072839+5000000</f>
        <v>6072839</v>
      </c>
      <c r="K48" s="529">
        <f>403267</f>
        <v>403267</v>
      </c>
      <c r="L48" s="529">
        <f>402266+100000</f>
        <v>502266</v>
      </c>
      <c r="M48" s="529">
        <v>0</v>
      </c>
      <c r="N48" s="530">
        <f>SUM(B48:M48)</f>
        <v>30746475</v>
      </c>
      <c r="O48" s="843">
        <f>'4.sz.tábla '!W11</f>
        <v>30746475</v>
      </c>
    </row>
    <row r="49" spans="1:15" ht="15" x14ac:dyDescent="0.25">
      <c r="A49" s="532" t="s">
        <v>186</v>
      </c>
      <c r="B49" s="530">
        <v>46520616</v>
      </c>
      <c r="C49" s="530">
        <v>252182371</v>
      </c>
      <c r="D49" s="530">
        <v>47680000</v>
      </c>
      <c r="E49" s="530">
        <v>19998000</v>
      </c>
      <c r="F49" s="530">
        <v>27420000</v>
      </c>
      <c r="G49" s="530">
        <v>6850000</v>
      </c>
      <c r="H49" s="530">
        <v>14220000</v>
      </c>
      <c r="I49" s="530">
        <v>22020000</v>
      </c>
      <c r="J49" s="530">
        <v>30730000</v>
      </c>
      <c r="K49" s="530">
        <v>1520000</v>
      </c>
      <c r="L49" s="530">
        <v>95000</v>
      </c>
      <c r="M49" s="530">
        <v>89554177</v>
      </c>
      <c r="N49" s="530">
        <f>SUM(B49:M49)</f>
        <v>558790164</v>
      </c>
      <c r="O49" s="531">
        <f>'7. sz. tábla 1'!C181</f>
        <v>558790164</v>
      </c>
    </row>
    <row r="50" spans="1:15" ht="15.6" x14ac:dyDescent="0.3">
      <c r="A50" s="533" t="s">
        <v>187</v>
      </c>
      <c r="B50" s="547">
        <f t="shared" ref="B50:N50" si="8">SUM(B46:B49)</f>
        <v>194731280</v>
      </c>
      <c r="C50" s="547">
        <f t="shared" si="8"/>
        <v>267817644</v>
      </c>
      <c r="D50" s="547">
        <f t="shared" si="8"/>
        <v>216026727</v>
      </c>
      <c r="E50" s="547">
        <f t="shared" si="8"/>
        <v>89268623</v>
      </c>
      <c r="F50" s="547">
        <f t="shared" si="8"/>
        <v>111195228</v>
      </c>
      <c r="G50" s="547">
        <f t="shared" si="8"/>
        <v>259545203</v>
      </c>
      <c r="H50" s="547">
        <f t="shared" si="8"/>
        <v>442770574</v>
      </c>
      <c r="I50" s="547">
        <f t="shared" si="8"/>
        <v>244589619</v>
      </c>
      <c r="J50" s="547">
        <f t="shared" si="8"/>
        <v>898960126</v>
      </c>
      <c r="K50" s="547">
        <f t="shared" si="8"/>
        <v>210249131</v>
      </c>
      <c r="L50" s="547">
        <f t="shared" si="8"/>
        <v>757327598</v>
      </c>
      <c r="M50" s="547">
        <f t="shared" si="8"/>
        <v>2176638620</v>
      </c>
      <c r="N50" s="547">
        <f t="shared" si="8"/>
        <v>5869120373</v>
      </c>
      <c r="O50" s="531">
        <f>SUM(O46:O49)</f>
        <v>5869120373</v>
      </c>
    </row>
    <row r="51" spans="1:15" ht="15.6" x14ac:dyDescent="0.3">
      <c r="A51" s="543" t="s">
        <v>909</v>
      </c>
      <c r="B51" s="544">
        <f>B45+B50</f>
        <v>381159985</v>
      </c>
      <c r="C51" s="544">
        <f t="shared" ref="C51:N51" si="9">C45+C50</f>
        <v>463504670</v>
      </c>
      <c r="D51" s="544">
        <f t="shared" si="9"/>
        <v>487220821</v>
      </c>
      <c r="E51" s="544">
        <f t="shared" si="9"/>
        <v>352773511</v>
      </c>
      <c r="F51" s="544">
        <f t="shared" si="9"/>
        <v>347669088</v>
      </c>
      <c r="G51" s="544">
        <f t="shared" si="9"/>
        <v>559026559</v>
      </c>
      <c r="H51" s="544">
        <f t="shared" si="9"/>
        <v>691272178</v>
      </c>
      <c r="I51" s="544">
        <f t="shared" si="9"/>
        <v>478723243</v>
      </c>
      <c r="J51" s="544">
        <f t="shared" si="9"/>
        <v>1156263286</v>
      </c>
      <c r="K51" s="544">
        <f t="shared" si="9"/>
        <v>493219654</v>
      </c>
      <c r="L51" s="544">
        <f t="shared" si="9"/>
        <v>948727159</v>
      </c>
      <c r="M51" s="544">
        <f t="shared" si="9"/>
        <v>2834868903</v>
      </c>
      <c r="N51" s="544">
        <f t="shared" si="9"/>
        <v>9194429057</v>
      </c>
      <c r="O51" s="531"/>
    </row>
    <row r="52" spans="1:15" ht="31.2" x14ac:dyDescent="0.3">
      <c r="A52" s="543" t="s">
        <v>188</v>
      </c>
      <c r="B52" s="544">
        <v>1334151776</v>
      </c>
      <c r="C52" s="544">
        <v>1100000</v>
      </c>
      <c r="D52" s="544">
        <v>138221212</v>
      </c>
      <c r="E52" s="544">
        <v>61100000</v>
      </c>
      <c r="F52" s="544">
        <v>1100000</v>
      </c>
      <c r="G52" s="544">
        <v>1100000</v>
      </c>
      <c r="H52" s="544">
        <v>1100000</v>
      </c>
      <c r="I52" s="544">
        <v>1100000</v>
      </c>
      <c r="J52" s="544">
        <v>38121212</v>
      </c>
      <c r="K52" s="544">
        <v>1000000</v>
      </c>
      <c r="L52" s="544">
        <v>1000000</v>
      </c>
      <c r="M52" s="544">
        <v>1000000</v>
      </c>
      <c r="N52" s="544">
        <f>SUM(B52:M52)</f>
        <v>1580094200</v>
      </c>
      <c r="O52" s="531">
        <f>'7. sz. tábla 1'!C187</f>
        <v>1580094200</v>
      </c>
    </row>
    <row r="53" spans="1:15" ht="15.6" x14ac:dyDescent="0.3">
      <c r="A53" s="549" t="s">
        <v>912</v>
      </c>
      <c r="B53" s="550">
        <f t="shared" ref="B53:M53" si="10">SUM(B51:B52)</f>
        <v>1715311761</v>
      </c>
      <c r="C53" s="550">
        <f t="shared" si="10"/>
        <v>464604670</v>
      </c>
      <c r="D53" s="550">
        <f t="shared" si="10"/>
        <v>625442033</v>
      </c>
      <c r="E53" s="550">
        <f t="shared" si="10"/>
        <v>413873511</v>
      </c>
      <c r="F53" s="550">
        <f t="shared" si="10"/>
        <v>348769088</v>
      </c>
      <c r="G53" s="550">
        <f t="shared" si="10"/>
        <v>560126559</v>
      </c>
      <c r="H53" s="550">
        <f t="shared" si="10"/>
        <v>692372178</v>
      </c>
      <c r="I53" s="550">
        <f t="shared" si="10"/>
        <v>479823243</v>
      </c>
      <c r="J53" s="550">
        <f t="shared" si="10"/>
        <v>1194384498</v>
      </c>
      <c r="K53" s="550">
        <f t="shared" si="10"/>
        <v>494219654</v>
      </c>
      <c r="L53" s="550">
        <f t="shared" si="10"/>
        <v>949727159</v>
      </c>
      <c r="M53" s="550">
        <f t="shared" si="10"/>
        <v>2835868903</v>
      </c>
      <c r="N53" s="544">
        <f>SUM(B53:M53)</f>
        <v>10774523257</v>
      </c>
      <c r="O53" s="531">
        <f>O52+O50+O45</f>
        <v>10774523257</v>
      </c>
    </row>
    <row r="54" spans="1:15" ht="15.6" x14ac:dyDescent="0.3">
      <c r="A54" s="549" t="s">
        <v>189</v>
      </c>
      <c r="B54" s="550"/>
      <c r="C54" s="550"/>
      <c r="D54" s="550"/>
      <c r="E54" s="550"/>
      <c r="F54" s="550"/>
      <c r="G54" s="550"/>
      <c r="H54" s="550"/>
      <c r="I54" s="550"/>
      <c r="J54" s="550"/>
      <c r="K54" s="550"/>
      <c r="L54" s="550"/>
      <c r="M54" s="550"/>
      <c r="N54" s="544">
        <f>SUM(B54:M54)</f>
        <v>0</v>
      </c>
      <c r="O54" s="531"/>
    </row>
    <row r="55" spans="1:15" ht="15.6" x14ac:dyDescent="0.3">
      <c r="A55" s="543" t="s">
        <v>190</v>
      </c>
      <c r="B55" s="544">
        <f>B6+B27+B28+B54-B51-B52</f>
        <v>1157019274</v>
      </c>
      <c r="C55" s="544">
        <f t="shared" ref="C55:N55" si="11">C6+C27+C28+C54-C51-C52</f>
        <v>1117335357</v>
      </c>
      <c r="D55" s="544">
        <f t="shared" si="11"/>
        <v>1989225230</v>
      </c>
      <c r="E55" s="544">
        <f t="shared" si="11"/>
        <v>2440676200</v>
      </c>
      <c r="F55" s="544">
        <f t="shared" si="11"/>
        <v>2693218984</v>
      </c>
      <c r="G55" s="544">
        <f t="shared" si="11"/>
        <v>2483928027</v>
      </c>
      <c r="H55" s="544">
        <f t="shared" si="11"/>
        <v>2794290966</v>
      </c>
      <c r="I55" s="544">
        <f t="shared" si="11"/>
        <v>2734032940</v>
      </c>
      <c r="J55" s="544">
        <f t="shared" si="11"/>
        <v>2879719812</v>
      </c>
      <c r="K55" s="544">
        <f t="shared" si="11"/>
        <v>2631172983</v>
      </c>
      <c r="L55" s="544">
        <f t="shared" si="11"/>
        <v>2255696426</v>
      </c>
      <c r="M55" s="544">
        <f t="shared" si="11"/>
        <v>338759053</v>
      </c>
      <c r="N55" s="544">
        <f t="shared" si="11"/>
        <v>338759053</v>
      </c>
      <c r="O55" s="531"/>
    </row>
    <row r="56" spans="1:15" x14ac:dyDescent="0.25">
      <c r="J56" s="531"/>
    </row>
  </sheetData>
  <sheetProtection selectLockedCells="1" selectUnlockedCells="1"/>
  <mergeCells count="2">
    <mergeCell ref="M2:N2"/>
    <mergeCell ref="A3:O3"/>
  </mergeCells>
  <phoneticPr fontId="27" type="noConversion"/>
  <pageMargins left="0.25" right="0.25" top="0.75" bottom="0.75" header="0.3" footer="0.3"/>
  <pageSetup paperSize="9" scale="51" firstPageNumber="0" orientation="landscape" r:id="rId1"/>
  <headerFooter alignWithMargins="0">
    <oddHeader xml:space="preserve">&amp;C17. melléklet 
az önkormányzat 2018. évi költségvetéséről szóló 11/2018. (III.01.) önkormányzati rendelethez&amp;R
&amp;P. oldal
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M44"/>
  <sheetViews>
    <sheetView view="pageLayout" topLeftCell="A3" zoomScaleNormal="75" zoomScaleSheetLayoutView="80" workbookViewId="0">
      <selection activeCell="I11" sqref="I11"/>
    </sheetView>
  </sheetViews>
  <sheetFormatPr defaultColWidth="9.109375" defaultRowHeight="15.6" x14ac:dyDescent="0.3"/>
  <cols>
    <col min="1" max="1" width="40.44140625" style="1636" customWidth="1"/>
    <col min="2" max="2" width="15.109375" style="1597" customWidth="1"/>
    <col min="3" max="3" width="18.6640625" style="1597" customWidth="1"/>
    <col min="4" max="4" width="17.6640625" style="1597" customWidth="1"/>
    <col min="5" max="5" width="16.88671875" style="1598" customWidth="1"/>
    <col min="6" max="16384" width="9.109375" style="1599"/>
  </cols>
  <sheetData>
    <row r="1" spans="1:6" hidden="1" x14ac:dyDescent="0.3">
      <c r="A1" s="1596"/>
    </row>
    <row r="2" spans="1:6" hidden="1" x14ac:dyDescent="0.3">
      <c r="A2" s="1596"/>
    </row>
    <row r="3" spans="1:6" x14ac:dyDescent="0.3">
      <c r="A3" s="1596"/>
    </row>
    <row r="4" spans="1:6" x14ac:dyDescent="0.3">
      <c r="A4" s="1596"/>
    </row>
    <row r="5" spans="1:6" ht="31.5" customHeight="1" x14ac:dyDescent="0.3">
      <c r="A5" s="1777" t="s">
        <v>1237</v>
      </c>
      <c r="B5" s="1777"/>
      <c r="C5" s="1777"/>
      <c r="D5" s="1777"/>
      <c r="E5" s="1777"/>
    </row>
    <row r="6" spans="1:6" ht="15.75" customHeight="1" x14ac:dyDescent="0.3">
      <c r="A6" s="1777" t="s">
        <v>1238</v>
      </c>
      <c r="B6" s="1777"/>
      <c r="C6" s="1777"/>
      <c r="D6" s="1777"/>
      <c r="E6" s="1777"/>
    </row>
    <row r="7" spans="1:6" ht="16.2" thickBot="1" x14ac:dyDescent="0.35">
      <c r="A7" s="1596"/>
    </row>
    <row r="8" spans="1:6" s="1604" customFormat="1" ht="56.25" customHeight="1" thickBot="1" x14ac:dyDescent="0.3">
      <c r="A8" s="1600" t="s">
        <v>784</v>
      </c>
      <c r="B8" s="1601" t="s">
        <v>191</v>
      </c>
      <c r="C8" s="1602" t="s">
        <v>1239</v>
      </c>
      <c r="D8" s="1602" t="s">
        <v>1240</v>
      </c>
      <c r="E8" s="1603" t="s">
        <v>1241</v>
      </c>
    </row>
    <row r="9" spans="1:6" ht="31.2" x14ac:dyDescent="0.3">
      <c r="A9" s="1605" t="s">
        <v>1242</v>
      </c>
      <c r="B9" s="1606">
        <f>'[5]8. sz. tábla  (3)'!D7</f>
        <v>1311563771</v>
      </c>
      <c r="C9" s="1606">
        <v>1304500000</v>
      </c>
      <c r="D9" s="1606">
        <v>1330000000</v>
      </c>
      <c r="E9" s="1607">
        <v>1350000000</v>
      </c>
      <c r="F9" s="1608"/>
    </row>
    <row r="10" spans="1:6" ht="31.2" x14ac:dyDescent="0.3">
      <c r="A10" s="1609" t="s">
        <v>1243</v>
      </c>
      <c r="B10" s="1610">
        <f>'[5]8. sz. tábla  (3)'!D30</f>
        <v>1808340761</v>
      </c>
      <c r="C10" s="1610">
        <v>1500000000</v>
      </c>
      <c r="D10" s="1610">
        <v>1000000000</v>
      </c>
      <c r="E10" s="1611">
        <v>1000000000</v>
      </c>
      <c r="F10" s="1608"/>
    </row>
    <row r="11" spans="1:6" ht="20.100000000000001" customHeight="1" x14ac:dyDescent="0.3">
      <c r="A11" s="1609" t="s">
        <v>888</v>
      </c>
      <c r="B11" s="1610">
        <f>'[5]8. sz. tábla  (3)'!D8</f>
        <v>1755525000</v>
      </c>
      <c r="C11" s="1612">
        <v>1800000000</v>
      </c>
      <c r="D11" s="1610">
        <v>1850000000</v>
      </c>
      <c r="E11" s="1611">
        <v>1900000000</v>
      </c>
    </row>
    <row r="12" spans="1:6" ht="28.5" customHeight="1" x14ac:dyDescent="0.3">
      <c r="A12" s="1609" t="s">
        <v>889</v>
      </c>
      <c r="B12" s="1610">
        <f>'[5]8. sz. tábla  (3)'!D9+'[5]8. sz. tábla  (3)'!D33</f>
        <v>1130562963</v>
      </c>
      <c r="C12" s="1610">
        <v>770000000</v>
      </c>
      <c r="D12" s="1610">
        <v>800000000</v>
      </c>
      <c r="E12" s="1611">
        <v>830000000</v>
      </c>
      <c r="F12" s="1608"/>
    </row>
    <row r="13" spans="1:6" ht="32.25" customHeight="1" x14ac:dyDescent="0.3">
      <c r="A13" s="1609" t="s">
        <v>890</v>
      </c>
      <c r="B13" s="1610">
        <f>'[5]8. sz. tábla  (3)'!D31</f>
        <v>509250000</v>
      </c>
      <c r="C13" s="1612"/>
      <c r="D13" s="1610"/>
      <c r="E13" s="1611"/>
      <c r="F13" s="1608"/>
    </row>
    <row r="14" spans="1:6" ht="33" customHeight="1" x14ac:dyDescent="0.3">
      <c r="A14" s="91" t="s">
        <v>891</v>
      </c>
      <c r="B14" s="1610">
        <f>'[5]8. sz. tábla  (3)'!D10</f>
        <v>0</v>
      </c>
      <c r="C14" s="1612">
        <v>6000000</v>
      </c>
      <c r="D14" s="1610">
        <v>6000000</v>
      </c>
      <c r="E14" s="1611">
        <v>7000000</v>
      </c>
    </row>
    <row r="15" spans="1:6" ht="33" customHeight="1" x14ac:dyDescent="0.3">
      <c r="A15" s="91" t="s">
        <v>892</v>
      </c>
      <c r="B15" s="1610">
        <f>'[5]8. sz. tábla  (3)'!D32</f>
        <v>625906935</v>
      </c>
      <c r="C15" s="1612">
        <v>50000000</v>
      </c>
      <c r="D15" s="1612">
        <v>50000000</v>
      </c>
      <c r="E15" s="1612">
        <v>50000000</v>
      </c>
    </row>
    <row r="16" spans="1:6" ht="36.75" customHeight="1" x14ac:dyDescent="0.3">
      <c r="A16" s="1613" t="s">
        <v>893</v>
      </c>
      <c r="B16" s="1614">
        <f>SUM(B9:B15)</f>
        <v>7141149430</v>
      </c>
      <c r="C16" s="1614">
        <f>SUM(C9:C15)</f>
        <v>5430500000</v>
      </c>
      <c r="D16" s="1614">
        <f>SUM(D9:D15)</f>
        <v>5036000000</v>
      </c>
      <c r="E16" s="1615">
        <f>SUM(E9:E15)</f>
        <v>5137000000</v>
      </c>
    </row>
    <row r="17" spans="1:13" ht="27" customHeight="1" x14ac:dyDescent="0.3">
      <c r="A17" s="1613" t="s">
        <v>1244</v>
      </c>
      <c r="B17" s="1616"/>
      <c r="C17" s="1616"/>
      <c r="D17" s="1616"/>
      <c r="E17" s="1617"/>
      <c r="F17" s="1608"/>
    </row>
    <row r="18" spans="1:13" ht="46.8" x14ac:dyDescent="0.3">
      <c r="A18" s="1618" t="s">
        <v>1245</v>
      </c>
      <c r="B18" s="1610">
        <f>'[5]2.sz.tábla   (2)'!M76</f>
        <v>1354551579</v>
      </c>
      <c r="C18" s="1610">
        <v>300000000</v>
      </c>
      <c r="D18" s="1610">
        <v>550000000</v>
      </c>
      <c r="E18" s="1611">
        <v>550000000</v>
      </c>
      <c r="F18" s="1608"/>
    </row>
    <row r="19" spans="1:13" ht="30.75" customHeight="1" x14ac:dyDescent="0.3">
      <c r="A19" s="1618" t="s">
        <v>1246</v>
      </c>
      <c r="B19" s="1610">
        <f>'[5]2.sz.tábla   (2)'!M79</f>
        <v>1012800000</v>
      </c>
      <c r="C19" s="1610">
        <v>488600000</v>
      </c>
      <c r="D19" s="1610">
        <v>112600000</v>
      </c>
      <c r="E19" s="1611">
        <v>112600000</v>
      </c>
      <c r="F19" s="1608"/>
    </row>
    <row r="20" spans="1:13" ht="42" customHeight="1" x14ac:dyDescent="0.3">
      <c r="A20" s="1613" t="s">
        <v>896</v>
      </c>
      <c r="B20" s="1614">
        <f>SUM(B18:B19)</f>
        <v>2367351579</v>
      </c>
      <c r="C20" s="1614">
        <f>SUM(C18:C19)</f>
        <v>788600000</v>
      </c>
      <c r="D20" s="1614">
        <f>SUM(D18:D19)</f>
        <v>662600000</v>
      </c>
      <c r="E20" s="1615">
        <f>SUM(E18:E19)</f>
        <v>662600000</v>
      </c>
      <c r="F20" s="1608"/>
    </row>
    <row r="21" spans="1:13" ht="18" customHeight="1" x14ac:dyDescent="0.3">
      <c r="A21" s="1619" t="s">
        <v>897</v>
      </c>
      <c r="B21" s="1620">
        <f>B16+B20</f>
        <v>9508501009</v>
      </c>
      <c r="C21" s="1620">
        <f>C16+C20</f>
        <v>6219100000</v>
      </c>
      <c r="D21" s="1620">
        <f>D16+D20</f>
        <v>5698600000</v>
      </c>
      <c r="E21" s="1621">
        <f>E16+E20</f>
        <v>5799600000</v>
      </c>
    </row>
    <row r="22" spans="1:13" s="1623" customFormat="1" ht="19.5" customHeight="1" x14ac:dyDescent="0.3">
      <c r="A22" s="1619"/>
      <c r="B22" s="1610"/>
      <c r="C22" s="1616"/>
      <c r="D22" s="1610"/>
      <c r="E22" s="1617"/>
      <c r="F22" s="1622"/>
      <c r="G22" s="1622"/>
      <c r="H22" s="1622"/>
      <c r="I22" s="1622"/>
      <c r="J22" s="1622"/>
      <c r="K22" s="1622"/>
      <c r="L22" s="1622"/>
      <c r="M22" s="1622"/>
    </row>
    <row r="23" spans="1:13" s="1625" customFormat="1" ht="20.100000000000001" customHeight="1" x14ac:dyDescent="0.3">
      <c r="A23" s="1613" t="s">
        <v>1247</v>
      </c>
      <c r="B23" s="1614">
        <f>SUM(B24:B28)</f>
        <v>2934091574</v>
      </c>
      <c r="C23" s="1614">
        <f>SUM(C24:C28)</f>
        <v>2954060000</v>
      </c>
      <c r="D23" s="1614">
        <f>SUM(D24:D28)</f>
        <v>3044365000</v>
      </c>
      <c r="E23" s="1615">
        <f>SUM(E24:E28)</f>
        <v>3120480000</v>
      </c>
      <c r="F23" s="1624"/>
      <c r="G23" s="1624"/>
      <c r="H23" s="1624"/>
      <c r="I23" s="1624"/>
      <c r="J23" s="1624"/>
      <c r="K23" s="1624"/>
      <c r="L23" s="1624"/>
      <c r="M23" s="1624"/>
    </row>
    <row r="24" spans="1:13" s="1625" customFormat="1" ht="20.100000000000001" customHeight="1" x14ac:dyDescent="0.3">
      <c r="A24" s="1609" t="s">
        <v>572</v>
      </c>
      <c r="B24" s="1610">
        <f>'[5]8. sz. tábla  (3)'!H7</f>
        <v>605682643</v>
      </c>
      <c r="C24" s="1626">
        <v>629060000</v>
      </c>
      <c r="D24" s="1626">
        <v>650355000</v>
      </c>
      <c r="E24" s="1627">
        <v>647735000</v>
      </c>
      <c r="F24" s="1624"/>
      <c r="G24" s="1624"/>
      <c r="H24" s="1624"/>
      <c r="I24" s="1624"/>
      <c r="J24" s="1624"/>
      <c r="K24" s="1624"/>
      <c r="L24" s="1624"/>
      <c r="M24" s="1624"/>
    </row>
    <row r="25" spans="1:13" s="1623" customFormat="1" ht="31.5" customHeight="1" x14ac:dyDescent="0.3">
      <c r="A25" s="1609" t="s">
        <v>1248</v>
      </c>
      <c r="B25" s="1610">
        <f>'[5]8. sz. tábla  (3)'!H8</f>
        <v>124115303</v>
      </c>
      <c r="C25" s="1610">
        <v>120000000</v>
      </c>
      <c r="D25" s="1610">
        <v>124010000</v>
      </c>
      <c r="E25" s="1611">
        <v>122745000</v>
      </c>
      <c r="F25" s="1628"/>
      <c r="G25" s="1628"/>
      <c r="H25" s="1628"/>
      <c r="I25" s="1622"/>
      <c r="J25" s="1622"/>
      <c r="K25" s="1622"/>
      <c r="L25" s="1622"/>
      <c r="M25" s="1622"/>
    </row>
    <row r="26" spans="1:13" s="1623" customFormat="1" ht="22.5" customHeight="1" x14ac:dyDescent="0.3">
      <c r="A26" s="1609" t="s">
        <v>564</v>
      </c>
      <c r="B26" s="1610">
        <f>'[5]8. sz. tábla  (3)'!H9</f>
        <v>1002553380</v>
      </c>
      <c r="C26" s="1610">
        <v>920000000</v>
      </c>
      <c r="D26" s="1610">
        <v>915000000</v>
      </c>
      <c r="E26" s="1611">
        <v>915000000</v>
      </c>
      <c r="F26" s="1628"/>
      <c r="G26" s="1628"/>
      <c r="H26" s="1628"/>
      <c r="I26" s="1622"/>
      <c r="J26" s="1622"/>
      <c r="K26" s="1622"/>
      <c r="L26" s="1622"/>
      <c r="M26" s="1622"/>
    </row>
    <row r="27" spans="1:13" s="1623" customFormat="1" ht="23.25" customHeight="1" x14ac:dyDescent="0.3">
      <c r="A27" s="1609" t="s">
        <v>591</v>
      </c>
      <c r="B27" s="1610">
        <f>'[5]8. sz. tábla  (3)'!H10</f>
        <v>29774000</v>
      </c>
      <c r="C27" s="1610">
        <v>35000000</v>
      </c>
      <c r="D27" s="1610">
        <v>35000000</v>
      </c>
      <c r="E27" s="1611">
        <v>35000000</v>
      </c>
      <c r="F27" s="1628"/>
      <c r="G27" s="1628"/>
      <c r="H27" s="1628"/>
      <c r="I27" s="1622"/>
      <c r="J27" s="1622"/>
      <c r="K27" s="1622"/>
      <c r="L27" s="1622"/>
      <c r="M27" s="1622"/>
    </row>
    <row r="28" spans="1:13" ht="20.100000000000001" customHeight="1" x14ac:dyDescent="0.3">
      <c r="A28" s="1609" t="s">
        <v>570</v>
      </c>
      <c r="B28" s="1610">
        <f>'[5]8. sz. tábla  (3)'!H11</f>
        <v>1171966248</v>
      </c>
      <c r="C28" s="1610">
        <v>1250000000</v>
      </c>
      <c r="D28" s="1610">
        <v>1320000000</v>
      </c>
      <c r="E28" s="1611">
        <v>1400000000</v>
      </c>
    </row>
    <row r="29" spans="1:13" ht="20.100000000000001" customHeight="1" x14ac:dyDescent="0.3">
      <c r="A29" s="1613" t="s">
        <v>1249</v>
      </c>
      <c r="B29" s="1614">
        <f>SUM(B30:B33)</f>
        <v>5012051133</v>
      </c>
      <c r="C29" s="1614">
        <f>SUM(C30:C32)</f>
        <v>3075750000</v>
      </c>
      <c r="D29" s="1614">
        <f>SUM(D30:D32)</f>
        <v>2470750000</v>
      </c>
      <c r="E29" s="1615">
        <f>SUM(E30:E32)</f>
        <v>2476750000</v>
      </c>
    </row>
    <row r="30" spans="1:13" ht="20.100000000000001" customHeight="1" x14ac:dyDescent="0.3">
      <c r="A30" s="1609" t="s">
        <v>1250</v>
      </c>
      <c r="B30" s="1610">
        <f>'[5]8. sz. tábla  (3)'!H30</f>
        <v>4396480479</v>
      </c>
      <c r="C30" s="1610">
        <v>3000000000</v>
      </c>
      <c r="D30" s="1610">
        <v>2400000000</v>
      </c>
      <c r="E30" s="1611">
        <v>2400000000</v>
      </c>
    </row>
    <row r="31" spans="1:13" s="1623" customFormat="1" ht="20.100000000000001" customHeight="1" x14ac:dyDescent="0.3">
      <c r="A31" s="1609" t="s">
        <v>1251</v>
      </c>
      <c r="B31" s="1610">
        <f>'[5]8. sz. tábla  (3)'!H31</f>
        <v>23431060</v>
      </c>
      <c r="C31" s="1610">
        <v>25000000</v>
      </c>
      <c r="D31" s="1610">
        <v>25000000</v>
      </c>
      <c r="E31" s="1611">
        <v>25000000</v>
      </c>
    </row>
    <row r="32" spans="1:13" ht="20.100000000000001" customHeight="1" x14ac:dyDescent="0.3">
      <c r="A32" s="1609" t="s">
        <v>1252</v>
      </c>
      <c r="B32" s="1610">
        <f>'[5]8. sz. tábla  (3)'!H32</f>
        <v>73149430</v>
      </c>
      <c r="C32" s="1610">
        <v>50750000</v>
      </c>
      <c r="D32" s="1610">
        <v>45750000</v>
      </c>
      <c r="E32" s="1611">
        <v>51750000</v>
      </c>
    </row>
    <row r="33" spans="1:5" ht="20.100000000000001" customHeight="1" x14ac:dyDescent="0.3">
      <c r="A33" s="1609" t="s">
        <v>1253</v>
      </c>
      <c r="B33" s="1610">
        <f>'[5]8. sz. tábla  (3)'!H33</f>
        <v>518990164</v>
      </c>
      <c r="C33" s="1610">
        <v>250000000</v>
      </c>
      <c r="D33" s="1610">
        <v>200000000</v>
      </c>
      <c r="E33" s="1611">
        <v>200000000</v>
      </c>
    </row>
    <row r="34" spans="1:5" ht="20.100000000000001" customHeight="1" x14ac:dyDescent="0.3">
      <c r="A34" s="1613" t="s">
        <v>906</v>
      </c>
      <c r="B34" s="1614">
        <f>SUM(B35:B36)</f>
        <v>442264102</v>
      </c>
      <c r="C34" s="1614">
        <f>SUM(C35:C36)</f>
        <v>69047576</v>
      </c>
      <c r="D34" s="1614">
        <f>SUM(D35:D36)</f>
        <v>63242576</v>
      </c>
      <c r="E34" s="1615">
        <f>SUM(E35:E36)</f>
        <v>82127576</v>
      </c>
    </row>
    <row r="35" spans="1:5" s="1623" customFormat="1" ht="20.100000000000001" customHeight="1" x14ac:dyDescent="0.3">
      <c r="A35" s="1609" t="s">
        <v>907</v>
      </c>
      <c r="B35" s="1610">
        <f>'[5]1.sz.tábla   (2)'!D31</f>
        <v>397044292</v>
      </c>
      <c r="C35" s="1610">
        <v>19987067</v>
      </c>
      <c r="D35" s="1610">
        <f>10341368</f>
        <v>10341368</v>
      </c>
      <c r="E35" s="1611">
        <f>22757576+2628093</f>
        <v>25385669</v>
      </c>
    </row>
    <row r="36" spans="1:5" s="1623" customFormat="1" ht="20.100000000000001" customHeight="1" x14ac:dyDescent="0.3">
      <c r="A36" s="1609" t="s">
        <v>908</v>
      </c>
      <c r="B36" s="1610">
        <f>'[5]1.sz.tábla   (2)'!D32</f>
        <v>45219810</v>
      </c>
      <c r="C36" s="1610">
        <v>49060509</v>
      </c>
      <c r="D36" s="1610">
        <v>52901208</v>
      </c>
      <c r="E36" s="1611">
        <v>56741907</v>
      </c>
    </row>
    <row r="37" spans="1:5" ht="32.25" customHeight="1" x14ac:dyDescent="0.3">
      <c r="A37" s="1613" t="s">
        <v>909</v>
      </c>
      <c r="B37" s="1614">
        <f>SUM(B34,B29,B23)</f>
        <v>8388406809</v>
      </c>
      <c r="C37" s="1614">
        <f>SUM(C34,C29,C23)</f>
        <v>6098857576</v>
      </c>
      <c r="D37" s="1614">
        <f>SUM(D34,D29,D23)</f>
        <v>5578357576</v>
      </c>
      <c r="E37" s="1615">
        <f>SUM(E34,E29,E23)</f>
        <v>5679357576</v>
      </c>
    </row>
    <row r="38" spans="1:5" ht="20.100000000000001" customHeight="1" x14ac:dyDescent="0.3">
      <c r="A38" s="1609" t="s">
        <v>910</v>
      </c>
      <c r="B38" s="1610">
        <f>'[5]8. sz. tábla  (3)'!H43</f>
        <v>74242424</v>
      </c>
      <c r="C38" s="1610">
        <v>74242424</v>
      </c>
      <c r="D38" s="1610">
        <v>74242424</v>
      </c>
      <c r="E38" s="1611">
        <v>74242424</v>
      </c>
    </row>
    <row r="39" spans="1:5" ht="20.100000000000001" customHeight="1" x14ac:dyDescent="0.3">
      <c r="A39" s="1609" t="s">
        <v>1254</v>
      </c>
      <c r="B39" s="1610">
        <f>'[5]8. sz. tábla  (3)'!H20</f>
        <v>45851776</v>
      </c>
      <c r="C39" s="1610">
        <v>46000000</v>
      </c>
      <c r="D39" s="1610">
        <v>46000000</v>
      </c>
      <c r="E39" s="1611">
        <v>46000000</v>
      </c>
    </row>
    <row r="40" spans="1:5" ht="20.100000000000001" customHeight="1" x14ac:dyDescent="0.3">
      <c r="A40" s="1609" t="s">
        <v>1255</v>
      </c>
      <c r="B40" s="1610">
        <f>'[5]8. sz. tábla  (3)'!H42</f>
        <v>1000000000</v>
      </c>
      <c r="C40" s="1610"/>
      <c r="D40" s="1610"/>
      <c r="E40" s="1611"/>
    </row>
    <row r="41" spans="1:5" s="1623" customFormat="1" x14ac:dyDescent="0.3">
      <c r="A41" s="1613" t="s">
        <v>911</v>
      </c>
      <c r="B41" s="1614">
        <f>SUM(B38:B40)</f>
        <v>1120094200</v>
      </c>
      <c r="C41" s="1614">
        <f>SUM(C38:C39)</f>
        <v>120242424</v>
      </c>
      <c r="D41" s="1614">
        <f>SUM(D38:D39)</f>
        <v>120242424</v>
      </c>
      <c r="E41" s="1615">
        <f>SUM(E38:E39)</f>
        <v>120242424</v>
      </c>
    </row>
    <row r="42" spans="1:5" ht="20.100000000000001" customHeight="1" x14ac:dyDescent="0.3">
      <c r="A42" s="1619" t="s">
        <v>912</v>
      </c>
      <c r="B42" s="1620">
        <f>SUM(B37,B41)</f>
        <v>9508501009</v>
      </c>
      <c r="C42" s="1620">
        <f>SUM(C37,C41)</f>
        <v>6219100000</v>
      </c>
      <c r="D42" s="1620">
        <f>SUM(D37,D41)</f>
        <v>5698600000</v>
      </c>
      <c r="E42" s="1621">
        <f>SUM(E37,E41)</f>
        <v>5799600000</v>
      </c>
    </row>
    <row r="43" spans="1:5" thickBot="1" x14ac:dyDescent="0.3">
      <c r="A43" s="1629"/>
      <c r="B43" s="1630"/>
      <c r="C43" s="1630">
        <f>C21-C42</f>
        <v>0</v>
      </c>
      <c r="D43" s="1630">
        <f>D21-D42</f>
        <v>0</v>
      </c>
      <c r="E43" s="1631">
        <f>E21-E42</f>
        <v>0</v>
      </c>
    </row>
    <row r="44" spans="1:5" x14ac:dyDescent="0.3">
      <c r="A44" s="1632"/>
      <c r="B44" s="1633"/>
      <c r="C44" s="1634"/>
      <c r="D44" s="1635"/>
      <c r="E44" s="1606"/>
    </row>
  </sheetData>
  <sheetProtection selectLockedCells="1" selectUnlockedCells="1"/>
  <mergeCells count="2">
    <mergeCell ref="A5:E5"/>
    <mergeCell ref="A6:E6"/>
  </mergeCells>
  <printOptions horizontalCentered="1"/>
  <pageMargins left="0.4597222222222222" right="0.57986111111111116" top="1.1201388888888888" bottom="0.98402777777777772" header="0.45" footer="0.51180555555555551"/>
  <pageSetup paperSize="9" scale="61" firstPageNumber="0" orientation="portrait" r:id="rId1"/>
  <headerFooter alignWithMargins="0">
    <oddHeader xml:space="preserve">&amp;C&amp;"Arial,Félkövér"
&amp;"Arial,Normál" 18. melléklet
az önkormányzat 2018. évi költségvetéséről szóló 11/2018. (III.01.) önkormányzati rendeletéhez &amp;R
&amp;P. oldal
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>
      <selection activeCell="W46" sqref="W46"/>
    </sheetView>
  </sheetViews>
  <sheetFormatPr defaultRowHeight="13.2" x14ac:dyDescent="0.25"/>
  <sheetData/>
  <phoneticPr fontId="2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25</vt:i4>
      </vt:variant>
      <vt:variant>
        <vt:lpstr>Névvel ellátott tartományok</vt:lpstr>
      </vt:variant>
      <vt:variant>
        <vt:i4>22</vt:i4>
      </vt:variant>
    </vt:vector>
  </HeadingPairs>
  <TitlesOfParts>
    <vt:vector size="47" baseType="lpstr">
      <vt:lpstr>1.sz.tábla   (2)</vt:lpstr>
      <vt:lpstr>2.sz.tábla   (2)</vt:lpstr>
      <vt:lpstr>2.a tábla ÚJ </vt:lpstr>
      <vt:lpstr>2b. tábla 2018</vt:lpstr>
      <vt:lpstr>2c. tábla 2018.</vt:lpstr>
      <vt:lpstr>3.sz. tábla  (2)</vt:lpstr>
      <vt:lpstr>4.sz.tábla </vt:lpstr>
      <vt:lpstr>4a. sz. tábla  (3)</vt:lpstr>
      <vt:lpstr>5.tábla (2)</vt:lpstr>
      <vt:lpstr>5b. sz. tábla  (2)</vt:lpstr>
      <vt:lpstr>6.sz.tábla </vt:lpstr>
      <vt:lpstr>7. sz. tábla 1</vt:lpstr>
      <vt:lpstr>8. sz. tábla  (3)</vt:lpstr>
      <vt:lpstr>8a. sz. tábla  (4)</vt:lpstr>
      <vt:lpstr>9. sz. tábla (2)</vt:lpstr>
      <vt:lpstr>10 melléklet</vt:lpstr>
      <vt:lpstr>11. melléklet</vt:lpstr>
      <vt:lpstr>12. melléklet</vt:lpstr>
      <vt:lpstr>13. melléklet</vt:lpstr>
      <vt:lpstr>14. melléklet</vt:lpstr>
      <vt:lpstr>15. melléklet (2)</vt:lpstr>
      <vt:lpstr>16. melléklet</vt:lpstr>
      <vt:lpstr>17. melléklet</vt:lpstr>
      <vt:lpstr>18. melléklet</vt:lpstr>
      <vt:lpstr>Munka1</vt:lpstr>
      <vt:lpstr>'1.sz.tábla   (2)'!Nyomtatási_terület</vt:lpstr>
      <vt:lpstr>'10 melléklet'!Nyomtatási_terület</vt:lpstr>
      <vt:lpstr>'12. melléklet'!Nyomtatási_terület</vt:lpstr>
      <vt:lpstr>'14. melléklet'!Nyomtatási_terület</vt:lpstr>
      <vt:lpstr>'15. melléklet (2)'!Nyomtatási_terület</vt:lpstr>
      <vt:lpstr>'16. melléklet'!Nyomtatási_terület</vt:lpstr>
      <vt:lpstr>'17. melléklet'!Nyomtatási_terület</vt:lpstr>
      <vt:lpstr>'18. melléklet'!Nyomtatási_terület</vt:lpstr>
      <vt:lpstr>'2.a tábla ÚJ '!Nyomtatási_terület</vt:lpstr>
      <vt:lpstr>'2.sz.tábla   (2)'!Nyomtatási_terület</vt:lpstr>
      <vt:lpstr>'2b. tábla 2018'!Nyomtatási_terület</vt:lpstr>
      <vt:lpstr>'2c. tábla 2018.'!Nyomtatási_terület</vt:lpstr>
      <vt:lpstr>'3.sz. tábla  (2)'!Nyomtatási_terület</vt:lpstr>
      <vt:lpstr>'4.sz.tábla '!Nyomtatási_terület</vt:lpstr>
      <vt:lpstr>'4a. sz. tábla  (3)'!Nyomtatási_terület</vt:lpstr>
      <vt:lpstr>'5.tábla (2)'!Nyomtatási_terület</vt:lpstr>
      <vt:lpstr>'5b. sz. tábla  (2)'!Nyomtatási_terület</vt:lpstr>
      <vt:lpstr>'6.sz.tábla '!Nyomtatási_terület</vt:lpstr>
      <vt:lpstr>'7. sz. tábla 1'!Nyomtatási_terület</vt:lpstr>
      <vt:lpstr>'8. sz. tábla  (3)'!Nyomtatási_terület</vt:lpstr>
      <vt:lpstr>'8a. sz. tábla  (4)'!Nyomtatási_terület</vt:lpstr>
      <vt:lpstr>'9. sz. tábla (2)'!Nyomtatási_terület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Csihony-Kok Anita</cp:lastModifiedBy>
  <cp:lastPrinted>2018-06-21T12:29:20Z</cp:lastPrinted>
  <dcterms:created xsi:type="dcterms:W3CDTF">2014-05-27T12:51:39Z</dcterms:created>
  <dcterms:modified xsi:type="dcterms:W3CDTF">2018-06-29T11:03:01Z</dcterms:modified>
</cp:coreProperties>
</file>